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政策" sheetId="68" r:id="rId41"/>
    <sheet name="现房案例" sheetId="69" r:id="rId42"/>
    <sheet name="土地案例" sheetId="70" r:id="rId43"/>
    <sheet name="土地案例-住宅" sheetId="72" r:id="rId44"/>
    <sheet name="土地案例-商业" sheetId="73" r:id="rId45"/>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4" hidden="1">'土地案例-商业'!$B$3:$J$103</definedName>
    <definedName name="_xlnm._FilterDatabase" localSheetId="43" hidden="1">'土地案例-住宅'!$B$2:$J$152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D120" i="39" l="1"/>
  <c r="C40" i="39" l="1"/>
  <c r="C34" i="39"/>
  <c r="C12" i="39"/>
  <c r="C7" i="39"/>
  <c r="F19" i="6" l="1"/>
  <c r="C19" i="6"/>
  <c r="D3" i="4"/>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A15" i="55"/>
  <c r="A14" i="55"/>
  <c r="A10" i="55"/>
  <c r="A9" i="55"/>
  <c r="A8" i="55"/>
  <c r="A6" i="54"/>
  <c r="A8" i="54"/>
  <c r="A7" i="54"/>
  <c r="B51" i="63" s="1"/>
  <c r="A27" i="5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Q49" i="59" s="1"/>
  <c r="B50" i="59"/>
  <c r="D48" i="59"/>
  <c r="Q47" i="59"/>
  <c r="P47" i="59"/>
  <c r="O47" i="59"/>
  <c r="N47" i="59"/>
  <c r="Q46" i="59"/>
  <c r="P46" i="59"/>
  <c r="O46" i="59"/>
  <c r="N46" i="59"/>
  <c r="Q45" i="59"/>
  <c r="P45" i="59"/>
  <c r="O45" i="59"/>
  <c r="N45" i="59"/>
  <c r="Q44" i="59"/>
  <c r="F45" i="59"/>
  <c r="P44" i="59"/>
  <c r="E45" i="59"/>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C26" i="59" s="1"/>
  <c r="C27" i="59" s="1"/>
  <c r="N24" i="59"/>
  <c r="B25" i="59" s="1"/>
  <c r="B26" i="59" s="1"/>
  <c r="B27" i="59" s="1"/>
  <c r="S27" i="59" s="1"/>
  <c r="D24" i="59"/>
  <c r="Q23" i="59"/>
  <c r="P23" i="59"/>
  <c r="O23" i="59"/>
  <c r="N23" i="59"/>
  <c r="Q22" i="59"/>
  <c r="AB22" i="59" s="1"/>
  <c r="P22" i="59"/>
  <c r="O22" i="59"/>
  <c r="Y22" i="59"/>
  <c r="Z22" i="59" s="1"/>
  <c r="N22" i="59"/>
  <c r="X22" i="59" s="1"/>
  <c r="Q21" i="59"/>
  <c r="AB21" i="59" s="1"/>
  <c r="P21" i="59"/>
  <c r="AA21" i="59" s="1"/>
  <c r="O21" i="59"/>
  <c r="Y21" i="59" s="1"/>
  <c r="Z21" i="59" s="1"/>
  <c r="N21" i="59"/>
  <c r="X21" i="59" s="1"/>
  <c r="Q20" i="59"/>
  <c r="F21" i="59" s="1"/>
  <c r="F22" i="59" s="1"/>
  <c r="P20" i="59"/>
  <c r="AA20" i="59" s="1"/>
  <c r="O20" i="59"/>
  <c r="Y20" i="59" s="1"/>
  <c r="Z20" i="59" s="1"/>
  <c r="C21" i="59"/>
  <c r="N20" i="59"/>
  <c r="X20" i="59" s="1"/>
  <c r="B21" i="59"/>
  <c r="B22" i="59" s="1"/>
  <c r="B23" i="59" s="1"/>
  <c r="S23" i="59" s="1"/>
  <c r="D20" i="59"/>
  <c r="Q19" i="59"/>
  <c r="AB19" i="59" s="1"/>
  <c r="P19" i="59"/>
  <c r="AA19" i="59" s="1"/>
  <c r="O19" i="59"/>
  <c r="N19" i="59"/>
  <c r="X19" i="59" s="1"/>
  <c r="Q18" i="59"/>
  <c r="P18" i="59"/>
  <c r="AA18" i="59" s="1"/>
  <c r="O18" i="59"/>
  <c r="Y18" i="59" s="1"/>
  <c r="Z18" i="59" s="1"/>
  <c r="N18" i="59"/>
  <c r="X18" i="59" s="1"/>
  <c r="Q17" i="59"/>
  <c r="AB17" i="59" s="1"/>
  <c r="P17" i="59"/>
  <c r="AA17" i="59" s="1"/>
  <c r="O17" i="59"/>
  <c r="N17" i="59"/>
  <c r="X17" i="59" s="1"/>
  <c r="Q16" i="59"/>
  <c r="F17" i="59"/>
  <c r="P16" i="59"/>
  <c r="AA16" i="59" s="1"/>
  <c r="E17" i="59"/>
  <c r="E18" i="59" s="1"/>
  <c r="E19" i="59" s="1"/>
  <c r="U19" i="59" s="1"/>
  <c r="O16" i="59"/>
  <c r="Y16" i="59" s="1"/>
  <c r="Z16" i="59" s="1"/>
  <c r="N16" i="59"/>
  <c r="X16" i="59" s="1"/>
  <c r="D16" i="59"/>
  <c r="Q15" i="59"/>
  <c r="AB15" i="59" s="1"/>
  <c r="P15" i="59"/>
  <c r="O15" i="59"/>
  <c r="Y15" i="59" s="1"/>
  <c r="Z15" i="59" s="1"/>
  <c r="N15" i="59"/>
  <c r="X15" i="59" s="1"/>
  <c r="Q14" i="59"/>
  <c r="AB14" i="59" s="1"/>
  <c r="P14" i="59"/>
  <c r="AA14" i="59" s="1"/>
  <c r="O14" i="59"/>
  <c r="Y14" i="59" s="1"/>
  <c r="Z14" i="59" s="1"/>
  <c r="N14" i="59"/>
  <c r="Q13" i="59"/>
  <c r="AB13" i="59" s="1"/>
  <c r="P13" i="59"/>
  <c r="O13" i="59"/>
  <c r="Y13" i="59" s="1"/>
  <c r="Z13" i="59" s="1"/>
  <c r="N13" i="59"/>
  <c r="X13" i="59" s="1"/>
  <c r="Q12" i="59"/>
  <c r="AB12" i="59" s="1"/>
  <c r="P12" i="59"/>
  <c r="AA3" i="59" s="1"/>
  <c r="O12" i="59"/>
  <c r="Y12" i="59" s="1"/>
  <c r="Z12" i="59" s="1"/>
  <c r="C13" i="59"/>
  <c r="C14" i="59" s="1"/>
  <c r="C15" i="59" s="1"/>
  <c r="T15" i="59" s="1"/>
  <c r="N12" i="59"/>
  <c r="B13" i="59"/>
  <c r="B14" i="59" s="1"/>
  <c r="D12" i="59"/>
  <c r="X3" i="59"/>
  <c r="X9" i="59"/>
  <c r="X11" i="59"/>
  <c r="AA8" i="59"/>
  <c r="AA10" i="59"/>
  <c r="Y8" i="59"/>
  <c r="Z8" i="59" s="1"/>
  <c r="Y9" i="59"/>
  <c r="Z9" i="59" s="1"/>
  <c r="Y10" i="59"/>
  <c r="Z10" i="59" s="1"/>
  <c r="Y11" i="59"/>
  <c r="Z11" i="59" s="1"/>
  <c r="Y3" i="59"/>
  <c r="Z3" i="59" s="1"/>
  <c r="AB11" i="59"/>
  <c r="AB8" i="59"/>
  <c r="AB10" i="59"/>
  <c r="B15" i="59"/>
  <c r="S15" i="59" s="1"/>
  <c r="E13" i="59"/>
  <c r="E14" i="59" s="1"/>
  <c r="E15" i="59"/>
  <c r="U15" i="59" s="1"/>
  <c r="B34" i="59"/>
  <c r="B35" i="59" s="1"/>
  <c r="S35" i="59"/>
  <c r="E34" i="59"/>
  <c r="E35" i="59"/>
  <c r="U35" i="59" s="1"/>
  <c r="S51" i="59"/>
  <c r="AA22" i="59"/>
  <c r="F18" i="59"/>
  <c r="F19" i="59" s="1"/>
  <c r="V19" i="59" s="1"/>
  <c r="F23" i="59"/>
  <c r="V23" i="59" s="1"/>
  <c r="F26" i="59"/>
  <c r="F27" i="59" s="1"/>
  <c r="V27" i="59"/>
  <c r="F31" i="59"/>
  <c r="V31" i="59" s="1"/>
  <c r="F38" i="59"/>
  <c r="F39" i="59" s="1"/>
  <c r="V39" i="59" s="1"/>
  <c r="F43" i="59"/>
  <c r="V43" i="59" s="1"/>
  <c r="F46" i="59"/>
  <c r="F47" i="59" s="1"/>
  <c r="V47" i="59"/>
  <c r="D13" i="59"/>
  <c r="C22" i="59"/>
  <c r="D21" i="59"/>
  <c r="D25" i="59"/>
  <c r="C30" i="59"/>
  <c r="D30" i="59"/>
  <c r="D29" i="59"/>
  <c r="C34" i="59"/>
  <c r="C35" i="59" s="1"/>
  <c r="D33" i="59"/>
  <c r="C38" i="59"/>
  <c r="C39" i="59" s="1"/>
  <c r="C42" i="59"/>
  <c r="D42" i="59" s="1"/>
  <c r="D41" i="59"/>
  <c r="C46" i="59"/>
  <c r="C47" i="59" s="1"/>
  <c r="E49" i="59"/>
  <c r="P48" i="59" s="1"/>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P49" i="59"/>
  <c r="C69" i="59"/>
  <c r="D69" i="59" s="1"/>
  <c r="D62" i="59"/>
  <c r="C61" i="59"/>
  <c r="D61" i="59"/>
  <c r="D54" i="59"/>
  <c r="C53" i="59"/>
  <c r="D53" i="59" s="1"/>
  <c r="C49" i="59"/>
  <c r="O50" i="59"/>
  <c r="D50" i="59"/>
  <c r="D66" i="59"/>
  <c r="C65" i="59"/>
  <c r="D65" i="59" s="1"/>
  <c r="D58" i="59"/>
  <c r="C57" i="59"/>
  <c r="D57" i="59"/>
  <c r="N49" i="59"/>
  <c r="D46" i="59"/>
  <c r="C43" i="59"/>
  <c r="T43" i="59" s="1"/>
  <c r="D38" i="59"/>
  <c r="D34" i="59"/>
  <c r="D26" i="59"/>
  <c r="C23" i="59"/>
  <c r="D22" i="59"/>
  <c r="D14" i="59"/>
  <c r="L16" i="4"/>
  <c r="D43" i="59"/>
  <c r="D15" i="59"/>
  <c r="T23" i="59"/>
  <c r="D23" i="59"/>
  <c r="T27" i="59"/>
  <c r="D27" i="59"/>
  <c r="T35" i="59"/>
  <c r="D35" i="59"/>
  <c r="T39" i="59"/>
  <c r="D39" i="59"/>
  <c r="T47" i="59"/>
  <c r="D47" i="59"/>
  <c r="O49" i="59"/>
  <c r="D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AC28" i="21" s="1"/>
  <c r="B90" i="21"/>
  <c r="B74" i="21"/>
  <c r="J14" i="21" s="1"/>
  <c r="B72" i="21"/>
  <c r="B70" i="21"/>
  <c r="F10" i="21"/>
  <c r="AA10" i="21" s="1"/>
  <c r="C7" i="21"/>
  <c r="C58" i="21" s="1"/>
  <c r="D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F14" i="21"/>
  <c r="AA14" i="21" s="1"/>
  <c r="H14" i="21"/>
  <c r="U14" i="21" s="1"/>
  <c r="H28" i="21"/>
  <c r="AB28" i="21" s="1"/>
  <c r="F28" i="21"/>
  <c r="AA28"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28" i="36"/>
  <c r="AB31" i="21"/>
  <c r="AB13" i="21"/>
  <c r="S46" i="21"/>
  <c r="U46" i="21"/>
  <c r="S28" i="21"/>
  <c r="W14" i="21"/>
  <c r="AC14" i="21"/>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S39" i="33"/>
  <c r="F43" i="33"/>
  <c r="AA43" i="33" s="1"/>
  <c r="AA23" i="37"/>
  <c r="S10" i="35"/>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44" i="39"/>
  <c r="S44" i="39" s="1"/>
  <c r="H44" i="39"/>
  <c r="U44" i="39" s="1"/>
  <c r="J44" i="39"/>
  <c r="AC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W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W27" i="39"/>
  <c r="AB16"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c r="H90" i="34" s="1"/>
  <c r="I90" i="34" s="1"/>
  <c r="J90" i="34" s="1"/>
  <c r="K90" i="34" s="1"/>
  <c r="L90" i="34" s="1"/>
  <c r="M90" i="34" s="1"/>
  <c r="F27" i="34"/>
  <c r="S27" i="34"/>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F6" i="1"/>
  <c r="AP6" i="1" s="1"/>
  <c r="G11" i="1"/>
  <c r="M22" i="44"/>
  <c r="F32" i="15"/>
  <c r="F59" i="15" s="1"/>
  <c r="F29" i="12"/>
  <c r="F70" i="9"/>
  <c r="D86" i="9"/>
  <c r="M20" i="44"/>
  <c r="F31" i="43"/>
  <c r="C31" i="43" s="1"/>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43" i="21"/>
  <c r="AA37" i="21"/>
  <c r="AB37" i="21"/>
  <c r="W28" i="21"/>
  <c r="AC46" i="21"/>
  <c r="AC26" i="21"/>
  <c r="F85" i="21"/>
  <c r="G85" i="21" s="1"/>
  <c r="J23" i="21"/>
  <c r="W23" i="21" s="1"/>
  <c r="F23" i="21"/>
  <c r="H23" i="21"/>
  <c r="U23" i="21" s="1"/>
  <c r="AA17" i="21"/>
  <c r="F15" i="21"/>
  <c r="S15" i="21" s="1"/>
  <c r="F77" i="21"/>
  <c r="G77" i="21" s="1"/>
  <c r="J15" i="21"/>
  <c r="W15" i="21" s="1"/>
  <c r="H15" i="21"/>
  <c r="W13" i="21"/>
  <c r="AC23" i="21"/>
  <c r="AC21" i="21"/>
  <c r="W21" i="21"/>
  <c r="W44"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S27" i="39"/>
  <c r="AC38" i="39"/>
  <c r="AB15" i="39"/>
  <c r="U11" i="39"/>
  <c r="U41" i="39"/>
  <c r="AB38" i="39"/>
  <c r="U31" i="39"/>
  <c r="AB31" i="39"/>
  <c r="S38" i="39"/>
  <c r="S22" i="31"/>
  <c r="D18" i="9"/>
  <c r="M44" i="9" s="1"/>
  <c r="M43" i="9"/>
  <c r="M20" i="15"/>
  <c r="D96" i="9"/>
  <c r="F28" i="15"/>
  <c r="C28" i="15" s="1"/>
  <c r="M18" i="15"/>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46" i="50"/>
  <c r="B4" i="63" s="1"/>
  <c r="C46" i="36"/>
  <c r="D46" i="36" s="1"/>
  <c r="E46" i="36" s="1"/>
  <c r="C59" i="34"/>
  <c r="D59" i="34" s="1"/>
  <c r="E59" i="34" s="1"/>
  <c r="F59" i="34" s="1"/>
  <c r="G59" i="34" s="1"/>
  <c r="H59" i="34" s="1"/>
  <c r="C48" i="35"/>
  <c r="D48" i="35" s="1"/>
  <c r="C52" i="37"/>
  <c r="D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W29" i="21"/>
  <c r="G96" i="40"/>
  <c r="J27" i="40"/>
  <c r="AC27" i="40" s="1"/>
  <c r="W37" i="40"/>
  <c r="S17" i="40"/>
  <c r="W30" i="40"/>
  <c r="S34" i="40"/>
  <c r="U17" i="40"/>
  <c r="U38" i="40"/>
  <c r="S40" i="40"/>
  <c r="S42" i="40"/>
  <c r="G105" i="39"/>
  <c r="J31" i="39"/>
  <c r="W31" i="39" s="1"/>
  <c r="S45" i="39"/>
  <c r="W41" i="39"/>
  <c r="AB43" i="39"/>
  <c r="AC46" i="39"/>
  <c r="W42" i="39"/>
  <c r="W36" i="39"/>
  <c r="AC37"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C15" i="12"/>
  <c r="BA5" i="3"/>
  <c r="E27" i="6" s="1"/>
  <c r="AZ13" i="3"/>
  <c r="G29" i="6"/>
  <c r="AZ16" i="3"/>
  <c r="H70" i="46"/>
  <c r="H72" i="46"/>
  <c r="A9" i="64"/>
  <c r="A9" i="51"/>
  <c r="B9" i="63" s="1"/>
  <c r="E48" i="35"/>
  <c r="F48" i="35" s="1"/>
  <c r="G48" i="35" s="1"/>
  <c r="H48" i="35" s="1"/>
  <c r="I48" i="35" s="1"/>
  <c r="J48" i="35" s="1"/>
  <c r="K48" i="35" s="1"/>
  <c r="L48" i="35" s="1"/>
  <c r="M48" i="35" s="1"/>
  <c r="N48" i="35" s="1"/>
  <c r="O48" i="35" s="1"/>
  <c r="D72" i="39"/>
  <c r="E70" i="39"/>
  <c r="E72" i="39" s="1"/>
  <c r="D67" i="40"/>
  <c r="E65" i="40"/>
  <c r="E67" i="40" s="1"/>
  <c r="G66" i="36"/>
  <c r="J18" i="36"/>
  <c r="AE8" i="1"/>
  <c r="AE7" i="1"/>
  <c r="AE6" i="1"/>
  <c r="W18" i="36"/>
  <c r="AC18" i="36"/>
  <c r="AG6" i="1"/>
  <c r="E29" i="6"/>
  <c r="L20" i="6"/>
  <c r="L19" i="6"/>
  <c r="K15" i="1"/>
  <c r="F65" i="40"/>
  <c r="G65" i="40" s="1"/>
  <c r="H65" i="40" s="1"/>
  <c r="H67" i="40" s="1"/>
  <c r="F70" i="39"/>
  <c r="G70" i="39" s="1"/>
  <c r="H70" i="39" s="1"/>
  <c r="H72" i="39" s="1"/>
  <c r="S7" i="1"/>
  <c r="S8" i="1"/>
  <c r="S9" i="1"/>
  <c r="F72" i="39"/>
  <c r="G67" i="40"/>
  <c r="R9" i="1"/>
  <c r="I70" i="39"/>
  <c r="J70" i="39" s="1"/>
  <c r="J72" i="39" s="1"/>
  <c r="R7" i="1"/>
  <c r="R8" i="1"/>
  <c r="I72" i="39"/>
  <c r="C45" i="9"/>
  <c r="H14" i="66" s="1"/>
  <c r="B7" i="66" s="1"/>
  <c r="K31" i="9"/>
  <c r="K32" i="9" s="1"/>
  <c r="N76" i="9"/>
  <c r="C46" i="9"/>
  <c r="K33" i="9" s="1"/>
  <c r="F33" i="44"/>
  <c r="F31" i="15"/>
  <c r="E8" i="67"/>
  <c r="N7" i="65"/>
  <c r="F40" i="44"/>
  <c r="M28" i="15"/>
  <c r="M26" i="15"/>
  <c r="J17" i="44"/>
  <c r="F12" i="67"/>
  <c r="B8" i="67"/>
  <c r="M24" i="15"/>
  <c r="F43" i="15"/>
  <c r="M28" i="44"/>
  <c r="F11" i="67"/>
  <c r="J4" i="65"/>
  <c r="F40" i="15"/>
  <c r="L49" i="44"/>
  <c r="F18" i="44"/>
  <c r="M6" i="15"/>
  <c r="F8" i="67"/>
  <c r="E14" i="67"/>
  <c r="M11" i="44"/>
  <c r="F9" i="44"/>
  <c r="J36" i="15"/>
  <c r="B11" i="67"/>
  <c r="N3" i="65"/>
  <c r="F10" i="44"/>
  <c r="M21" i="15"/>
  <c r="C19" i="44"/>
  <c r="F37" i="44"/>
  <c r="F35" i="15"/>
  <c r="E10" i="67"/>
  <c r="L48" i="15"/>
  <c r="M8" i="15"/>
  <c r="F39" i="44"/>
  <c r="B9" i="67"/>
  <c r="I7" i="65"/>
  <c r="F42" i="15"/>
  <c r="J15" i="15"/>
  <c r="F13" i="15"/>
  <c r="F41" i="15"/>
  <c r="F38" i="44"/>
  <c r="F13" i="67"/>
  <c r="I6" i="65"/>
  <c r="M22" i="15"/>
  <c r="M27" i="15"/>
  <c r="M31" i="44"/>
  <c r="E11" i="67"/>
  <c r="I4" i="65"/>
  <c r="L48" i="44"/>
  <c r="F43" i="44"/>
  <c r="M9" i="15"/>
  <c r="F9" i="15"/>
  <c r="F38" i="15"/>
  <c r="F9" i="67"/>
  <c r="I5" i="65"/>
  <c r="M26" i="44"/>
  <c r="M23" i="44"/>
  <c r="F14" i="67"/>
  <c r="B12" i="67"/>
  <c r="M25" i="44"/>
  <c r="F45" i="44"/>
  <c r="F8" i="44"/>
  <c r="F8" i="15"/>
  <c r="L47" i="15"/>
  <c r="B13" i="67"/>
  <c r="J6" i="65"/>
  <c r="M29" i="44"/>
  <c r="F46" i="44"/>
  <c r="F10" i="67"/>
  <c r="B14" i="67"/>
  <c r="F26" i="15"/>
  <c r="F37" i="15"/>
  <c r="F36" i="15"/>
  <c r="F7" i="15"/>
  <c r="F28" i="44"/>
  <c r="E13" i="67"/>
  <c r="I3" i="65"/>
  <c r="F6" i="15"/>
  <c r="M24" i="44"/>
  <c r="M30" i="44"/>
  <c r="E12" i="67"/>
  <c r="F11" i="44"/>
  <c r="M23" i="15"/>
  <c r="F16" i="15"/>
  <c r="M8" i="44"/>
  <c r="M10" i="44"/>
  <c r="E9" i="67"/>
  <c r="B10" i="67"/>
  <c r="F15" i="44"/>
  <c r="M29" i="15"/>
  <c r="W10" i="21" l="1"/>
  <c r="H10" i="21"/>
  <c r="E53" i="40"/>
  <c r="E58" i="39"/>
  <c r="F27" i="6"/>
  <c r="G3" i="46"/>
  <c r="C13" i="39"/>
  <c r="C11" i="21"/>
  <c r="E11" i="52"/>
  <c r="G123" i="21"/>
  <c r="H123" i="21" s="1"/>
  <c r="I123" i="21" s="1"/>
  <c r="J123" i="21" s="1"/>
  <c r="K123" i="21" s="1"/>
  <c r="L123" i="21" s="1"/>
  <c r="M123" i="21" s="1"/>
  <c r="J42" i="21"/>
  <c r="AC42" i="21" s="1"/>
  <c r="H42" i="21"/>
  <c r="AB42" i="21" s="1"/>
  <c r="F42" i="21"/>
  <c r="AA42" i="21" s="1"/>
  <c r="S25" i="39"/>
  <c r="G109" i="39"/>
  <c r="H109" i="39" s="1"/>
  <c r="I109" i="39" s="1"/>
  <c r="J109" i="39" s="1"/>
  <c r="K109" i="39" s="1"/>
  <c r="L109" i="39" s="1"/>
  <c r="M109" i="39" s="1"/>
  <c r="H34" i="39"/>
  <c r="F34" i="39"/>
  <c r="J34" i="39"/>
  <c r="AC34" i="39" s="1"/>
  <c r="F107" i="39"/>
  <c r="G107" i="39" s="1"/>
  <c r="H107" i="39" s="1"/>
  <c r="I107" i="39" s="1"/>
  <c r="J107" i="39" s="1"/>
  <c r="K107" i="39" s="1"/>
  <c r="L107" i="39" s="1"/>
  <c r="M107" i="39" s="1"/>
  <c r="H33" i="39"/>
  <c r="F33" i="39"/>
  <c r="J33" i="39"/>
  <c r="F93" i="39"/>
  <c r="F19" i="39"/>
  <c r="S19" i="39" s="1"/>
  <c r="H19" i="39"/>
  <c r="F91" i="39"/>
  <c r="F17" i="39"/>
  <c r="AA17" i="39" s="1"/>
  <c r="H17" i="39"/>
  <c r="U17" i="39" s="1"/>
  <c r="U27" i="39"/>
  <c r="W29" i="39"/>
  <c r="AB29" i="39"/>
  <c r="S29" i="39"/>
  <c r="AA19" i="39"/>
  <c r="U23" i="39"/>
  <c r="AA21" i="39"/>
  <c r="AC43" i="39"/>
  <c r="W23" i="39"/>
  <c r="S23" i="39"/>
  <c r="AC21" i="39"/>
  <c r="G10" i="1"/>
  <c r="U14" i="39"/>
  <c r="S14" i="39"/>
  <c r="AC14" i="39"/>
  <c r="AB44" i="39"/>
  <c r="W44" i="39"/>
  <c r="AA43" i="21"/>
  <c r="AA36" i="21"/>
  <c r="AA38" i="21"/>
  <c r="U43" i="21"/>
  <c r="AB36" i="21"/>
  <c r="AB32" i="21"/>
  <c r="U19" i="21"/>
  <c r="S21" i="21"/>
  <c r="U28" i="21"/>
  <c r="B74" i="46"/>
  <c r="B23" i="52"/>
  <c r="W8" i="21"/>
  <c r="W9" i="21"/>
  <c r="B4" i="52"/>
  <c r="S10" i="21"/>
  <c r="W42" i="21"/>
  <c r="AA40" i="21"/>
  <c r="AC40" i="21"/>
  <c r="W39" i="21"/>
  <c r="U39" i="21"/>
  <c r="U38" i="21"/>
  <c r="U35" i="21"/>
  <c r="W32" i="21"/>
  <c r="U42" i="21"/>
  <c r="AB23" i="21"/>
  <c r="AC19" i="21"/>
  <c r="W17" i="21"/>
  <c r="AC15" i="21"/>
  <c r="AA15" i="21"/>
  <c r="AC27" i="21"/>
  <c r="AB14" i="21"/>
  <c r="B6" i="52"/>
  <c r="E9" i="52"/>
  <c r="C4" i="4" s="1"/>
  <c r="B20" i="55" s="1"/>
  <c r="B70" i="63" s="1"/>
  <c r="B10" i="52"/>
  <c r="E5" i="52"/>
  <c r="B16" i="52"/>
  <c r="E10" i="52"/>
  <c r="B8" i="52"/>
  <c r="B9" i="52"/>
  <c r="B7" i="52"/>
  <c r="H22" i="46"/>
  <c r="AJ11" i="46"/>
  <c r="AJ13" i="46" s="1"/>
  <c r="AA11" i="46"/>
  <c r="AA13" i="46" s="1"/>
  <c r="AH11" i="46"/>
  <c r="Z11" i="46"/>
  <c r="Z13" i="46" s="1"/>
  <c r="Y11" i="46"/>
  <c r="Y13" i="46" s="1"/>
  <c r="AC11" i="46"/>
  <c r="AC13" i="46" s="1"/>
  <c r="F101" i="46"/>
  <c r="F107" i="46" s="1"/>
  <c r="K101" i="46"/>
  <c r="K104" i="46" s="1"/>
  <c r="H101" i="46"/>
  <c r="H107" i="46" s="1"/>
  <c r="M101" i="46"/>
  <c r="D101" i="46"/>
  <c r="D106" i="46" s="1"/>
  <c r="I101" i="46"/>
  <c r="G22" i="46"/>
  <c r="J101" i="46"/>
  <c r="J103" i="46" s="1"/>
  <c r="C101" i="46"/>
  <c r="AE11" i="46"/>
  <c r="AE13" i="46" s="1"/>
  <c r="AF11" i="46"/>
  <c r="AF13" i="46" s="1"/>
  <c r="AI11" i="46"/>
  <c r="AI13" i="46" s="1"/>
  <c r="C23" i="46"/>
  <c r="C21" i="46" s="1"/>
  <c r="AD11" i="46"/>
  <c r="AG11" i="46"/>
  <c r="AG13" i="46" s="1"/>
  <c r="E22" i="46"/>
  <c r="N101" i="46"/>
  <c r="Z7" i="46"/>
  <c r="E101" i="46"/>
  <c r="F22" i="46"/>
  <c r="L101" i="46"/>
  <c r="N104" i="45"/>
  <c r="B113" i="46"/>
  <c r="G101" i="46"/>
  <c r="G107" i="46" s="1"/>
  <c r="J22" i="46"/>
  <c r="G118" i="46"/>
  <c r="H118" i="46" s="1"/>
  <c r="D116" i="46"/>
  <c r="E116" i="46" s="1"/>
  <c r="F116" i="46" s="1"/>
  <c r="G116" i="46" s="1"/>
  <c r="H116" i="46" s="1"/>
  <c r="G106" i="46"/>
  <c r="B115" i="46"/>
  <c r="C115" i="46" s="1"/>
  <c r="I117" i="46"/>
  <c r="J117" i="46" s="1"/>
  <c r="K117" i="46" s="1"/>
  <c r="L117" i="46" s="1"/>
  <c r="M117" i="46" s="1"/>
  <c r="D115" i="46"/>
  <c r="E115" i="46" s="1"/>
  <c r="F115" i="46" s="1"/>
  <c r="G115" i="46" s="1"/>
  <c r="H115" i="46" s="1"/>
  <c r="B117" i="46"/>
  <c r="C117" i="46" s="1"/>
  <c r="I115" i="46"/>
  <c r="J115" i="46" s="1"/>
  <c r="K115" i="46" s="1"/>
  <c r="L115" i="46" s="1"/>
  <c r="M115" i="46" s="1"/>
  <c r="K105" i="46"/>
  <c r="AB11" i="46"/>
  <c r="AB13" i="46" s="1"/>
  <c r="E10" i="6"/>
  <c r="E11" i="6"/>
  <c r="E12" i="6"/>
  <c r="E14" i="6"/>
  <c r="E15" i="6"/>
  <c r="E13" i="6"/>
  <c r="E28" i="6"/>
  <c r="G30" i="6"/>
  <c r="G31" i="6" s="1"/>
  <c r="L27" i="6"/>
  <c r="C105" i="46"/>
  <c r="F31" i="6"/>
  <c r="A18" i="64"/>
  <c r="B74" i="63" s="1"/>
  <c r="C53" i="10"/>
  <c r="A25" i="64" s="1"/>
  <c r="L5" i="54"/>
  <c r="B39" i="63" s="1"/>
  <c r="T41" i="4"/>
  <c r="A17" i="51" s="1"/>
  <c r="B13" i="63" s="1"/>
  <c r="A18" i="51"/>
  <c r="B14" i="63" s="1"/>
  <c r="K5" i="54"/>
  <c r="A17" i="64"/>
  <c r="K70" i="39"/>
  <c r="I65" i="40"/>
  <c r="G72" i="39"/>
  <c r="F67" i="40"/>
  <c r="N16" i="4"/>
  <c r="K17" i="4" s="1"/>
  <c r="A22" i="51" s="1"/>
  <c r="B16" i="63" s="1"/>
  <c r="G6" i="1"/>
  <c r="O40" i="9"/>
  <c r="R7" i="54" s="1"/>
  <c r="B52" i="63" s="1"/>
  <c r="E4" i="52"/>
  <c r="E16" i="52"/>
  <c r="B11" i="52"/>
  <c r="E8" i="52"/>
  <c r="B5" i="52"/>
  <c r="B13" i="52"/>
  <c r="B22" i="52"/>
  <c r="E21" i="52"/>
  <c r="E4" i="4" s="1"/>
  <c r="B21" i="55" s="1"/>
  <c r="B72" i="63" s="1"/>
  <c r="B14" i="52"/>
  <c r="E6" i="52"/>
  <c r="E7" i="52"/>
  <c r="L76" i="9"/>
  <c r="C36" i="44"/>
  <c r="F62" i="15"/>
  <c r="C61" i="15" s="1"/>
  <c r="C34" i="15"/>
  <c r="F68" i="15"/>
  <c r="F65" i="15"/>
  <c r="F50" i="15"/>
  <c r="L58" i="15"/>
  <c r="L59" i="15"/>
  <c r="F49" i="15"/>
  <c r="M7" i="15"/>
  <c r="J6" i="15" s="1"/>
  <c r="C29" i="44"/>
  <c r="C8" i="44"/>
  <c r="F63" i="15"/>
  <c r="Q72" i="15"/>
  <c r="I55" i="44"/>
  <c r="J60" i="44"/>
  <c r="L57" i="44"/>
  <c r="J58" i="44"/>
  <c r="J56" i="44" s="1"/>
  <c r="J59" i="44" s="1"/>
  <c r="Q52" i="44" s="1"/>
  <c r="J61" i="44"/>
  <c r="Q50" i="44" s="1"/>
  <c r="J22" i="44"/>
  <c r="J20" i="15"/>
  <c r="Q73" i="44"/>
  <c r="F70" i="15"/>
  <c r="F64" i="15"/>
  <c r="M9" i="44"/>
  <c r="J8" i="44" s="1"/>
  <c r="F67" i="15"/>
  <c r="C6" i="15"/>
  <c r="L60" i="44"/>
  <c r="L59" i="44"/>
  <c r="C27" i="15"/>
  <c r="J57" i="15"/>
  <c r="J55" i="15" s="1"/>
  <c r="J58" i="15" s="1"/>
  <c r="Q51" i="15" s="1"/>
  <c r="L56" i="15"/>
  <c r="I54" i="15"/>
  <c r="E20" i="46"/>
  <c r="I14" i="66"/>
  <c r="B8" i="66" s="1"/>
  <c r="O41" i="9"/>
  <c r="R8" i="54" s="1"/>
  <c r="B54" i="63" s="1"/>
  <c r="I59" i="34"/>
  <c r="J59" i="34" s="1"/>
  <c r="K59" i="34" s="1"/>
  <c r="L59" i="34" s="1"/>
  <c r="M59" i="34" s="1"/>
  <c r="N59" i="34" s="1"/>
  <c r="O59" i="34" s="1"/>
  <c r="H7" i="35"/>
  <c r="J7" i="35"/>
  <c r="J7" i="34"/>
  <c r="D21" i="12"/>
  <c r="C21" i="12" s="1"/>
  <c r="D12" i="11"/>
  <c r="C12" i="11" s="1"/>
  <c r="AC31" i="39"/>
  <c r="O6" i="1"/>
  <c r="E52" i="37"/>
  <c r="O7" i="1"/>
  <c r="P7" i="1" s="1"/>
  <c r="O9" i="1"/>
  <c r="P9" i="1" s="1"/>
  <c r="O11" i="1"/>
  <c r="P11" i="1" s="1"/>
  <c r="G5" i="3"/>
  <c r="B3" i="3" s="1"/>
  <c r="E58" i="21"/>
  <c r="E58" i="33"/>
  <c r="F58" i="33" s="1"/>
  <c r="G58" i="33" s="1"/>
  <c r="H58" i="33" s="1"/>
  <c r="I58" i="33" s="1"/>
  <c r="J58" i="33" s="1"/>
  <c r="K58" i="33" s="1"/>
  <c r="L58" i="33" s="1"/>
  <c r="M58" i="33" s="1"/>
  <c r="N58" i="33" s="1"/>
  <c r="O58" i="33" s="1"/>
  <c r="J7" i="33"/>
  <c r="H7" i="33"/>
  <c r="F7" i="33"/>
  <c r="F46" i="3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I105" i="46"/>
  <c r="I104" i="46"/>
  <c r="I103" i="46"/>
  <c r="I106" i="46"/>
  <c r="D105" i="46"/>
  <c r="M107" i="46"/>
  <c r="M102" i="46"/>
  <c r="M109" i="46"/>
  <c r="M106" i="46"/>
  <c r="H102" i="46"/>
  <c r="H103" i="46"/>
  <c r="O10" i="1"/>
  <c r="P10" i="1" s="1"/>
  <c r="AZ488" i="3"/>
  <c r="AZ572" i="3"/>
  <c r="AB9" i="21"/>
  <c r="U9" i="21"/>
  <c r="H5" i="3"/>
  <c r="BL572" i="3"/>
  <c r="BL5" i="3" s="1"/>
  <c r="F12" i="21"/>
  <c r="H12" i="21"/>
  <c r="H30" i="21"/>
  <c r="F30" i="21"/>
  <c r="J30" i="21"/>
  <c r="AB33" i="33"/>
  <c r="U33" i="33"/>
  <c r="W24" i="35"/>
  <c r="AC24" i="35"/>
  <c r="I1" i="65"/>
  <c r="F7" i="35"/>
  <c r="F7" i="34"/>
  <c r="H76" i="46"/>
  <c r="H47" i="46"/>
  <c r="AC41" i="34"/>
  <c r="W31" i="34"/>
  <c r="W35" i="35"/>
  <c r="AA22" i="35"/>
  <c r="S22" i="35"/>
  <c r="AC33" i="33"/>
  <c r="W33" i="33"/>
  <c r="AZ389" i="3"/>
  <c r="AZ400" i="3"/>
  <c r="AZ404" i="3"/>
  <c r="AZ416" i="3"/>
  <c r="AZ421" i="3"/>
  <c r="AZ435" i="3"/>
  <c r="AZ440" i="3"/>
  <c r="AZ453" i="3"/>
  <c r="AZ460" i="3"/>
  <c r="AZ464" i="3"/>
  <c r="AZ476" i="3"/>
  <c r="AZ480" i="3"/>
  <c r="AZ368" i="3"/>
  <c r="AZ384" i="3"/>
  <c r="AZ386" i="3"/>
  <c r="AZ214" i="3"/>
  <c r="AZ218" i="3"/>
  <c r="AZ227" i="3"/>
  <c r="AZ240" i="3"/>
  <c r="AZ243" i="3"/>
  <c r="AZ256" i="3"/>
  <c r="AZ259" i="3"/>
  <c r="AZ275" i="3"/>
  <c r="AZ279" i="3"/>
  <c r="W40" i="33"/>
  <c r="S38" i="33"/>
  <c r="W39" i="34"/>
  <c r="F34" i="35"/>
  <c r="H34" i="35"/>
  <c r="F25" i="37"/>
  <c r="J25" i="37"/>
  <c r="A30" i="64"/>
  <c r="A30" i="51"/>
  <c r="B22" i="63" s="1"/>
  <c r="K145" i="21"/>
  <c r="AZ288" i="3"/>
  <c r="AZ293" i="3"/>
  <c r="AZ117" i="3"/>
  <c r="AZ120" i="3"/>
  <c r="AZ133" i="3"/>
  <c r="AZ136" i="3"/>
  <c r="AZ149" i="3"/>
  <c r="AZ160" i="3"/>
  <c r="AZ163" i="3"/>
  <c r="AZ176" i="3"/>
  <c r="AZ25" i="3"/>
  <c r="AZ30" i="3"/>
  <c r="AZ41" i="3"/>
  <c r="AZ46" i="3"/>
  <c r="AZ57" i="3"/>
  <c r="AZ62" i="3"/>
  <c r="AZ65" i="3"/>
  <c r="AZ68" i="3"/>
  <c r="AZ75" i="3"/>
  <c r="AZ81" i="3"/>
  <c r="AZ85" i="3"/>
  <c r="AZ88" i="3"/>
  <c r="AZ95" i="3"/>
  <c r="AZ101" i="3"/>
  <c r="AZ104" i="3"/>
  <c r="AZ111" i="3"/>
  <c r="D1" i="57"/>
  <c r="E10" i="57" s="1"/>
  <c r="K13" i="1"/>
  <c r="M13" i="1" s="1"/>
  <c r="K12" i="1"/>
  <c r="J53" i="15"/>
  <c r="D100" i="46"/>
  <c r="D23" i="15"/>
  <c r="B54" i="46"/>
  <c r="C27" i="40"/>
  <c r="S27" i="40"/>
  <c r="S21" i="34"/>
  <c r="B11" i="59"/>
  <c r="X6" i="59"/>
  <c r="X7" i="59"/>
  <c r="AA7" i="59"/>
  <c r="E11" i="59"/>
  <c r="A28" i="64"/>
  <c r="AB20" i="59"/>
  <c r="AA12" i="59"/>
  <c r="J54" i="44"/>
  <c r="Y6" i="59"/>
  <c r="Z6" i="59" s="1"/>
  <c r="AB6" i="59"/>
  <c r="AA5" i="59"/>
  <c r="AB9" i="59"/>
  <c r="AB3" i="59"/>
  <c r="AA11" i="59"/>
  <c r="AA9" i="59"/>
  <c r="X10" i="59"/>
  <c r="X8" i="59"/>
  <c r="X12" i="59"/>
  <c r="F13" i="59"/>
  <c r="F14" i="59" s="1"/>
  <c r="F15" i="59" s="1"/>
  <c r="V15" i="59" s="1"/>
  <c r="AA13" i="59"/>
  <c r="X14" i="59"/>
  <c r="AA15" i="59"/>
  <c r="B17" i="59"/>
  <c r="B18" i="59" s="1"/>
  <c r="B19" i="59" s="1"/>
  <c r="S19" i="59" s="1"/>
  <c r="C17" i="59"/>
  <c r="AB16" i="59"/>
  <c r="Y17" i="59"/>
  <c r="Z17" i="59" s="1"/>
  <c r="AB18" i="59"/>
  <c r="Y19" i="59"/>
  <c r="Z19" i="59" s="1"/>
  <c r="E21" i="59"/>
  <c r="E22" i="59" s="1"/>
  <c r="E23" i="59" s="1"/>
  <c r="U23" i="59" s="1"/>
  <c r="Q48" i="59"/>
  <c r="D11" i="59"/>
  <c r="T11" i="59"/>
  <c r="C10" i="59"/>
  <c r="V11" i="59"/>
  <c r="F10" i="59"/>
  <c r="F9" i="59" s="1"/>
  <c r="AD12" i="46"/>
  <c r="AD13" i="46" s="1"/>
  <c r="AH12" i="46"/>
  <c r="AH13" i="46" s="1"/>
  <c r="C5" i="59"/>
  <c r="D5" i="59" s="1"/>
  <c r="D6" i="59"/>
  <c r="X5" i="59"/>
  <c r="AA6" i="59"/>
  <c r="Y5" i="59"/>
  <c r="Z5" i="59" s="1"/>
  <c r="AB5" i="59"/>
  <c r="V7" i="59"/>
  <c r="K76" i="9"/>
  <c r="K77" i="9" s="1"/>
  <c r="K79" i="9" s="1"/>
  <c r="K81" i="9" s="1"/>
  <c r="Y7" i="59"/>
  <c r="Z7" i="59" s="1"/>
  <c r="AB7" i="59"/>
  <c r="F58" i="15"/>
  <c r="M19" i="44"/>
  <c r="M17" i="15"/>
  <c r="C18" i="44"/>
  <c r="C17" i="15"/>
  <c r="N5" i="65"/>
  <c r="J3" i="65"/>
  <c r="J7" i="65"/>
  <c r="J5" i="65"/>
  <c r="N4" i="65"/>
  <c r="C16" i="15"/>
  <c r="N6" i="65"/>
  <c r="E2" i="65"/>
  <c r="U10" i="21" l="1"/>
  <c r="AB10" i="21"/>
  <c r="F11" i="21"/>
  <c r="J11" i="21"/>
  <c r="H11" i="21"/>
  <c r="E506" i="3"/>
  <c r="C33" i="21"/>
  <c r="E16" i="6"/>
  <c r="H13" i="39"/>
  <c r="J13" i="39"/>
  <c r="F13" i="39"/>
  <c r="S42" i="21"/>
  <c r="AB17" i="39"/>
  <c r="S17" i="39"/>
  <c r="AB34" i="39"/>
  <c r="U34" i="39"/>
  <c r="W34" i="39"/>
  <c r="AA34" i="39"/>
  <c r="S34" i="39"/>
  <c r="W33" i="39"/>
  <c r="AC33" i="39"/>
  <c r="U33" i="39"/>
  <c r="AB33" i="39"/>
  <c r="AA33" i="39"/>
  <c r="S33" i="39"/>
  <c r="AB19" i="39"/>
  <c r="U19" i="39"/>
  <c r="G93" i="39"/>
  <c r="J19" i="39"/>
  <c r="G91" i="39"/>
  <c r="J17" i="39"/>
  <c r="J105" i="46"/>
  <c r="J109" i="46"/>
  <c r="D22" i="46"/>
  <c r="G16" i="1"/>
  <c r="F12" i="39" s="1"/>
  <c r="E542" i="3"/>
  <c r="D107" i="46"/>
  <c r="D118" i="46"/>
  <c r="E118" i="46" s="1"/>
  <c r="F118" i="46" s="1"/>
  <c r="I116" i="46"/>
  <c r="J116" i="46" s="1"/>
  <c r="K116" i="46" s="1"/>
  <c r="L116" i="46" s="1"/>
  <c r="M116" i="46" s="1"/>
  <c r="I118" i="46"/>
  <c r="J118" i="46" s="1"/>
  <c r="K118" i="46" s="1"/>
  <c r="L118" i="46" s="1"/>
  <c r="M118" i="46" s="1"/>
  <c r="D117" i="46"/>
  <c r="E117" i="46" s="1"/>
  <c r="F117" i="46" s="1"/>
  <c r="G117" i="46" s="1"/>
  <c r="H117" i="46" s="1"/>
  <c r="B116" i="46"/>
  <c r="B118" i="46"/>
  <c r="C118" i="46" s="1"/>
  <c r="L102" i="46"/>
  <c r="L105" i="46"/>
  <c r="L104" i="46"/>
  <c r="L106" i="46"/>
  <c r="L107" i="46"/>
  <c r="L109" i="46"/>
  <c r="L103" i="46"/>
  <c r="E104" i="46"/>
  <c r="E106" i="46"/>
  <c r="E105" i="46"/>
  <c r="E109" i="46"/>
  <c r="E103" i="46"/>
  <c r="E107" i="46"/>
  <c r="E102" i="46"/>
  <c r="N109" i="46"/>
  <c r="N105" i="46"/>
  <c r="N102" i="46"/>
  <c r="N107" i="46"/>
  <c r="N103" i="46"/>
  <c r="N104" i="46"/>
  <c r="N106" i="46"/>
  <c r="J104" i="46"/>
  <c r="J107" i="46"/>
  <c r="J102" i="46"/>
  <c r="J106" i="46"/>
  <c r="I102" i="46"/>
  <c r="I107" i="46"/>
  <c r="I109" i="46"/>
  <c r="M103" i="46"/>
  <c r="M104" i="46"/>
  <c r="M105" i="46"/>
  <c r="K109" i="46"/>
  <c r="K103" i="46"/>
  <c r="K107" i="46"/>
  <c r="K102" i="46"/>
  <c r="K106" i="46"/>
  <c r="G104" i="46"/>
  <c r="G102" i="46"/>
  <c r="G105" i="46"/>
  <c r="G103" i="46"/>
  <c r="G109" i="46"/>
  <c r="C106" i="46"/>
  <c r="C107" i="46"/>
  <c r="C102" i="46"/>
  <c r="C104" i="46"/>
  <c r="C109" i="46"/>
  <c r="C103" i="46"/>
  <c r="D104" i="46"/>
  <c r="D103" i="46"/>
  <c r="D102" i="46"/>
  <c r="D109" i="46"/>
  <c r="H104" i="46"/>
  <c r="H106" i="46"/>
  <c r="H105" i="46"/>
  <c r="H109" i="46"/>
  <c r="F109" i="46"/>
  <c r="F103" i="46"/>
  <c r="F105" i="46"/>
  <c r="F102" i="46"/>
  <c r="F106" i="46"/>
  <c r="F104" i="46"/>
  <c r="E65" i="39"/>
  <c r="E60" i="40"/>
  <c r="E66" i="39"/>
  <c r="E61" i="40"/>
  <c r="E58" i="40"/>
  <c r="E63" i="39"/>
  <c r="K20" i="6"/>
  <c r="M20" i="6" s="1"/>
  <c r="I20" i="6" s="1"/>
  <c r="S20" i="6" s="1"/>
  <c r="K19" i="6"/>
  <c r="S6" i="1" s="1"/>
  <c r="S16" i="1" s="1"/>
  <c r="K14" i="1"/>
  <c r="M14" i="1" s="1"/>
  <c r="E62" i="40"/>
  <c r="E67" i="39"/>
  <c r="E64" i="39"/>
  <c r="E59" i="40"/>
  <c r="A25" i="51"/>
  <c r="B18" i="63" s="1"/>
  <c r="B38" i="63"/>
  <c r="A3" i="55"/>
  <c r="B56" i="63" s="1"/>
  <c r="J65" i="40"/>
  <c r="I67" i="40"/>
  <c r="L70" i="39"/>
  <c r="K72" i="39"/>
  <c r="L47" i="44"/>
  <c r="C4" i="65"/>
  <c r="B39" i="1" s="1"/>
  <c r="J1" i="65"/>
  <c r="B40" i="1"/>
  <c r="H12" i="39"/>
  <c r="C9" i="59"/>
  <c r="D9" i="59" s="1"/>
  <c r="D10" i="59"/>
  <c r="U11" i="59"/>
  <c r="E10" i="59"/>
  <c r="E9" i="59" s="1"/>
  <c r="B10" i="59"/>
  <c r="B9" i="59" s="1"/>
  <c r="S11" i="59"/>
  <c r="S34" i="35"/>
  <c r="AA34" i="35"/>
  <c r="D17" i="59"/>
  <c r="C18" i="59"/>
  <c r="Q54" i="44"/>
  <c r="F1" i="44"/>
  <c r="F1" i="15"/>
  <c r="Q53" i="15"/>
  <c r="O13" i="1"/>
  <c r="P13" i="1" s="1"/>
  <c r="AZ5" i="3"/>
  <c r="W25" i="37"/>
  <c r="AC25" i="37"/>
  <c r="AB34" i="35"/>
  <c r="U34" i="35"/>
  <c r="AA7" i="35"/>
  <c r="R38" i="35" s="1"/>
  <c r="S7" i="35"/>
  <c r="S30" i="21"/>
  <c r="AA30" i="21"/>
  <c r="AB12" i="21"/>
  <c r="U12" i="21"/>
  <c r="E571" i="3"/>
  <c r="G46" i="36"/>
  <c r="AB7" i="33"/>
  <c r="T48" i="33" s="1"/>
  <c r="G48" i="33" s="1"/>
  <c r="U7" i="33"/>
  <c r="F58" i="21"/>
  <c r="AC7" i="35"/>
  <c r="V38" i="35" s="1"/>
  <c r="I38" i="35" s="1"/>
  <c r="W7" i="35"/>
  <c r="H7" i="34"/>
  <c r="O17" i="46"/>
  <c r="M17" i="46"/>
  <c r="P17" i="46"/>
  <c r="N17" i="46"/>
  <c r="Q63" i="44"/>
  <c r="Q76" i="44"/>
  <c r="Q62" i="15"/>
  <c r="Q75" i="15"/>
  <c r="C48" i="15"/>
  <c r="M12" i="1"/>
  <c r="H16" i="1"/>
  <c r="Q16" i="1"/>
  <c r="AP16" i="1"/>
  <c r="F22" i="11" s="1"/>
  <c r="AA25" i="37"/>
  <c r="S25" i="37"/>
  <c r="S7" i="34"/>
  <c r="AA7" i="34"/>
  <c r="R49" i="34" s="1"/>
  <c r="W30" i="21"/>
  <c r="AC30" i="21"/>
  <c r="U30" i="21"/>
  <c r="AB30" i="21"/>
  <c r="S12" i="21"/>
  <c r="AA12" i="21"/>
  <c r="AA7" i="33"/>
  <c r="R48" i="33" s="1"/>
  <c r="S7" i="33"/>
  <c r="AC7" i="33"/>
  <c r="V48" i="33" s="1"/>
  <c r="I48" i="33" s="1"/>
  <c r="W7" i="3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F52" i="37"/>
  <c r="G52" i="37" s="1"/>
  <c r="H52" i="37" s="1"/>
  <c r="I52" i="37" s="1"/>
  <c r="J52" i="37" s="1"/>
  <c r="K52" i="37" s="1"/>
  <c r="L52" i="37" s="1"/>
  <c r="M52" i="37" s="1"/>
  <c r="N52" i="37" s="1"/>
  <c r="O52" i="37" s="1"/>
  <c r="P6" i="1"/>
  <c r="W7" i="34"/>
  <c r="AC7" i="34"/>
  <c r="V49" i="34" s="1"/>
  <c r="I49" i="34" s="1"/>
  <c r="AB7" i="35"/>
  <c r="T38" i="35" s="1"/>
  <c r="G38" i="35" s="1"/>
  <c r="U7" i="35"/>
  <c r="K34" i="9"/>
  <c r="Q75" i="44"/>
  <c r="Q62" i="44"/>
  <c r="Q74" i="15"/>
  <c r="Q61" i="15"/>
  <c r="E3" i="65"/>
  <c r="AC13" i="39" l="1"/>
  <c r="W13" i="39"/>
  <c r="W11" i="21"/>
  <c r="AC11" i="21"/>
  <c r="AA13" i="39"/>
  <c r="S13" i="39"/>
  <c r="AB13" i="39"/>
  <c r="U13" i="39"/>
  <c r="H33" i="21"/>
  <c r="J33" i="21"/>
  <c r="F33" i="21"/>
  <c r="U11" i="21"/>
  <c r="AB11" i="21"/>
  <c r="S11" i="21"/>
  <c r="AA11" i="21"/>
  <c r="W19" i="39"/>
  <c r="AC19" i="39"/>
  <c r="W17" i="39"/>
  <c r="AC17" i="39"/>
  <c r="J12" i="40"/>
  <c r="H12" i="40"/>
  <c r="U12" i="40" s="1"/>
  <c r="K16" i="1"/>
  <c r="J12" i="39"/>
  <c r="W12" i="39" s="1"/>
  <c r="F12" i="40"/>
  <c r="S12" i="40" s="1"/>
  <c r="H6" i="3"/>
  <c r="AC6" i="3"/>
  <c r="C116" i="46"/>
  <c r="D113" i="46"/>
  <c r="E6" i="3"/>
  <c r="S5" i="46"/>
  <c r="S6" i="46"/>
  <c r="S7" i="46"/>
  <c r="S2" i="46"/>
  <c r="S3" i="46"/>
  <c r="S4" i="46"/>
  <c r="M19" i="6"/>
  <c r="K27" i="6"/>
  <c r="O14" i="1"/>
  <c r="T11" i="1"/>
  <c r="P14" i="1"/>
  <c r="T7" i="1"/>
  <c r="T9" i="1"/>
  <c r="T12" i="1"/>
  <c r="T13" i="1"/>
  <c r="T6" i="1"/>
  <c r="T10" i="1"/>
  <c r="T8" i="1"/>
  <c r="L72" i="39"/>
  <c r="M70" i="39"/>
  <c r="J67" i="40"/>
  <c r="K65" i="40"/>
  <c r="F17" i="11"/>
  <c r="C17" i="11" s="1"/>
  <c r="I53" i="34"/>
  <c r="J53" i="34" s="1"/>
  <c r="F7" i="37"/>
  <c r="H7" i="37"/>
  <c r="F18" i="11"/>
  <c r="C18" i="11" s="1"/>
  <c r="F33" i="12"/>
  <c r="C34" i="12" s="1"/>
  <c r="D33" i="12" s="1"/>
  <c r="F24" i="43"/>
  <c r="C26" i="43" s="1"/>
  <c r="D24" i="43" s="1"/>
  <c r="O12" i="1"/>
  <c r="O16" i="1" s="1"/>
  <c r="M16" i="1"/>
  <c r="R39" i="35"/>
  <c r="E38" i="35"/>
  <c r="W12" i="40"/>
  <c r="AC12" i="40"/>
  <c r="AB12" i="40"/>
  <c r="U12" i="39"/>
  <c r="AB12" i="39"/>
  <c r="G43" i="35"/>
  <c r="H43" i="35" s="1"/>
  <c r="G42" i="35"/>
  <c r="H42" i="35" s="1"/>
  <c r="I52" i="33"/>
  <c r="J52" i="33" s="1"/>
  <c r="R49" i="33"/>
  <c r="E48" i="33"/>
  <c r="R50" i="34"/>
  <c r="E49" i="34"/>
  <c r="I54" i="34" s="1"/>
  <c r="J54" i="34" s="1"/>
  <c r="AB7" i="34"/>
  <c r="T49" i="34" s="1"/>
  <c r="G49" i="34" s="1"/>
  <c r="U7" i="34"/>
  <c r="I42" i="35"/>
  <c r="J42" i="35" s="1"/>
  <c r="I43" i="35"/>
  <c r="J43" i="35" s="1"/>
  <c r="G58" i="21"/>
  <c r="G52" i="33"/>
  <c r="H52" i="33" s="1"/>
  <c r="G53" i="33"/>
  <c r="H53" i="33" s="1"/>
  <c r="H46" i="36"/>
  <c r="E3" i="6"/>
  <c r="AY6" i="3"/>
  <c r="C19" i="59"/>
  <c r="D18" i="59"/>
  <c r="J7" i="37"/>
  <c r="AC12" i="39"/>
  <c r="AA12" i="40"/>
  <c r="S12" i="39"/>
  <c r="AA12" i="39"/>
  <c r="F24" i="15"/>
  <c r="C24" i="15" s="1"/>
  <c r="F26" i="44"/>
  <c r="C26" i="44" s="1"/>
  <c r="F26" i="12"/>
  <c r="C27" i="12" s="1"/>
  <c r="D26" i="12" s="1"/>
  <c r="C32" i="12" s="1"/>
  <c r="D30" i="12" s="1"/>
  <c r="F21" i="43"/>
  <c r="C23" i="43" s="1"/>
  <c r="D21" i="43" s="1"/>
  <c r="F11" i="15"/>
  <c r="F13" i="44"/>
  <c r="C12" i="44" s="1"/>
  <c r="C7" i="44" s="1"/>
  <c r="M11" i="15"/>
  <c r="J10" i="15" s="1"/>
  <c r="J5" i="15" s="1"/>
  <c r="M13" i="44"/>
  <c r="J12" i="44" s="1"/>
  <c r="J7" i="44" s="1"/>
  <c r="C14" i="15"/>
  <c r="C16" i="44"/>
  <c r="W33" i="21" l="1"/>
  <c r="AC33" i="21"/>
  <c r="S33" i="21"/>
  <c r="AA33" i="21"/>
  <c r="U33" i="21"/>
  <c r="AB33" i="21"/>
  <c r="P12" i="1"/>
  <c r="P16" i="1" s="1"/>
  <c r="C13" i="12" s="1"/>
  <c r="C14" i="12" s="1"/>
  <c r="C17" i="44"/>
  <c r="C20" i="44"/>
  <c r="C15" i="15"/>
  <c r="C18" i="15"/>
  <c r="T16" i="1"/>
  <c r="M27" i="6"/>
  <c r="I19" i="6"/>
  <c r="L65" i="40"/>
  <c r="K67" i="40"/>
  <c r="M72" i="39"/>
  <c r="N70" i="39"/>
  <c r="N72" i="39" s="1"/>
  <c r="J9" i="39" s="1"/>
  <c r="F9" i="39"/>
  <c r="J18" i="15"/>
  <c r="J24" i="15"/>
  <c r="J26" i="15"/>
  <c r="J29" i="15" s="1"/>
  <c r="C52" i="15"/>
  <c r="C47" i="15" s="1"/>
  <c r="C10" i="15"/>
  <c r="C5"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C49" i="34"/>
  <c r="C50" i="34"/>
  <c r="B3" i="34" s="1"/>
  <c r="B2" i="34" s="1"/>
  <c r="C49" i="33"/>
  <c r="B3" i="33" s="1"/>
  <c r="B2" i="33" s="1"/>
  <c r="C48" i="33"/>
  <c r="C38" i="35"/>
  <c r="C39" i="35"/>
  <c r="B3" i="35" s="1"/>
  <c r="B2" i="35" s="1"/>
  <c r="AA7" i="37"/>
  <c r="R42" i="37" s="1"/>
  <c r="S7" i="37"/>
  <c r="J20" i="44"/>
  <c r="J28" i="44"/>
  <c r="J31" i="44" s="1"/>
  <c r="J26" i="44"/>
  <c r="C40" i="44"/>
  <c r="C34" i="44"/>
  <c r="W7" i="37"/>
  <c r="AC7" i="37"/>
  <c r="V42" i="37" s="1"/>
  <c r="I42" i="37" s="1"/>
  <c r="D19" i="59"/>
  <c r="M20" i="46" s="1"/>
  <c r="C19" i="46" s="1"/>
  <c r="T19" i="59"/>
  <c r="D16" i="43"/>
  <c r="C16" i="43" s="1"/>
  <c r="D16" i="12"/>
  <c r="E6" i="6"/>
  <c r="L38" i="9"/>
  <c r="B14" i="66" s="1"/>
  <c r="B1" i="66" s="1"/>
  <c r="C21" i="4"/>
  <c r="O5" i="54" s="1"/>
  <c r="B45" i="63" s="1"/>
  <c r="D10" i="11"/>
  <c r="D45" i="9"/>
  <c r="D46" i="9"/>
  <c r="I46" i="36"/>
  <c r="H58" i="21"/>
  <c r="G54" i="34"/>
  <c r="H54" i="34" s="1"/>
  <c r="G53" i="34"/>
  <c r="H53" i="34" s="1"/>
  <c r="E54" i="34"/>
  <c r="F54" i="34" s="1"/>
  <c r="E53" i="34"/>
  <c r="F53" i="34" s="1"/>
  <c r="E52" i="33"/>
  <c r="F52" i="33" s="1"/>
  <c r="E53" i="33"/>
  <c r="F53" i="33" s="1"/>
  <c r="I53" i="33"/>
  <c r="J53" i="33" s="1"/>
  <c r="E42" i="35"/>
  <c r="F42" i="35" s="1"/>
  <c r="E43" i="35"/>
  <c r="F43" i="35" s="1"/>
  <c r="C13" i="43"/>
  <c r="N16" i="1"/>
  <c r="C29" i="43" s="1"/>
  <c r="L16" i="1"/>
  <c r="AB7" i="37"/>
  <c r="T42" i="37" s="1"/>
  <c r="G42" i="37" s="1"/>
  <c r="U7" i="37"/>
  <c r="C19" i="11"/>
  <c r="L52" i="44"/>
  <c r="C17" i="12" l="1"/>
  <c r="C21" i="44"/>
  <c r="C22" i="44" s="1"/>
  <c r="C28" i="44" s="1"/>
  <c r="C19" i="15"/>
  <c r="C20" i="15" s="1"/>
  <c r="I27" i="6"/>
  <c r="S19" i="6"/>
  <c r="S27" i="6" s="1"/>
  <c r="AC9" i="39"/>
  <c r="V49" i="39" s="1"/>
  <c r="I49" i="39" s="1"/>
  <c r="W9" i="39"/>
  <c r="AA9" i="39"/>
  <c r="R49" i="39" s="1"/>
  <c r="S9" i="39"/>
  <c r="H9" i="39"/>
  <c r="M65" i="40"/>
  <c r="L67" i="40"/>
  <c r="Q69" i="44"/>
  <c r="L58" i="44"/>
  <c r="L61" i="44" s="1"/>
  <c r="C20" i="11"/>
  <c r="C21" i="11" s="1"/>
  <c r="C22" i="11" s="1"/>
  <c r="C23" i="11" s="1"/>
  <c r="B2" i="11" s="1"/>
  <c r="G47" i="37"/>
  <c r="H47" i="37" s="1"/>
  <c r="G46" i="37"/>
  <c r="H46" i="37" s="1"/>
  <c r="C7" i="66"/>
  <c r="C8" i="66"/>
  <c r="C16" i="12"/>
  <c r="D19" i="12"/>
  <c r="C19" i="12" s="1"/>
  <c r="I46" i="37"/>
  <c r="J46" i="37" s="1"/>
  <c r="E42" i="37"/>
  <c r="R43" i="37"/>
  <c r="C32" i="15"/>
  <c r="C38" i="15"/>
  <c r="C17" i="43"/>
  <c r="C14" i="43"/>
  <c r="I58" i="21"/>
  <c r="J46" i="36"/>
  <c r="D22" i="12"/>
  <c r="C22" i="12" s="1"/>
  <c r="C20" i="12" s="1"/>
  <c r="D13" i="11"/>
  <c r="C13" i="11" s="1"/>
  <c r="T3" i="46"/>
  <c r="V3" i="46" s="1"/>
  <c r="T4" i="46"/>
  <c r="V4" i="46" s="1"/>
  <c r="T8" i="46"/>
  <c r="V8" i="46" s="1"/>
  <c r="T12" i="46"/>
  <c r="V12" i="46" s="1"/>
  <c r="T16" i="46"/>
  <c r="V16" i="46" s="1"/>
  <c r="T9" i="46"/>
  <c r="V9" i="46" s="1"/>
  <c r="T13" i="46"/>
  <c r="V13" i="46" s="1"/>
  <c r="T6" i="46"/>
  <c r="V6" i="46" s="1"/>
  <c r="T10" i="46"/>
  <c r="V10" i="46" s="1"/>
  <c r="T14" i="46"/>
  <c r="V14" i="46" s="1"/>
  <c r="T5" i="46"/>
  <c r="V5" i="46" s="1"/>
  <c r="T11" i="46"/>
  <c r="V11" i="46" s="1"/>
  <c r="T15" i="46"/>
  <c r="V15" i="46" s="1"/>
  <c r="C39" i="46"/>
  <c r="T2" i="46"/>
  <c r="V2" i="46" s="1"/>
  <c r="C34" i="46"/>
  <c r="C38" i="46"/>
  <c r="C29" i="46"/>
  <c r="T7" i="46"/>
  <c r="V7" i="46" s="1"/>
  <c r="C33" i="46"/>
  <c r="C35" i="46"/>
  <c r="C37" i="46"/>
  <c r="C36" i="46"/>
  <c r="Q67" i="44"/>
  <c r="Q49" i="44"/>
  <c r="Q55" i="44" s="1"/>
  <c r="Q58" i="44"/>
  <c r="E68" i="39"/>
  <c r="C22" i="4"/>
  <c r="D19" i="6"/>
  <c r="D21" i="6"/>
  <c r="D25" i="6"/>
  <c r="D10" i="6"/>
  <c r="D13" i="6"/>
  <c r="H21" i="6"/>
  <c r="H24" i="6"/>
  <c r="D6" i="6"/>
  <c r="D23" i="6"/>
  <c r="D14" i="6"/>
  <c r="D28" i="6"/>
  <c r="D20" i="6"/>
  <c r="D8" i="6"/>
  <c r="H23" i="6"/>
  <c r="E63" i="40"/>
  <c r="H19" i="6"/>
  <c r="D24" i="6"/>
  <c r="R24" i="6" s="1"/>
  <c r="D22" i="6"/>
  <c r="D12" i="6"/>
  <c r="H25" i="6"/>
  <c r="D5" i="6"/>
  <c r="H22" i="6"/>
  <c r="D15" i="6"/>
  <c r="K38" i="9"/>
  <c r="C14" i="66" s="1"/>
  <c r="B2" i="66" s="1"/>
  <c r="D11" i="6"/>
  <c r="D9" i="6"/>
  <c r="E45" i="9"/>
  <c r="F45" i="9"/>
  <c r="D26" i="6"/>
  <c r="H20" i="6"/>
  <c r="D29" i="6"/>
  <c r="H26" i="6"/>
  <c r="F46" i="9"/>
  <c r="E46" i="9"/>
  <c r="C59" i="15"/>
  <c r="C65" i="15"/>
  <c r="R23" i="6" l="1"/>
  <c r="C18" i="12"/>
  <c r="C23" i="12" s="1"/>
  <c r="H27" i="6"/>
  <c r="C23" i="15"/>
  <c r="D16" i="6"/>
  <c r="D30" i="6"/>
  <c r="C26" i="15"/>
  <c r="C25" i="44"/>
  <c r="C31" i="44" s="1"/>
  <c r="R25" i="6"/>
  <c r="R26" i="6"/>
  <c r="N65" i="40"/>
  <c r="N67" i="40" s="1"/>
  <c r="M67" i="40"/>
  <c r="F9" i="40"/>
  <c r="J9" i="40"/>
  <c r="H9" i="40"/>
  <c r="U9" i="39"/>
  <c r="AB9" i="39"/>
  <c r="T49" i="39" s="1"/>
  <c r="G49" i="39" s="1"/>
  <c r="E49" i="39"/>
  <c r="I53" i="39"/>
  <c r="J53" i="39" s="1"/>
  <c r="I54" i="39"/>
  <c r="J54" i="39" s="1"/>
  <c r="C18" i="43"/>
  <c r="C19" i="43" s="1"/>
  <c r="C22" i="43" s="1"/>
  <c r="C21" i="43" s="1"/>
  <c r="D7" i="66"/>
  <c r="D8" i="66"/>
  <c r="R22" i="6"/>
  <c r="R20" i="6"/>
  <c r="R21" i="6"/>
  <c r="A6" i="64"/>
  <c r="A6" i="51"/>
  <c r="B7" i="63" s="1"/>
  <c r="A20" i="51"/>
  <c r="B15" i="63" s="1"/>
  <c r="A20" i="64"/>
  <c r="N5" i="54"/>
  <c r="B43" i="63" s="1"/>
  <c r="G36" i="46"/>
  <c r="I36" i="46" s="1"/>
  <c r="E36" i="46"/>
  <c r="G35" i="46"/>
  <c r="I35" i="46" s="1"/>
  <c r="E35" i="46"/>
  <c r="G38" i="46"/>
  <c r="I38" i="46" s="1"/>
  <c r="E38" i="46"/>
  <c r="K46" i="36"/>
  <c r="J58" i="21"/>
  <c r="E47" i="37"/>
  <c r="F47" i="37" s="1"/>
  <c r="E46" i="37"/>
  <c r="F46" i="37" s="1"/>
  <c r="I47" i="37"/>
  <c r="J47" i="37" s="1"/>
  <c r="B3" i="11"/>
  <c r="B5" i="11"/>
  <c r="B4" i="11"/>
  <c r="Q59" i="44"/>
  <c r="Q64" i="44" s="1"/>
  <c r="Q68" i="44"/>
  <c r="Q77" i="44" s="1"/>
  <c r="R19" i="6"/>
  <c r="D27" i="6"/>
  <c r="D31" i="6" s="1"/>
  <c r="G37" i="46"/>
  <c r="I37" i="46" s="1"/>
  <c r="E37" i="46"/>
  <c r="E33" i="46"/>
  <c r="G33" i="46"/>
  <c r="I33" i="46" s="1"/>
  <c r="E29" i="46"/>
  <c r="C30" i="46"/>
  <c r="E30" i="46" s="1"/>
  <c r="C27" i="46" s="1"/>
  <c r="G34" i="46"/>
  <c r="I34" i="46" s="1"/>
  <c r="E34" i="46"/>
  <c r="G39" i="46"/>
  <c r="I39" i="46" s="1"/>
  <c r="E39" i="46"/>
  <c r="C43" i="37"/>
  <c r="B3" i="37" s="1"/>
  <c r="B2" i="37" s="1"/>
  <c r="C42" i="37"/>
  <c r="F7" i="67"/>
  <c r="R50" i="39" l="1"/>
  <c r="C29" i="15"/>
  <c r="J19" i="15" s="1"/>
  <c r="J17" i="15" s="1"/>
  <c r="R27" i="6"/>
  <c r="R6" i="1"/>
  <c r="R16" i="1" s="1"/>
  <c r="J21" i="44"/>
  <c r="J19" i="44" s="1"/>
  <c r="C38" i="44"/>
  <c r="C35" i="44"/>
  <c r="C33" i="44" s="1"/>
  <c r="Q51" i="44"/>
  <c r="C15" i="44"/>
  <c r="J16" i="44"/>
  <c r="C50" i="39"/>
  <c r="C49" i="39"/>
  <c r="W9" i="40"/>
  <c r="AC9" i="40"/>
  <c r="V44" i="40" s="1"/>
  <c r="I44" i="40" s="1"/>
  <c r="E54" i="39"/>
  <c r="F54" i="39" s="1"/>
  <c r="E53" i="39"/>
  <c r="F53" i="39" s="1"/>
  <c r="G54" i="39"/>
  <c r="H54" i="39" s="1"/>
  <c r="G53" i="39"/>
  <c r="H53" i="39" s="1"/>
  <c r="U9" i="40"/>
  <c r="AB9" i="40"/>
  <c r="T44" i="40" s="1"/>
  <c r="G44" i="40" s="1"/>
  <c r="S9" i="40"/>
  <c r="AA9" i="40"/>
  <c r="R44" i="40" s="1"/>
  <c r="C25" i="43"/>
  <c r="C24" i="43" s="1"/>
  <c r="C28" i="43" s="1"/>
  <c r="C30" i="43" s="1"/>
  <c r="C32" i="43" s="1"/>
  <c r="B2" i="43" s="1"/>
  <c r="E4" i="67"/>
  <c r="C26" i="46"/>
  <c r="I6" i="6"/>
  <c r="I5" i="6"/>
  <c r="K58" i="21"/>
  <c r="L46" i="36"/>
  <c r="M46" i="36" s="1"/>
  <c r="N46" i="36" s="1"/>
  <c r="O46" i="36" s="1"/>
  <c r="F7" i="36"/>
  <c r="E7" i="67"/>
  <c r="C56" i="15" l="1"/>
  <c r="C63" i="15" s="1"/>
  <c r="C13" i="15"/>
  <c r="Q71" i="15" s="1"/>
  <c r="Q50" i="15"/>
  <c r="C36" i="15"/>
  <c r="J14" i="15"/>
  <c r="J13" i="15" s="1"/>
  <c r="J23" i="15" s="1"/>
  <c r="J59" i="15"/>
  <c r="J60" i="15" s="1"/>
  <c r="Q49" i="15" s="1"/>
  <c r="C33" i="15"/>
  <c r="C31" i="15" s="1"/>
  <c r="J24" i="44"/>
  <c r="J15" i="44"/>
  <c r="J25" i="44" s="1"/>
  <c r="C55" i="15"/>
  <c r="C64" i="15" s="1"/>
  <c r="C39" i="44"/>
  <c r="C32" i="44" s="1"/>
  <c r="C42" i="44" s="1"/>
  <c r="Q72" i="44"/>
  <c r="C43" i="44"/>
  <c r="E44" i="40"/>
  <c r="I49" i="40" s="1"/>
  <c r="J49" i="40" s="1"/>
  <c r="R45" i="40"/>
  <c r="G49" i="40"/>
  <c r="H49" i="40" s="1"/>
  <c r="G48" i="40"/>
  <c r="H48" i="40" s="1"/>
  <c r="I48" i="40"/>
  <c r="J48" i="40" s="1"/>
  <c r="B66" i="39"/>
  <c r="F66" i="39" s="1"/>
  <c r="B61" i="39"/>
  <c r="F61" i="39" s="1"/>
  <c r="B59" i="39"/>
  <c r="F59" i="39" s="1"/>
  <c r="B63" i="39"/>
  <c r="F63" i="39" s="1"/>
  <c r="B60" i="39"/>
  <c r="F60" i="39" s="1"/>
  <c r="B64" i="39"/>
  <c r="F64" i="39" s="1"/>
  <c r="B65" i="39"/>
  <c r="F65" i="39" s="1"/>
  <c r="B58" i="39"/>
  <c r="F58" i="39" s="1"/>
  <c r="B62" i="39"/>
  <c r="F62" i="39" s="1"/>
  <c r="B67" i="39"/>
  <c r="F67" i="39" s="1"/>
  <c r="B4" i="43"/>
  <c r="B3" i="43"/>
  <c r="B5" i="43"/>
  <c r="E3" i="67"/>
  <c r="H7" i="36"/>
  <c r="J7" i="36"/>
  <c r="L58" i="21"/>
  <c r="AA7" i="36"/>
  <c r="R36" i="36" s="1"/>
  <c r="S7" i="36"/>
  <c r="B2" i="46"/>
  <c r="B7" i="67"/>
  <c r="F68" i="39" l="1"/>
  <c r="B2" i="39" s="1"/>
  <c r="J22" i="15"/>
  <c r="J16" i="15" s="1"/>
  <c r="J25" i="15" s="1"/>
  <c r="C60" i="15"/>
  <c r="C58" i="15" s="1"/>
  <c r="C57" i="15" s="1"/>
  <c r="C66" i="15" s="1"/>
  <c r="C67" i="15" s="1"/>
  <c r="C70" i="15" s="1"/>
  <c r="L46" i="15"/>
  <c r="J35" i="15"/>
  <c r="C37" i="15"/>
  <c r="C30" i="15" s="1"/>
  <c r="C39" i="15" s="1"/>
  <c r="Q71" i="44"/>
  <c r="Q70" i="44" s="1"/>
  <c r="C44" i="44"/>
  <c r="C45" i="44" s="1"/>
  <c r="B2" i="44" s="1"/>
  <c r="J18" i="44"/>
  <c r="J27" i="44" s="1"/>
  <c r="C45" i="40"/>
  <c r="C44" i="40"/>
  <c r="B5" i="39"/>
  <c r="B3" i="39"/>
  <c r="B4" i="39"/>
  <c r="E49" i="40"/>
  <c r="F49" i="40" s="1"/>
  <c r="E48" i="40"/>
  <c r="F48" i="40" s="1"/>
  <c r="B2" i="67"/>
  <c r="E36" i="36"/>
  <c r="R37" i="36"/>
  <c r="M58" i="21"/>
  <c r="AB7" i="36"/>
  <c r="T36" i="36" s="1"/>
  <c r="G36" i="36" s="1"/>
  <c r="U7" i="36"/>
  <c r="D4" i="46"/>
  <c r="B4" i="46"/>
  <c r="B3" i="46"/>
  <c r="W7" i="36"/>
  <c r="AC7" i="36"/>
  <c r="V36" i="36" s="1"/>
  <c r="I36" i="36" s="1"/>
  <c r="C19" i="9"/>
  <c r="C21" i="9"/>
  <c r="C20" i="9"/>
  <c r="L51" i="15"/>
  <c r="L43" i="9" l="1"/>
  <c r="L57" i="15"/>
  <c r="L60" i="15" s="1"/>
  <c r="Q58" i="15" s="1"/>
  <c r="Q68" i="15"/>
  <c r="J39" i="15"/>
  <c r="J40" i="15" s="1"/>
  <c r="Q70" i="15"/>
  <c r="Q69" i="15" s="1"/>
  <c r="C40" i="15"/>
  <c r="Q57" i="15" s="1"/>
  <c r="B5" i="44"/>
  <c r="B3" i="44"/>
  <c r="B4" i="44"/>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6" i="36"/>
  <c r="C37" i="36"/>
  <c r="B3" i="36" s="1"/>
  <c r="B2" i="36" s="1"/>
  <c r="I40" i="36"/>
  <c r="J40" i="36" s="1"/>
  <c r="I41" i="36"/>
  <c r="J41" i="36" s="1"/>
  <c r="G40" i="36"/>
  <c r="H40" i="36" s="1"/>
  <c r="G41" i="36"/>
  <c r="H41" i="36" s="1"/>
  <c r="N58" i="21"/>
  <c r="O58" i="21" s="1"/>
  <c r="H7" i="21"/>
  <c r="E40" i="36"/>
  <c r="F40" i="36" s="1"/>
  <c r="E41" i="36"/>
  <c r="F41" i="36" s="1"/>
  <c r="B4" i="67"/>
  <c r="B3" i="67"/>
  <c r="Q63" i="15" l="1"/>
  <c r="C46" i="15"/>
  <c r="J42" i="15"/>
  <c r="J43" i="15" s="1"/>
  <c r="C43" i="15"/>
  <c r="Q66" i="15"/>
  <c r="B2" i="15"/>
  <c r="B3" i="15" s="1"/>
  <c r="Q48" i="15"/>
  <c r="Q54" i="15" s="1"/>
  <c r="Q67" i="15"/>
  <c r="B4" i="40"/>
  <c r="B5" i="40"/>
  <c r="B3" i="40"/>
  <c r="U7" i="21"/>
  <c r="AB7" i="21"/>
  <c r="T48" i="21" s="1"/>
  <c r="G48" i="21" s="1"/>
  <c r="F7" i="21"/>
  <c r="J7" i="21"/>
  <c r="Q76" i="15" l="1"/>
  <c r="AC7" i="21"/>
  <c r="V48" i="21" s="1"/>
  <c r="I48" i="21" s="1"/>
  <c r="G53" i="21" s="1"/>
  <c r="H53" i="21" s="1"/>
  <c r="W7" i="21"/>
  <c r="G52" i="21"/>
  <c r="H52" i="21" s="1"/>
  <c r="S7" i="21"/>
  <c r="AA7" i="21"/>
  <c r="R48" i="21" s="1"/>
  <c r="R49" i="21" l="1"/>
  <c r="E48" i="21"/>
  <c r="I52" i="21"/>
  <c r="J52" i="21" s="1"/>
  <c r="I53" i="21"/>
  <c r="J53" i="21" s="1"/>
  <c r="E52" i="21" l="1"/>
  <c r="F52" i="21" s="1"/>
  <c r="E53" i="21"/>
  <c r="F53" i="21" s="1"/>
  <c r="C49" i="21"/>
  <c r="B3" i="21" s="1"/>
  <c r="C48" i="21"/>
  <c r="B2" i="21" l="1"/>
  <c r="C10" i="12" s="1"/>
  <c r="C6" i="12" s="1"/>
  <c r="C8" i="12"/>
  <c r="C29" i="12" l="1"/>
  <c r="C24" i="12"/>
  <c r="C35" i="12" l="1"/>
  <c r="C33" i="12" s="1"/>
  <c r="C28" i="12"/>
  <c r="C26" i="12" s="1"/>
  <c r="C31" i="12" s="1"/>
  <c r="C30" i="12" s="1"/>
  <c r="C36" i="12" l="1"/>
  <c r="B2" i="12" s="1"/>
  <c r="D19" i="9"/>
  <c r="L44" i="9" l="1"/>
  <c r="D22" i="9"/>
  <c r="G19" i="9"/>
  <c r="B4" i="12"/>
  <c r="B3" i="12"/>
  <c r="B5" i="12"/>
  <c r="D20" i="9"/>
  <c r="D21" i="9"/>
  <c r="G21" i="9" l="1"/>
  <c r="G20" i="9"/>
  <c r="C32" i="9"/>
  <c r="N43" i="9"/>
  <c r="G22" i="9"/>
  <c r="C42" i="9" l="1"/>
  <c r="O43" i="9"/>
  <c r="O38" i="9"/>
  <c r="C33" i="9"/>
  <c r="C34" i="9"/>
  <c r="C35" i="9"/>
  <c r="F42" i="9" s="1"/>
  <c r="N38" i="9" l="1"/>
  <c r="K28" i="9" s="1"/>
  <c r="D42" i="9"/>
  <c r="Q5" i="54" s="1"/>
  <c r="B47" i="63" s="1"/>
  <c r="M38" i="9"/>
  <c r="K27" i="9" s="1"/>
  <c r="E42" i="9"/>
  <c r="P5" i="54" s="1"/>
  <c r="B46" i="63" s="1"/>
  <c r="K25" i="9"/>
  <c r="K26" i="9"/>
  <c r="C44" i="9"/>
  <c r="N68" i="9"/>
  <c r="R5" i="54"/>
  <c r="B48" i="63" s="1"/>
  <c r="D14" i="66"/>
  <c r="D63" i="9"/>
  <c r="B5" i="66" l="1"/>
  <c r="E14" i="66"/>
  <c r="F14" i="66"/>
  <c r="C111" i="9"/>
  <c r="C104" i="9" s="1"/>
  <c r="D77" i="9"/>
  <c r="N75" i="9" s="1"/>
  <c r="C82" i="9"/>
  <c r="C81" i="9" s="1"/>
  <c r="C85" i="9" s="1"/>
  <c r="C86" i="9" s="1"/>
  <c r="D72" i="9" s="1"/>
  <c r="C103" i="9"/>
  <c r="D71" i="9"/>
  <c r="D66" i="9" s="1"/>
  <c r="N72" i="9" s="1"/>
  <c r="D70" i="9"/>
  <c r="C96" i="9"/>
  <c r="C91" i="9" s="1"/>
  <c r="C90" i="9"/>
  <c r="O39" i="9"/>
  <c r="N69" i="9"/>
  <c r="D44" i="9"/>
  <c r="G14" i="66"/>
  <c r="B6" i="66" s="1"/>
  <c r="E44" i="9"/>
  <c r="F44" i="9"/>
  <c r="C113" i="9" l="1"/>
  <c r="R6" i="54"/>
  <c r="B50" i="63" s="1"/>
  <c r="K29" i="9"/>
  <c r="K30" i="9" s="1"/>
  <c r="C6" i="66"/>
  <c r="D6" i="66"/>
  <c r="M88" i="9"/>
  <c r="N88" i="9" s="1"/>
  <c r="M84" i="9"/>
  <c r="N84" i="9" s="1"/>
  <c r="M83" i="9"/>
  <c r="N83" i="9" s="1"/>
  <c r="M86" i="9"/>
  <c r="N86" i="9" s="1"/>
  <c r="M85" i="9"/>
  <c r="N85" i="9" s="1"/>
  <c r="M87" i="9"/>
  <c r="N87" i="9" s="1"/>
  <c r="C97" i="9"/>
  <c r="C114" i="9"/>
  <c r="E114" i="9" s="1"/>
  <c r="E115" i="9" s="1"/>
  <c r="C5" i="66"/>
  <c r="D5" i="66"/>
  <c r="N89" i="9" l="1"/>
  <c r="O89" i="9" s="1"/>
  <c r="C115" i="9"/>
  <c r="D76" i="9" s="1"/>
  <c r="D74" i="9" s="1"/>
  <c r="N74" i="9" s="1"/>
  <c r="O77" i="9" s="1"/>
  <c r="O78" i="9" s="1"/>
  <c r="C98" i="9"/>
  <c r="E98" i="9" s="1"/>
  <c r="E9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<sst xmlns="http://schemas.openxmlformats.org/spreadsheetml/2006/main" count="8562" uniqueCount="3677">
  <si>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</si>
  <si>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</si>
  <si>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</si>
  <si>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</si>
  <si>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</si>
  <si>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</si>
  <si>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</si>
  <si>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</si>
  <si>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</si>
  <si>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</si>
  <si>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</si>
  <si>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</si>
  <si>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</si>
  <si>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</si>
  <si>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</si>
  <si>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</si>
  <si>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</si>
  <si>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</si>
  <si>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</si>
  <si>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</si>
  <si>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</si>
  <si>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</si>
  <si>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</si>
  <si>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</si>
  <si>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</si>
  <si>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</si>
  <si>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</si>
  <si>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</si>
  <si>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</si>
  <si>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</si>
  <si>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</si>
  <si>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</si>
  <si>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</si>
  <si>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</si>
  <si>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</si>
  <si>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</si>
  <si>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</si>
  <si>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</si>
  <si>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</si>
  <si>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</si>
  <si>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</si>
  <si>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</si>
  <si>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</si>
  <si>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</si>
  <si>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</si>
  <si>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</si>
  <si>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</si>
  <si>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</si>
  <si>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</si>
  <si>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</si>
  <si>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</si>
  <si>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</si>
  <si>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</si>
  <si>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</si>
  <si>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</si>
  <si>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</si>
  <si>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</si>
  <si>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</si>
  <si>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</si>
  <si>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</si>
  <si>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</si>
  <si>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</si>
  <si>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</si>
  <si>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</si>
  <si>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</si>
  <si>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</si>
  <si>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</si>
  <si>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</si>
  <si>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</si>
  <si>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</si>
  <si>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</si>
  <si>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</si>
  <si>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</si>
  <si>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</si>
  <si>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</si>
  <si>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</si>
  <si>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</si>
  <si>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</si>
  <si>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</si>
  <si>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</si>
  <si>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</si>
  <si>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</si>
  <si>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</si>
  <si>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</si>
  <si>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</si>
  <si>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</si>
  <si>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</si>
  <si>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</si>
  <si>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</si>
  <si>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</si>
  <si>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</si>
  <si>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</si>
  <si>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</si>
  <si>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</si>
  <si>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</si>
  <si>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</si>
  <si>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</si>
  <si>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</si>
  <si>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</si>
  <si>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</si>
  <si>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</si>
  <si>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</si>
  <si>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</si>
  <si>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</si>
  <si>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</si>
  <si>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</si>
  <si>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</si>
  <si>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</si>
  <si>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</si>
  <si>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</si>
  <si>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</si>
  <si>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</si>
  <si>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</si>
  <si>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</si>
  <si>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</si>
  <si>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</si>
  <si>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</si>
  <si>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</si>
  <si>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</si>
  <si>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</si>
  <si>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</si>
  <si>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</si>
  <si>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</si>
  <si>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</si>
  <si>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</si>
  <si>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</si>
  <si>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</si>
  <si>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</si>
  <si>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</si>
  <si>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</si>
  <si>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</si>
  <si>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</si>
  <si>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</si>
  <si>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</si>
  <si>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</si>
  <si>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</si>
  <si>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</si>
  <si>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</si>
  <si>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</si>
  <si>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</si>
  <si>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</si>
  <si>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</si>
  <si>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</si>
  <si>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</si>
  <si>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</si>
  <si>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</si>
  <si>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</si>
  <si>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</si>
  <si>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</si>
  <si>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</si>
  <si>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</si>
  <si>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</si>
  <si>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</si>
  <si>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</si>
  <si>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</si>
  <si>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</si>
  <si>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</si>
  <si>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</si>
  <si>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</si>
  <si>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</si>
  <si>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</si>
  <si>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</si>
  <si>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</si>
  <si>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</si>
  <si>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</si>
  <si>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</si>
  <si>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</si>
  <si>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</si>
  <si>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</si>
  <si>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</si>
  <si>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</si>
  <si>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</si>
  <si>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</si>
  <si>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</si>
  <si>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</si>
  <si>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</si>
  <si>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</si>
  <si>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</si>
  <si>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</si>
  <si>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</si>
  <si>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</si>
  <si>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</si>
  <si>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</si>
  <si>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</si>
  <si>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</si>
  <si>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</si>
  <si>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</si>
  <si>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</si>
  <si>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</si>
  <si>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</si>
  <si>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</si>
  <si>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</si>
  <si>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</si>
  <si>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</si>
  <si>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</si>
  <si>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</si>
  <si>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</si>
  <si>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</si>
  <si>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</si>
  <si>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</si>
  <si>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</si>
  <si>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</si>
  <si>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</si>
  <si>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</si>
  <si>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</si>
  <si>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</si>
  <si>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</si>
  <si>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</si>
  <si>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</si>
  <si>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</si>
  <si>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</si>
  <si>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</si>
  <si>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</si>
  <si>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</si>
  <si>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</si>
  <si>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</si>
  <si>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</si>
  <si>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</si>
  <si>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</si>
  <si>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</si>
  <si>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</si>
  <si>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</si>
  <si>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</si>
  <si>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</si>
  <si>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</si>
  <si>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</si>
  <si>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</si>
  <si>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</si>
  <si>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</si>
  <si>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</si>
  <si>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</si>
  <si>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</si>
  <si>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</si>
  <si>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</si>
  <si>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</si>
  <si>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</si>
  <si>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</si>
  <si>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</si>
  <si>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</si>
  <si>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</si>
  <si>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</si>
  <si>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</si>
  <si>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</si>
  <si>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</si>
  <si>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</si>
  <si>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</si>
  <si>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</si>
  <si>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</si>
  <si>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</si>
  <si>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</si>
  <si>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</si>
  <si>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</si>
  <si>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</si>
  <si>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</si>
  <si>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</si>
  <si>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</si>
  <si>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</si>
  <si>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</si>
  <si>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</si>
  <si>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</si>
  <si>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</si>
  <si>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</si>
  <si>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</si>
  <si>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</si>
  <si>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</si>
  <si>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</si>
  <si>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</si>
  <si>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</si>
  <si>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</si>
  <si>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</si>
  <si>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</si>
  <si>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</si>
  <si>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</si>
  <si>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</si>
  <si>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</si>
  <si>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</si>
  <si>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</si>
  <si>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</si>
  <si>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</si>
  <si>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</si>
  <si>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</si>
  <si>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</si>
  <si>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</si>
  <si>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</si>
  <si>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</si>
  <si>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</si>
  <si>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</si>
  <si>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</si>
  <si>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</si>
  <si>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</si>
  <si>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</si>
  <si>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</si>
  <si>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</si>
  <si>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</si>
  <si>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</si>
  <si>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</si>
  <si>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</si>
  <si>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</si>
  <si>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</si>
  <si>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</si>
  <si>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</si>
  <si>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</si>
  <si>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</si>
  <si>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</si>
  <si>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</si>
  <si>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</si>
  <si>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</si>
  <si>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</si>
  <si>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</si>
  <si>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</si>
  <si>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</si>
  <si>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</si>
  <si>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</si>
  <si>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</si>
  <si>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</si>
  <si>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</si>
  <si>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</si>
  <si>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</si>
  <si>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</si>
  <si>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</si>
  <si>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</si>
  <si>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</si>
  <si>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</si>
  <si>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</si>
  <si>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</si>
  <si>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</si>
  <si>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</si>
  <si>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</si>
  <si>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</si>
  <si>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</si>
  <si>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</si>
  <si>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</si>
  <si>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</si>
  <si>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</si>
  <si>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</si>
  <si>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</si>
  <si>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</si>
  <si>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</si>
  <si>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</si>
  <si>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</si>
  <si>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</si>
  <si>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</si>
  <si>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</si>
  <si>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</si>
  <si>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</si>
  <si>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</si>
  <si>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</si>
  <si>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</si>
  <si>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</si>
  <si>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</si>
  <si>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</si>
  <si>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</si>
  <si>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</si>
  <si>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</si>
  <si>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</si>
  <si>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</si>
  <si>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</si>
  <si>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</si>
  <si>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</si>
  <si>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</si>
  <si>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</si>
  <si>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</si>
  <si>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</si>
  <si>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</si>
  <si>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</si>
  <si>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</si>
  <si>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</si>
  <si>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</si>
  <si>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</si>
  <si>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</si>
  <si>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</si>
  <si>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</si>
  <si>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</si>
  <si>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</si>
  <si>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</si>
  <si>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</si>
  <si>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</si>
  <si>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</si>
  <si>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</si>
  <si>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</si>
  <si>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</si>
  <si>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</si>
  <si>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</si>
  <si>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</si>
  <si>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</si>
  <si>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</si>
  <si>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</si>
  <si>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</si>
  <si>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</si>
  <si>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</si>
  <si>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</si>
  <si>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</si>
  <si>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</si>
  <si>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</si>
  <si>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</si>
  <si>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</si>
  <si>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</si>
  <si>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</si>
  <si>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</si>
  <si>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</si>
  <si>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</si>
  <si>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</si>
  <si>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</si>
  <si>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</si>
  <si>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</si>
  <si>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</si>
  <si>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</si>
  <si>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</si>
  <si>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</si>
  <si>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</si>
  <si>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</si>
  <si>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</si>
  <si>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</si>
  <si>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</si>
  <si>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</si>
  <si>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</si>
  <si>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</si>
  <si>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</si>
  <si>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</si>
  <si>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</si>
  <si>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</si>
  <si>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</si>
  <si>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</si>
  <si>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</si>
  <si>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</si>
  <si>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</si>
  <si>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</si>
  <si>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</si>
  <si>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</si>
  <si>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</si>
  <si>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</si>
  <si>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</si>
  <si>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</si>
  <si>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</si>
  <si>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</si>
  <si>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</si>
  <si>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</si>
  <si>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</si>
  <si>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</si>
  <si>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</si>
  <si>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</si>
  <si>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</si>
  <si>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</si>
  <si>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</si>
  <si>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</si>
  <si>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</si>
  <si>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</si>
  <si>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</si>
  <si>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</si>
  <si>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</si>
  <si>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</si>
  <si>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</si>
  <si>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</si>
  <si>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</si>
  <si>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</si>
  <si>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</si>
  <si>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</si>
  <si>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</si>
  <si>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</si>
  <si>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</si>
  <si>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</si>
  <si>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</si>
  <si>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</si>
  <si>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</si>
  <si>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</si>
  <si>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</si>
  <si>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</si>
  <si>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</si>
  <si>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</si>
  <si>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</si>
  <si>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</si>
  <si>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</si>
  <si>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</si>
  <si>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</si>
  <si>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</si>
  <si>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</si>
  <si>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</si>
  <si>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</si>
  <si>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</si>
  <si>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</si>
  <si>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</si>
  <si>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</si>
  <si>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</si>
  <si>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</si>
  <si>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</si>
  <si>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</si>
  <si>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</si>
  <si>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</si>
  <si>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</si>
  <si>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</si>
  <si>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</si>
  <si>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</si>
  <si>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</si>
  <si>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</si>
  <si>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</si>
  <si>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</si>
  <si>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</si>
  <si>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</si>
  <si>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</si>
  <si>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</si>
  <si>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</si>
  <si>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</si>
  <si>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</si>
  <si>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</si>
  <si>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</si>
  <si>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</si>
  <si>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</si>
  <si>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</si>
  <si>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</si>
  <si>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</si>
  <si>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</si>
  <si>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</si>
  <si>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</si>
  <si>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</si>
  <si>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</si>
  <si>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</si>
  <si>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</si>
  <si>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</si>
  <si>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</si>
  <si>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</si>
  <si>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</si>
  <si>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</si>
  <si>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</si>
  <si>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</si>
  <si>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</si>
  <si>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</si>
  <si>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</si>
  <si>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</si>
  <si>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</si>
  <si>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</si>
  <si>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</si>
  <si>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</si>
  <si>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</si>
  <si>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</si>
  <si>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</si>
  <si>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</si>
  <si>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</si>
  <si>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</si>
  <si>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</si>
  <si>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</si>
  <si>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</si>
  <si>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</si>
  <si>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</si>
  <si>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</si>
  <si>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</si>
  <si>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</si>
  <si>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</si>
  <si>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</si>
  <si>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</si>
  <si>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</si>
  <si>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</si>
  <si>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</si>
  <si>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</si>
  <si>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</si>
  <si>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</si>
  <si>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</si>
  <si>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</si>
  <si>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</si>
  <si>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</si>
  <si>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</si>
  <si>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</si>
  <si>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</si>
  <si>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</si>
  <si>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</si>
  <si>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</si>
  <si>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</si>
  <si>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</si>
  <si>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</si>
  <si>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</si>
  <si>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</si>
  <si>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</si>
  <si>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</si>
  <si>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</si>
  <si>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</si>
  <si>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</si>
  <si>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</si>
  <si>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</si>
  <si>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</si>
  <si>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</si>
  <si>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</si>
  <si>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</si>
  <si>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</si>
  <si>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</si>
  <si>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</si>
  <si>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</si>
  <si>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</si>
  <si>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</si>
  <si>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</si>
  <si>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</si>
  <si>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</si>
  <si>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</si>
  <si>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</si>
  <si>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</si>
  <si>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</si>
  <si>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</si>
  <si>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</si>
  <si>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</si>
  <si>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</si>
  <si>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</si>
  <si>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</si>
  <si>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</si>
  <si>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</si>
  <si>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</si>
  <si>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</si>
  <si>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</si>
  <si>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</si>
  <si>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</si>
  <si>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</si>
  <si>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</si>
  <si>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</si>
  <si>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</si>
  <si>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</si>
  <si>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</si>
  <si>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</si>
  <si>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</si>
  <si>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</si>
  <si>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</si>
  <si>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</si>
  <si>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</si>
  <si>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</si>
  <si>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</si>
  <si>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</si>
  <si>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</si>
  <si>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</si>
  <si>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</si>
  <si>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</si>
  <si>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</si>
  <si>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</si>
  <si>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</si>
  <si>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</si>
  <si>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</si>
  <si>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</si>
  <si>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</si>
  <si>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</si>
  <si>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</si>
  <si>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</si>
  <si>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</si>
  <si>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</si>
  <si>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</si>
  <si>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</si>
  <si>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</si>
  <si>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</si>
  <si>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</si>
  <si>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</si>
  <si>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</si>
  <si>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</si>
  <si>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</si>
  <si>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</si>
  <si>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</si>
  <si>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</si>
  <si>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</si>
  <si>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</si>
  <si>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</si>
  <si>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</si>
  <si>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</si>
  <si>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</si>
  <si>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</si>
  <si>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</si>
  <si>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</si>
  <si>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</si>
  <si>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</si>
  <si>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</si>
  <si>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</si>
  <si>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</si>
  <si>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</si>
  <si>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</si>
  <si>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</si>
  <si>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</si>
  <si>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</si>
  <si>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</si>
  <si>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</si>
  <si>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</si>
  <si>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</si>
  <si>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</si>
  <si>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</si>
  <si>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</si>
  <si>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</si>
  <si>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</si>
  <si>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</si>
  <si>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</si>
  <si>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</si>
  <si>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</si>
  <si>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</si>
  <si>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</si>
  <si>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</si>
  <si>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</si>
  <si>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</si>
  <si>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</si>
  <si>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</si>
  <si>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</si>
  <si>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</si>
  <si>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</si>
  <si>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</si>
  <si>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</si>
  <si>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</si>
  <si>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</si>
  <si>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</si>
  <si>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</si>
  <si>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</si>
  <si>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</si>
  <si>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</si>
  <si>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</si>
  <si>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</si>
  <si>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</si>
  <si>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</si>
  <si>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</si>
  <si>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</si>
  <si>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</si>
  <si>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</si>
  <si>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</si>
  <si>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</si>
  <si>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</si>
  <si>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</si>
  <si>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</si>
  <si>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</si>
  <si>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</si>
  <si>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</si>
  <si>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</si>
  <si>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</si>
  <si>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</si>
  <si>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</si>
  <si>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</si>
  <si>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</si>
  <si>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</si>
  <si>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</si>
  <si>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</si>
  <si>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</si>
  <si>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</si>
  <si>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</si>
  <si>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</si>
  <si>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</si>
  <si>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</si>
  <si>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</si>
  <si>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</si>
  <si>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</si>
  <si>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</si>
  <si>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</si>
  <si>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</si>
  <si>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</si>
  <si>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</si>
  <si>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</si>
  <si>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</si>
  <si>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</si>
  <si>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</si>
  <si>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</si>
  <si>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</si>
  <si>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</si>
  <si>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</si>
  <si>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</si>
  <si>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</si>
  <si>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</si>
  <si>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</si>
  <si>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</si>
  <si>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</si>
  <si>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</si>
  <si>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</si>
  <si>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</si>
  <si>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</si>
  <si>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</si>
  <si>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</si>
  <si>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</si>
  <si>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</si>
  <si>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</si>
  <si>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</si>
  <si>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</si>
  <si>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</si>
  <si>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</si>
  <si>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</si>
  <si>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</si>
  <si>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</si>
  <si>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</si>
  <si>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</si>
  <si>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</si>
  <si>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</si>
  <si>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</si>
  <si>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</si>
  <si>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</si>
  <si>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</si>
  <si>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</si>
  <si>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</si>
  <si>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</si>
  <si>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</si>
  <si>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</si>
  <si>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</si>
  <si>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</si>
  <si>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</si>
  <si>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</si>
  <si>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</si>
  <si>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</si>
  <si>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</si>
  <si>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</si>
  <si>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</si>
  <si>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</si>
  <si>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</si>
  <si>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</si>
  <si>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</si>
  <si>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</si>
  <si>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</si>
  <si>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</si>
  <si>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</si>
  <si>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</si>
  <si>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</si>
  <si>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</si>
  <si>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</si>
  <si>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</si>
  <si>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</si>
  <si>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</si>
  <si>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</si>
  <si>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</si>
  <si>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</si>
  <si>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</si>
  <si>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</si>
  <si>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</si>
  <si>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</si>
  <si>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</si>
  <si>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</si>
  <si>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</si>
  <si>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</si>
  <si>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</si>
  <si>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</si>
  <si>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</si>
  <si>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</si>
  <si>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</si>
  <si>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</si>
  <si>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</si>
  <si>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</si>
  <si>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</si>
  <si>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</si>
  <si>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</si>
  <si>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</si>
  <si>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</si>
  <si>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</si>
  <si>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</si>
  <si>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</si>
  <si>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</si>
  <si>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</si>
  <si>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</si>
  <si>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</si>
  <si>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</si>
  <si>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</si>
  <si>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</si>
  <si>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</si>
  <si>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</si>
  <si>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</si>
  <si>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</si>
  <si>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</si>
  <si>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</si>
  <si>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</si>
  <si>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</si>
  <si>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</si>
  <si>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</si>
  <si>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</si>
  <si>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</si>
  <si>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</si>
  <si>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</si>
  <si>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</si>
  <si>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</si>
  <si>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</si>
  <si>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</si>
  <si>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</si>
  <si>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</si>
  <si>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</si>
  <si>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</si>
  <si>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</si>
  <si>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</si>
  <si>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</si>
  <si>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</si>
  <si>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</si>
  <si>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</si>
  <si>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</si>
  <si>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</si>
  <si>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</si>
  <si>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</si>
  <si>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</si>
  <si>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</si>
  <si>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</si>
  <si>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</si>
  <si>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</si>
  <si>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</si>
  <si>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</si>
  <si>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</si>
  <si>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</si>
  <si>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</si>
  <si>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</si>
  <si>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</si>
  <si>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</si>
  <si>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</si>
  <si>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</si>
  <si>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</si>
  <si>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</si>
  <si>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</si>
  <si>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</si>
  <si>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</si>
  <si>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</si>
  <si>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</si>
  <si>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</si>
  <si>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</si>
  <si>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</si>
  <si>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</si>
  <si>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</si>
  <si>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</si>
  <si>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</si>
  <si>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</si>
  <si>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</si>
  <si>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</si>
  <si>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</si>
  <si>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</si>
  <si>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</si>
  <si>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</si>
  <si>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</si>
  <si>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</si>
  <si>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</si>
  <si>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</si>
  <si>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</si>
  <si>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</si>
  <si>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</si>
  <si>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</si>
  <si>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</si>
  <si>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</si>
  <si>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</si>
  <si>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</si>
  <si>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</si>
  <si>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</si>
  <si>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</si>
  <si>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</si>
  <si>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</si>
  <si>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</si>
  <si>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</si>
  <si>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</si>
  <si>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</si>
  <si>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</si>
  <si>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</si>
  <si>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</si>
  <si>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</si>
  <si>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</si>
  <si>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</si>
  <si>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</si>
  <si>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</si>
  <si>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</si>
  <si>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</si>
  <si>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</si>
  <si>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</si>
  <si>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</si>
  <si>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</si>
  <si>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</si>
  <si>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</si>
  <si>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</si>
  <si>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</si>
  <si>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</si>
  <si>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</si>
  <si>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</si>
  <si>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</si>
  <si>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</si>
  <si>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</si>
  <si>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</si>
  <si>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</si>
  <si>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</si>
  <si>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</si>
  <si>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</si>
  <si>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</si>
  <si>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</si>
  <si>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</si>
  <si>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</si>
  <si>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</si>
  <si>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</si>
  <si>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</si>
  <si>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</si>
  <si>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</si>
  <si>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</si>
  <si>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</si>
  <si>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</si>
  <si>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</si>
  <si>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</si>
  <si>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</si>
  <si>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</si>
  <si>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</si>
  <si>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</si>
  <si>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</si>
  <si>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</si>
  <si>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</si>
  <si>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</si>
  <si>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</si>
  <si>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</si>
  <si>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</si>
  <si>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</si>
  <si>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</si>
  <si>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</si>
  <si>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</si>
  <si>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</si>
  <si>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</si>
  <si>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</si>
  <si>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</si>
  <si>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</si>
  <si>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</si>
  <si>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</si>
  <si>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</si>
  <si>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</si>
  <si>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</si>
  <si>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</si>
  <si>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</si>
  <si>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</si>
  <si>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</si>
  <si>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</si>
  <si>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</si>
  <si>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</si>
  <si>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</si>
  <si>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</si>
  <si>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</si>
  <si>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</si>
  <si>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</si>
  <si>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</si>
  <si>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</si>
  <si>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</si>
  <si>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</si>
  <si>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</si>
  <si>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</si>
  <si>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</si>
  <si>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</si>
  <si>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</si>
  <si>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</si>
  <si>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</si>
  <si>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</si>
  <si>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</si>
  <si>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</si>
  <si>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</si>
  <si>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</si>
  <si>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</si>
  <si>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</si>
  <si>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</si>
  <si>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</si>
  <si>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</si>
  <si>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</si>
  <si>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</si>
  <si>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</si>
  <si>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</si>
  <si>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</si>
  <si>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</si>
  <si>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</si>
  <si>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</si>
  <si>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</si>
  <si>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</si>
  <si>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</si>
  <si>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</si>
  <si>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</si>
  <si>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</si>
  <si>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</si>
  <si>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</si>
  <si>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</si>
  <si>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</si>
  <si>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</si>
  <si>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</si>
  <si>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</si>
  <si>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</si>
  <si>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</si>
  <si>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</si>
  <si>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</si>
  <si>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</si>
  <si>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</si>
  <si>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</si>
  <si>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</si>
  <si>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</si>
  <si>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</si>
  <si>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</si>
  <si>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</si>
  <si>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</si>
  <si>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</si>
  <si>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</si>
  <si>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</si>
  <si>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</si>
  <si>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</si>
  <si>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</si>
  <si>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</si>
  <si>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</si>
  <si>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</si>
  <si>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</si>
  <si>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</si>
  <si>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</si>
  <si>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</si>
  <si>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</si>
  <si>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</si>
  <si>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</si>
  <si>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</si>
  <si>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</si>
  <si>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</si>
  <si>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</si>
  <si>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</si>
  <si>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</si>
  <si>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</si>
  <si>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</si>
  <si>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</si>
  <si>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</si>
  <si>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</si>
  <si>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</si>
  <si>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</si>
  <si>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</si>
  <si>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</si>
  <si>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</si>
  <si>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</si>
  <si>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</si>
  <si>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</si>
  <si>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</si>
  <si>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</si>
  <si>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</si>
  <si>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</si>
  <si>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</si>
  <si>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</si>
  <si>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</si>
  <si>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</si>
  <si>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</si>
  <si>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</si>
  <si>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</si>
  <si>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</si>
  <si>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</si>
  <si>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</si>
  <si>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</si>
  <si>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</si>
  <si>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</si>
  <si>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</si>
  <si>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</si>
  <si>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</si>
  <si>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</si>
  <si>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</si>
  <si>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</si>
  <si>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</si>
  <si>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</si>
  <si>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</si>
  <si>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</si>
  <si>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</si>
  <si>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</si>
  <si>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</si>
  <si>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</si>
  <si>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</si>
  <si>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</si>
  <si>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</si>
  <si>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</si>
  <si>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</si>
  <si>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</si>
  <si>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</si>
  <si>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</si>
  <si>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</si>
  <si>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</si>
  <si>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</si>
  <si>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</si>
  <si>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</si>
  <si>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</si>
  <si>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</si>
  <si>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</si>
  <si>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</si>
  <si>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</si>
  <si>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</si>
  <si>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</si>
  <si>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</si>
  <si>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</si>
  <si>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</si>
  <si>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</si>
  <si>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</si>
  <si>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</si>
  <si>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</si>
  <si>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</si>
  <si>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</si>
  <si>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</si>
  <si>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</si>
  <si>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</si>
  <si>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</si>
  <si>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</si>
  <si>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</si>
  <si>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</si>
  <si>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</si>
  <si>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</si>
  <si>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</si>
  <si>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</si>
  <si>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</si>
  <si>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</si>
  <si>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</si>
  <si>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</si>
  <si>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</si>
  <si>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</si>
  <si>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</si>
  <si>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</si>
  <si>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</si>
  <si>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</si>
  <si>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</si>
  <si>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</si>
  <si>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</si>
  <si>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</si>
  <si>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</si>
  <si>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</si>
  <si>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</si>
  <si>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</si>
  <si>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</si>
  <si>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</si>
  <si>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</si>
  <si>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</si>
  <si>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</si>
  <si>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</si>
  <si>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</si>
  <si>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</si>
  <si>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</si>
  <si>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</si>
  <si>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</si>
  <si>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</si>
  <si>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</si>
  <si>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</si>
  <si>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</si>
  <si>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</si>
  <si>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</si>
  <si>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</si>
  <si>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</si>
  <si>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</si>
  <si>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</si>
  <si>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</si>
  <si>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</si>
  <si>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</si>
  <si>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</si>
  <si>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</si>
  <si>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</si>
  <si>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</si>
  <si>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</si>
  <si>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</si>
  <si>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</si>
  <si>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</si>
  <si>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</si>
  <si>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</si>
  <si>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</si>
  <si>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</si>
  <si>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</si>
  <si>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</si>
  <si>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</si>
  <si>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</si>
  <si>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</si>
  <si>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</si>
  <si>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</si>
  <si>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</si>
  <si>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</si>
  <si>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</si>
  <si>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</si>
  <si>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</si>
  <si>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</si>
  <si>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</si>
  <si>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</si>
  <si>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</si>
  <si>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</si>
  <si>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</si>
  <si>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</si>
  <si>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</si>
  <si>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</si>
  <si>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</si>
  <si>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</si>
  <si>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</si>
  <si>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</si>
  <si>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</si>
  <si>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</si>
  <si>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</si>
  <si>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</si>
  <si>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</si>
  <si>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</si>
  <si>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</si>
  <si>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</si>
  <si>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</si>
  <si>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</si>
  <si>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</si>
  <si>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</si>
  <si>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</si>
  <si>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</si>
  <si>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</si>
  <si>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</si>
  <si>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</si>
  <si>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</si>
  <si>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</si>
  <si>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</si>
  <si>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</si>
  <si>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</si>
  <si>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</si>
  <si>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</si>
  <si>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</si>
  <si>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</si>
  <si>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</si>
  <si>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</si>
  <si>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</si>
  <si>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</si>
  <si>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</si>
  <si>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</si>
  <si>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</si>
  <si>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</si>
  <si>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</si>
  <si>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</si>
  <si>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</si>
  <si>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</si>
  <si>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</si>
  <si>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</si>
  <si>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</si>
  <si>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</si>
  <si>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</si>
  <si>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</si>
  <si>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</si>
  <si>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</si>
  <si>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</si>
  <si>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</si>
  <si>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</si>
  <si>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</si>
  <si>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</si>
  <si>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</si>
  <si>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</si>
  <si>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</si>
  <si>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</si>
  <si>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</si>
  <si>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</si>
  <si>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</si>
  <si>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</si>
  <si>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</si>
  <si>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</si>
  <si>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</si>
  <si>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</si>
  <si>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</si>
  <si>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</si>
  <si>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</si>
  <si>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</si>
  <si>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</si>
  <si>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</si>
  <si>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</si>
  <si>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</si>
  <si>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</si>
  <si>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</si>
  <si>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</si>
  <si>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</si>
  <si>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</si>
  <si>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</si>
  <si>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</si>
  <si>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</si>
  <si>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</si>
  <si>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</si>
  <si>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</si>
  <si>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</si>
  <si>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</si>
  <si>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</si>
  <si>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</si>
  <si>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</si>
  <si>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</si>
  <si>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</si>
  <si>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</si>
  <si>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</si>
  <si>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</si>
  <si>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</si>
  <si>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</si>
  <si>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</si>
  <si>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</si>
  <si>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</si>
  <si>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</si>
  <si>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</si>
  <si>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</si>
  <si>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</si>
  <si>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</si>
  <si>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</si>
  <si>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</si>
  <si>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</si>
  <si>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</si>
  <si>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</si>
  <si>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</si>
  <si>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</si>
  <si>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</si>
  <si>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</si>
  <si>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</si>
  <si>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</si>
  <si>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</si>
  <si>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</si>
  <si>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</si>
  <si>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</si>
  <si>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</si>
  <si>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</si>
  <si>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</si>
  <si>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</si>
  <si>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</si>
  <si>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</si>
  <si>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</si>
  <si>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</si>
  <si>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</si>
  <si>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</si>
  <si>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</si>
  <si>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</si>
  <si>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</si>
  <si>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</si>
  <si>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</si>
  <si>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</si>
  <si>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</si>
  <si>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</si>
  <si>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</si>
  <si>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</si>
  <si>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</si>
  <si>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</si>
  <si>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</si>
  <si>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</si>
  <si>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</si>
  <si>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</si>
  <si>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</si>
  <si>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</si>
  <si>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</si>
  <si>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</si>
  <si>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</si>
  <si>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</si>
  <si>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</si>
  <si>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</si>
  <si>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</si>
  <si>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</si>
  <si>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</si>
  <si>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</si>
  <si>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</si>
  <si>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</si>
  <si>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</si>
  <si>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</si>
  <si>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</si>
  <si>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</si>
  <si>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</si>
  <si>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</si>
  <si>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</si>
  <si>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</si>
  <si>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</si>
  <si>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</si>
  <si>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</si>
  <si>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</si>
  <si>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</si>
  <si>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</si>
  <si>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</si>
  <si>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</si>
  <si>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</si>
  <si>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</si>
  <si>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</si>
  <si>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</si>
  <si>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</si>
  <si>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</si>
  <si>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</si>
  <si>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</si>
  <si>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</si>
  <si>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</si>
  <si>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</si>
  <si>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</si>
  <si>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</si>
  <si>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</si>
  <si>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</si>
  <si>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</si>
  <si>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</si>
  <si>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</si>
  <si>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</si>
  <si>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</si>
  <si>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</si>
  <si>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</si>
  <si>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</si>
  <si>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</si>
  <si>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</si>
  <si>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</si>
  <si>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</si>
  <si>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</si>
  <si>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</si>
  <si>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</si>
  <si>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</si>
  <si>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</si>
  <si>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</si>
  <si>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</si>
  <si>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</si>
  <si>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</si>
  <si>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</si>
  <si>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</si>
  <si>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</si>
  <si>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</si>
  <si>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</si>
  <si>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</si>
  <si>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</si>
  <si>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</si>
  <si>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</si>
  <si>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</si>
  <si>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</si>
  <si>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</si>
  <si>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</si>
  <si>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</si>
  <si>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</si>
  <si>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</si>
  <si>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</si>
  <si>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</si>
  <si>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</si>
  <si>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</si>
  <si>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</si>
  <si>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</si>
  <si>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</si>
  <si>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</si>
  <si>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</si>
  <si>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</si>
  <si>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</si>
  <si>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</si>
  <si>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</si>
  <si>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</si>
  <si>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</si>
  <si>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</si>
  <si>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</si>
  <si>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</si>
  <si>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</si>
  <si>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</si>
  <si>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</si>
  <si>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</si>
  <si>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</si>
  <si>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</si>
  <si>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</si>
  <si>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</si>
  <si>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</si>
  <si>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</si>
  <si>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</si>
  <si>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</si>
  <si>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</si>
  <si>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</si>
  <si>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</si>
  <si>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</si>
  <si>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</si>
  <si>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</si>
  <si>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</si>
  <si>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</si>
  <si>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</si>
  <si>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</si>
  <si>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</si>
  <si>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</si>
  <si>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</si>
  <si>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</si>
  <si>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</si>
  <si>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</si>
  <si>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</si>
  <si>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</si>
  <si>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</si>
  <si>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</si>
  <si>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</si>
  <si>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</si>
  <si>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</si>
  <si>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</si>
  <si>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</si>
  <si>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</si>
  <si>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</si>
  <si>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</si>
  <si>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</si>
  <si>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</si>
  <si>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</si>
  <si>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</si>
  <si>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</si>
  <si>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</si>
  <si>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</si>
  <si>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</si>
  <si>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</si>
  <si>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</si>
  <si>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</si>
  <si>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</si>
  <si>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</si>
  <si>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</si>
  <si>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</si>
  <si>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</si>
  <si>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</si>
  <si>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</si>
  <si>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</si>
  <si>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</si>
  <si>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</si>
  <si>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</si>
  <si>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</si>
  <si>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</si>
  <si>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</si>
  <si>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</si>
  <si>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</si>
  <si>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</si>
  <si>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</si>
  <si>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</si>
  <si>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</si>
  <si>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</si>
  <si>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</si>
  <si>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</si>
  <si>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</si>
  <si>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</si>
  <si>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</si>
  <si>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</si>
  <si>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</si>
  <si>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</si>
  <si>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</si>
  <si>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</si>
  <si>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</si>
  <si>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</si>
  <si>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</si>
  <si>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</si>
  <si>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</si>
  <si>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</si>
  <si>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</si>
  <si>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</si>
  <si>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</si>
  <si>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</si>
  <si>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</si>
  <si>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</si>
  <si>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</si>
  <si>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</si>
  <si>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</si>
  <si>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</si>
  <si>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</si>
  <si>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</si>
  <si>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</si>
  <si>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</si>
  <si>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</si>
  <si>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</si>
  <si>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</si>
  <si>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</si>
  <si>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</si>
  <si>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</si>
  <si>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</si>
  <si>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</si>
  <si>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</si>
  <si>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</si>
  <si>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</si>
  <si>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</si>
  <si>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</si>
  <si>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</si>
  <si>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</si>
  <si>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</si>
  <si>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</si>
  <si>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</si>
  <si>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</si>
  <si>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</si>
  <si>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</si>
  <si>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</si>
  <si>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</si>
  <si>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</si>
  <si>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</si>
  <si>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</si>
  <si>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</si>
  <si>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</si>
  <si>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</si>
  <si>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</si>
  <si>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</si>
  <si>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</si>
  <si>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</si>
  <si>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</si>
  <si>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</si>
  <si>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</si>
  <si>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</si>
  <si>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</si>
  <si>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</si>
  <si>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</si>
  <si>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</si>
  <si>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</si>
  <si>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</si>
  <si>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</si>
  <si>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</si>
  <si>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</si>
  <si>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</si>
  <si>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</si>
  <si>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</si>
  <si>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</si>
  <si>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</si>
  <si>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</si>
  <si>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</si>
  <si>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</si>
  <si>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</si>
  <si>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</si>
  <si>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</si>
  <si>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</si>
  <si>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</si>
  <si>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</si>
  <si>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</si>
  <si>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</si>
  <si>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</si>
  <si>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</si>
  <si>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</si>
  <si>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</si>
  <si>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</si>
  <si>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</si>
  <si>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</si>
  <si>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</si>
  <si>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</si>
  <si>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</si>
  <si>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</si>
  <si>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</si>
  <si>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</si>
  <si>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</si>
  <si>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</si>
  <si>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</si>
  <si>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</si>
  <si>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</si>
  <si>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</si>
  <si>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</si>
  <si>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</si>
  <si>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</si>
  <si>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</si>
  <si>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</si>
  <si>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</si>
  <si>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</si>
  <si>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</si>
  <si>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</si>
  <si>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</si>
  <si>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</si>
  <si>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</si>
  <si>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</si>
  <si>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</si>
  <si>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</si>
  <si>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</si>
  <si>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</si>
  <si>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</si>
  <si>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</si>
  <si>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</si>
  <si>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</si>
  <si>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</si>
  <si>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</si>
  <si>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</si>
  <si>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</si>
  <si>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</si>
  <si>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</si>
  <si>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</si>
  <si>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</si>
  <si>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</si>
  <si>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</si>
  <si>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</si>
  <si>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</si>
  <si>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</si>
  <si>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</si>
  <si>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</si>
  <si>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</si>
  <si>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</si>
  <si>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</si>
  <si>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</si>
  <si>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</si>
  <si>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</si>
  <si>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</si>
  <si>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</si>
  <si>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</si>
  <si>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</si>
  <si>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</si>
  <si>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</si>
  <si>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</si>
  <si>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</si>
  <si>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</si>
  <si>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</si>
  <si>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</si>
  <si>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</si>
  <si>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</si>
  <si>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</si>
  <si>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</si>
  <si>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</si>
  <si>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</si>
  <si>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</si>
  <si>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</si>
  <si>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</si>
  <si>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</si>
  <si>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</si>
  <si>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</si>
  <si>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</si>
  <si>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</si>
  <si>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</si>
  <si>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</si>
  <si>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</si>
  <si>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</si>
  <si>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</si>
  <si>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</si>
  <si>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</si>
  <si>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</si>
  <si>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</si>
  <si>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</si>
  <si>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</si>
  <si>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</si>
  <si>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</si>
  <si>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</si>
  <si>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</si>
  <si>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</si>
  <si>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</si>
  <si>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</si>
  <si>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</si>
  <si>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</si>
  <si>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</si>
  <si>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</si>
  <si>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</si>
  <si>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</si>
  <si>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</si>
  <si>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</si>
  <si>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</si>
  <si>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</si>
  <si>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</si>
  <si>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</si>
  <si>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</si>
  <si>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</si>
  <si>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</si>
  <si>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</si>
  <si>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</si>
  <si>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</si>
  <si>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</si>
  <si>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</si>
  <si>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</si>
  <si>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</si>
  <si>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</si>
  <si>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</si>
  <si>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</si>
  <si>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</si>
  <si>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</si>
  <si>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</si>
  <si>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</si>
  <si>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</si>
  <si>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</si>
  <si>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</si>
  <si>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</si>
  <si>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</si>
  <si>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</si>
  <si>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</si>
  <si>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</si>
  <si>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</si>
  <si>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</si>
  <si>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</si>
  <si>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</si>
  <si>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</si>
  <si>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</si>
  <si>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</si>
  <si>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</si>
  <si>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</si>
  <si>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</si>
  <si>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</si>
  <si>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</si>
  <si>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</si>
  <si>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</si>
  <si>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</si>
  <si>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</si>
  <si>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</si>
  <si>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</si>
  <si>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</si>
  <si>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</si>
  <si>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</si>
  <si>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</si>
  <si>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</si>
  <si>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</si>
  <si>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</si>
  <si>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</si>
  <si>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</si>
  <si>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</si>
  <si>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</si>
  <si>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</si>
  <si>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</si>
  <si>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</si>
  <si>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</si>
  <si>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</si>
  <si>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</si>
  <si>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</si>
  <si>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</si>
  <si>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</si>
  <si>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</si>
  <si>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</si>
  <si>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</si>
  <si>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</si>
  <si>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</si>
  <si>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</si>
  <si>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</si>
  <si>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</si>
  <si>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</si>
  <si>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</si>
  <si>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</si>
  <si>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</si>
  <si>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</si>
  <si>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</si>
  <si>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</si>
  <si>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</si>
  <si>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</si>
  <si>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</si>
  <si>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</si>
  <si>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</si>
  <si>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</si>
  <si>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</si>
  <si>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</si>
  <si>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</si>
  <si>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</si>
  <si>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</si>
  <si>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</si>
  <si>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</si>
  <si>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</si>
  <si>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</si>
  <si>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</si>
  <si>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</si>
  <si>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</si>
  <si>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</si>
  <si>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</si>
  <si>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</si>
  <si>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</si>
  <si>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</si>
  <si>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</si>
  <si>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</si>
  <si>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</si>
  <si>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</si>
  <si>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</si>
  <si>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</si>
  <si>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</si>
  <si>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</si>
  <si>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</si>
  <si>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</si>
  <si>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</si>
  <si>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</si>
  <si>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</si>
  <si>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</si>
  <si>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</si>
  <si>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</si>
  <si>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</si>
  <si>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</si>
  <si>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</si>
  <si>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</si>
  <si>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</si>
  <si>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</si>
  <si>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</si>
  <si>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</si>
  <si>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</si>
  <si>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</si>
  <si>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</si>
  <si>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</si>
  <si>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</si>
  <si>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</si>
  <si>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</si>
  <si>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</si>
  <si>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</si>
  <si>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</si>
  <si>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</si>
  <si>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</si>
  <si>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</si>
  <si>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</si>
  <si>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</si>
  <si>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</si>
  <si>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</si>
  <si>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</si>
  <si>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</si>
  <si>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</si>
  <si>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</si>
  <si>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</si>
  <si>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</si>
  <si>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</si>
  <si>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</si>
  <si>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</si>
  <si>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</si>
  <si>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</si>
  <si>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</si>
  <si>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</si>
  <si>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</si>
  <si>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</si>
  <si>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</si>
  <si>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</si>
  <si>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</si>
  <si>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</si>
  <si>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</si>
  <si>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</si>
  <si>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</si>
  <si>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</si>
  <si>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</si>
  <si>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</si>
  <si>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</si>
  <si>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</si>
  <si>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</si>
  <si>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</si>
  <si>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</si>
  <si>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</si>
  <si>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</si>
  <si>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</si>
  <si>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</si>
  <si>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</si>
  <si>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</si>
  <si>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</si>
  <si>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</si>
  <si>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</si>
  <si>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</si>
  <si>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</si>
  <si>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</si>
  <si>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</si>
  <si>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</si>
  <si>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</si>
  <si>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</si>
  <si>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</si>
  <si>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</si>
  <si>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</si>
  <si>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</si>
  <si>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</si>
  <si>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</si>
  <si>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</si>
  <si>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</si>
  <si>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</si>
  <si>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</si>
  <si>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</si>
  <si>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</si>
  <si>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</si>
  <si>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</si>
  <si>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</si>
  <si>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</si>
  <si>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</si>
  <si>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</si>
  <si>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</si>
  <si>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</si>
  <si>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</si>
  <si>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</si>
  <si>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</si>
  <si>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</si>
  <si>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</si>
  <si>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</si>
  <si>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</si>
  <si>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</si>
  <si>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</si>
  <si>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</si>
  <si>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</si>
  <si>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</si>
  <si>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</si>
  <si>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</si>
  <si>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</si>
  <si>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</si>
  <si>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</si>
  <si>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</si>
  <si>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</si>
  <si>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</si>
  <si>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</si>
  <si>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</si>
  <si>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</si>
  <si>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</si>
  <si>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</si>
  <si>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</si>
  <si>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</si>
  <si>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</si>
  <si>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</si>
  <si>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</si>
  <si>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</si>
  <si>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</si>
  <si>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</si>
  <si>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</si>
  <si>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</si>
  <si>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</si>
  <si>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</si>
  <si>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</si>
  <si>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</si>
  <si>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</si>
  <si>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</si>
  <si>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</si>
  <si>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</si>
  <si>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</si>
  <si>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</si>
  <si>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</si>
  <si>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</si>
  <si>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</si>
  <si>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</si>
  <si>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</si>
  <si>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</si>
  <si>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</si>
  <si>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</si>
  <si>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</si>
  <si>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</si>
  <si>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</si>
  <si>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</si>
  <si>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</si>
  <si>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</si>
  <si>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</si>
  <si>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</si>
  <si>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</si>
  <si>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</si>
  <si>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</si>
  <si>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</si>
  <si>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</si>
  <si>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</si>
  <si>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</si>
  <si>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</si>
  <si>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</si>
  <si>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</si>
  <si>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</si>
  <si>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</si>
  <si>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</si>
  <si>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</si>
  <si>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</si>
  <si>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</si>
  <si>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</si>
  <si>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</si>
  <si>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</si>
  <si>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</si>
  <si>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</si>
  <si>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</si>
  <si>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</si>
  <si>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</si>
  <si>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</si>
  <si>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</si>
  <si>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</si>
  <si>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</si>
  <si>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</si>
  <si>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</si>
  <si>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</si>
  <si>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</si>
  <si>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</si>
  <si>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</si>
  <si>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</si>
  <si>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</si>
  <si>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</si>
  <si>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</si>
  <si>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</si>
  <si>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</si>
  <si>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</si>
  <si>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</si>
  <si>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</si>
  <si>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</si>
  <si>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</si>
  <si>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</si>
  <si>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</si>
  <si>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</si>
  <si>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</si>
  <si>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</si>
  <si>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</si>
  <si>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</si>
  <si>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</si>
  <si>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</si>
  <si>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</si>
  <si>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</si>
  <si>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</si>
  <si>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</si>
  <si>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</si>
  <si>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</si>
  <si>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</si>
  <si>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</si>
  <si>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</si>
  <si>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</si>
  <si>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</si>
  <si>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</si>
  <si>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</si>
  <si>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</si>
  <si>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</si>
  <si>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</si>
  <si>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</si>
  <si>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</si>
  <si>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</si>
  <si>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</si>
  <si>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</si>
  <si>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</si>
  <si>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</si>
  <si>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</si>
  <si>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</si>
  <si>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</si>
  <si>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</si>
  <si>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</si>
  <si>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</si>
  <si>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</si>
  <si>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</si>
  <si>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</si>
  <si>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</si>
  <si>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</si>
  <si>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</si>
  <si>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</si>
  <si>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</si>
  <si>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</si>
  <si>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</si>
  <si>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</si>
  <si>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</si>
  <si>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</si>
  <si>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</si>
  <si>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</si>
  <si>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</si>
  <si>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</si>
  <si>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</si>
  <si>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</si>
  <si>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</si>
  <si>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</si>
  <si>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</si>
  <si>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</si>
  <si>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</si>
  <si>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</si>
  <si>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</si>
  <si>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</si>
  <si>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</si>
  <si>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</si>
  <si>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</si>
  <si>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</si>
  <si>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</si>
  <si>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</si>
  <si>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</si>
  <si>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</si>
  <si>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</si>
  <si>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</si>
  <si>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</si>
  <si>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</si>
  <si>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</si>
  <si>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</si>
  <si>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</si>
  <si>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</si>
  <si>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</si>
  <si>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</si>
  <si>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</si>
  <si>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</si>
  <si>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</si>
  <si>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</si>
  <si>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</si>
  <si>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</si>
  <si>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</si>
  <si>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</si>
  <si>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</si>
  <si>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</si>
  <si>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</si>
  <si>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</si>
  <si>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</si>
  <si>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</si>
  <si>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</si>
  <si>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</si>
  <si>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</si>
  <si>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</si>
  <si>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</si>
  <si>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</si>
  <si>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</si>
  <si>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</si>
  <si>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</si>
  <si>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</si>
  <si>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</si>
  <si>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</si>
  <si>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</si>
  <si>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</si>
  <si>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</si>
  <si>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</si>
  <si>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</si>
  <si>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</si>
  <si>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</si>
  <si>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</si>
  <si>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</si>
  <si>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</si>
  <si>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</si>
  <si>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</si>
  <si>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</si>
  <si>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</si>
  <si>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</si>
  <si>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</si>
  <si>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</si>
  <si>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</si>
  <si>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</si>
  <si>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</si>
  <si>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</si>
  <si>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</si>
  <si>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</si>
  <si>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</si>
  <si>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</si>
  <si>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</si>
  <si>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</si>
  <si>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</si>
  <si>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</si>
  <si>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</si>
  <si>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</si>
  <si>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</si>
  <si>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</si>
  <si>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</si>
  <si>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</si>
  <si>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</si>
  <si>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</si>
  <si>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</si>
  <si>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</si>
  <si>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</si>
  <si>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</si>
  <si>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</si>
  <si>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</si>
  <si>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</si>
  <si>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</si>
  <si>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</si>
  <si>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</si>
  <si>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</si>
  <si>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</si>
  <si>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</si>
  <si>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</si>
  <si>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</si>
  <si>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</si>
  <si>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</si>
  <si>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</si>
  <si>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</si>
  <si>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</si>
  <si>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</si>
  <si>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</si>
  <si>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</si>
  <si>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</si>
  <si>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</si>
  <si>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</si>
  <si>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</si>
  <si>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</si>
  <si>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</si>
  <si>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</si>
  <si>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</si>
  <si>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</si>
  <si>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</si>
  <si>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</si>
  <si>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</si>
  <si>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</si>
  <si>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</si>
  <si>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</si>
  <si>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</si>
  <si>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</si>
  <si>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</si>
  <si>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</si>
  <si>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</si>
  <si>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</si>
  <si>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</si>
  <si>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</si>
  <si>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</si>
  <si>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</si>
  <si>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</si>
  <si>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</si>
  <si>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</si>
  <si>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</si>
  <si>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</si>
  <si>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</si>
  <si>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</si>
  <si>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</si>
  <si>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</si>
  <si>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</si>
  <si>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</si>
  <si>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</si>
  <si>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</si>
  <si>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</si>
  <si>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</si>
  <si>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</si>
  <si>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</si>
  <si>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</si>
  <si>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</si>
  <si>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</si>
  <si>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</si>
  <si>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</si>
  <si>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</si>
  <si>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</si>
  <si>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</si>
  <si>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</si>
  <si>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</si>
  <si>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</si>
  <si>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</si>
  <si>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</si>
  <si>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</si>
  <si>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</si>
  <si>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</si>
  <si>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</si>
  <si>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</si>
  <si>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</si>
  <si>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</si>
  <si>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</si>
  <si>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</si>
  <si>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</si>
  <si>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</si>
  <si>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</si>
  <si>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</si>
  <si>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</si>
  <si>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</si>
  <si>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</si>
  <si>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</si>
  <si>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</si>
  <si>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</si>
  <si>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</si>
  <si>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</si>
  <si>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</si>
  <si>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</si>
  <si>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</si>
  <si>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</si>
  <si>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</si>
  <si>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</si>
  <si>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</si>
  <si>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</si>
  <si>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</si>
  <si>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</si>
  <si>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</si>
  <si>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</si>
  <si>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</si>
  <si>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</si>
  <si>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</si>
  <si>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</si>
  <si>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</si>
  <si>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</si>
  <si>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</si>
  <si>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</si>
  <si>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</si>
  <si>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</si>
  <si>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</si>
  <si>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</si>
  <si>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</si>
  <si>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</si>
  <si>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</si>
  <si>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</si>
  <si>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</si>
  <si>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</si>
  <si>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</si>
  <si>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</si>
  <si>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</si>
  <si>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</si>
  <si>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</si>
  <si>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</si>
  <si>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</si>
  <si>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</si>
  <si>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</si>
  <si>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</si>
  <si>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</si>
  <si>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</si>
  <si>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</si>
  <si>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</si>
  <si>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</si>
  <si>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</si>
  <si>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</si>
  <si>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</si>
  <si>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</si>
  <si>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</si>
  <si>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</si>
  <si>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</si>
  <si>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</si>
  <si>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</si>
  <si>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</si>
  <si>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</si>
  <si>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</si>
  <si>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</si>
  <si>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</si>
  <si>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</si>
  <si>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</si>
  <si>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</si>
  <si>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</si>
  <si>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</si>
  <si>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</si>
  <si>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</si>
  <si>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</si>
  <si>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</si>
  <si>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</si>
  <si>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</si>
  <si>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</si>
  <si>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</si>
  <si>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</si>
  <si>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</si>
  <si>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</si>
  <si>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</si>
  <si>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</si>
  <si>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</si>
  <si>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</si>
  <si>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</si>
  <si>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</si>
  <si>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</si>
  <si>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</si>
  <si>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</si>
  <si>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</si>
  <si>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</si>
  <si>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</si>
  <si>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</si>
  <si>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</si>
  <si>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</si>
  <si>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</si>
  <si>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</si>
  <si>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</si>
  <si>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</si>
  <si>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</si>
  <si>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</si>
  <si>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</si>
  <si>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</si>
  <si>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</si>
  <si>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</si>
  <si>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</si>
  <si>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</si>
  <si>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</si>
  <si>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</si>
  <si>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</si>
  <si>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</si>
  <si>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</si>
  <si>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</si>
  <si>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</si>
  <si>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</si>
  <si>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</si>
  <si>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</si>
  <si>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</si>
  <si>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</si>
  <si>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</si>
  <si>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</si>
  <si>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</si>
  <si>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</si>
  <si>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</si>
  <si>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</si>
  <si>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</si>
  <si>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</si>
  <si>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</si>
  <si>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</si>
  <si>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</si>
  <si>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</si>
  <si>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</si>
  <si>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</si>
  <si>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</si>
  <si>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</si>
  <si>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</si>
  <si>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</si>
  <si>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</si>
  <si>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</si>
  <si>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</si>
  <si>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</si>
  <si>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</si>
  <si>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</si>
  <si>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</si>
  <si>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</si>
  <si>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</si>
  <si>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</si>
  <si>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</si>
  <si>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</si>
  <si>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</si>
  <si>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</si>
  <si>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</si>
  <si>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</si>
  <si>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</si>
  <si>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</si>
  <si>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</si>
  <si>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</si>
  <si>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</si>
  <si>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</si>
  <si>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</si>
  <si>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</si>
  <si>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</si>
  <si>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</si>
  <si>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</si>
  <si>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</si>
  <si>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</si>
  <si>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</si>
  <si>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</si>
  <si>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</si>
  <si>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</si>
  <si>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</si>
  <si>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</si>
  <si>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</si>
  <si>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</si>
  <si>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</si>
  <si>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</si>
  <si>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</si>
  <si>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</si>
  <si>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</si>
  <si>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</si>
  <si>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</si>
  <si>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</si>
  <si>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</si>
  <si>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</si>
  <si>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</si>
  <si>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</si>
  <si>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</si>
  <si>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</si>
  <si>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</si>
  <si>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</si>
  <si>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</si>
  <si>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</si>
  <si>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</si>
  <si>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</si>
  <si>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</si>
  <si>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</si>
  <si>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</si>
  <si>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</si>
  <si>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</si>
  <si>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</si>
  <si>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</si>
  <si>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</si>
  <si>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</si>
  <si>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</si>
  <si>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</si>
  <si>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</si>
  <si>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</si>
  <si>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</si>
  <si>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</si>
  <si>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</si>
  <si>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</si>
  <si>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</si>
  <si>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</si>
  <si>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</si>
  <si>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</si>
  <si>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</si>
  <si>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</si>
  <si>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</si>
  <si>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</si>
  <si>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</si>
  <si>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</si>
  <si>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</si>
  <si>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</si>
  <si>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</si>
  <si>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</si>
  <si>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</si>
  <si>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</si>
  <si>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</si>
  <si>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</si>
  <si>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</si>
  <si>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</si>
  <si>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</si>
  <si>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</si>
  <si>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</si>
  <si>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</si>
  <si>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</si>
  <si>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</si>
  <si>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</si>
  <si>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</si>
  <si>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</si>
  <si>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</si>
  <si>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</si>
  <si>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</si>
  <si>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</si>
  <si>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</si>
  <si>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</si>
  <si>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</si>
  <si>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</si>
  <si>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</si>
  <si>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</si>
  <si>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</si>
  <si>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</si>
  <si>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</si>
  <si>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</si>
  <si>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</si>
  <si>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</si>
  <si>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</si>
  <si>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</si>
  <si>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</si>
  <si>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</si>
  <si>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</si>
  <si>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</si>
  <si>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</si>
  <si>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</si>
  <si>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</si>
  <si>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</si>
  <si>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</si>
  <si>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</si>
  <si>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</si>
  <si>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</si>
  <si>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</si>
  <si>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</si>
  <si>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</si>
  <si>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</si>
  <si>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</si>
  <si>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</si>
  <si>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</si>
  <si>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</si>
  <si>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</si>
  <si>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</si>
  <si>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</si>
  <si>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</si>
  <si>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</si>
  <si>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</si>
  <si>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</si>
  <si>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</si>
  <si>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</si>
  <si>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</si>
  <si>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</si>
  <si>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</si>
  <si>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</si>
  <si>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</si>
  <si>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</si>
  <si>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</si>
  <si>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</si>
  <si>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</si>
  <si>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</si>
  <si>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</si>
  <si>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</si>
  <si>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</si>
  <si>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</si>
  <si>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</si>
  <si>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</si>
  <si>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</si>
  <si>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</si>
  <si>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</si>
  <si>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</si>
  <si>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</si>
  <si>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</si>
  <si>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</si>
  <si>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</si>
  <si>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</si>
  <si>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</si>
  <si>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</si>
  <si>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</si>
  <si>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</si>
  <si>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</si>
  <si>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</si>
  <si>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</si>
  <si>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</si>
  <si>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</si>
  <si>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</si>
  <si>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</si>
  <si>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</si>
  <si>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</si>
  <si>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</si>
  <si>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</si>
  <si>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</si>
  <si>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</si>
  <si>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</si>
  <si>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</si>
  <si>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</si>
  <si>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</si>
  <si>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</si>
  <si>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</si>
  <si>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</si>
  <si>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</si>
  <si>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</si>
  <si>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</si>
  <si>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</si>
  <si>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</si>
  <si>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</si>
  <si>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</si>
  <si>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</si>
  <si>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</si>
  <si>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</si>
  <si>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</si>
  <si>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</si>
  <si>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</si>
  <si>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</si>
  <si>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</si>
  <si>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</si>
  <si>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</si>
  <si>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</si>
  <si>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</si>
  <si>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</si>
  <si>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</si>
  <si>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</si>
  <si>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</si>
  <si>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</si>
  <si>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</si>
  <si>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</si>
  <si>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</si>
  <si>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</si>
  <si>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</si>
  <si>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</si>
  <si>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</si>
  <si>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</si>
  <si>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</si>
  <si>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</si>
  <si>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</si>
  <si>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</si>
  <si>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</si>
  <si>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</si>
  <si>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</si>
  <si>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</si>
  <si>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</si>
  <si>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</si>
  <si>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</si>
  <si>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</si>
  <si>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</si>
  <si>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</si>
  <si>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</si>
  <si>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</si>
  <si>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</si>
  <si>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</si>
  <si>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</si>
  <si>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</si>
  <si>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</si>
  <si>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</si>
  <si>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</si>
  <si>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</si>
  <si>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</si>
  <si>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</si>
  <si>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</si>
  <si>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</si>
  <si>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</si>
  <si>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</si>
  <si>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</si>
  <si>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</si>
  <si>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</si>
  <si>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</si>
  <si>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</si>
  <si>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</si>
  <si>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</si>
  <si>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</si>
  <si>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</si>
  <si>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</si>
  <si>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</si>
  <si>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</si>
  <si>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</si>
  <si>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</si>
  <si>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</si>
  <si>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</si>
  <si>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</si>
  <si>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</si>
  <si>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</si>
  <si>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</si>
  <si>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</si>
  <si>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</si>
  <si>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</si>
  <si>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</si>
  <si>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</si>
  <si>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</si>
  <si>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</si>
  <si>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</si>
  <si>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</si>
  <si>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</si>
  <si>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</si>
  <si>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</si>
  <si>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</si>
  <si>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</si>
  <si>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</si>
  <si>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</si>
  <si>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</si>
  <si>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</si>
  <si>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</si>
  <si>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</si>
  <si>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</si>
  <si>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</si>
  <si>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</si>
  <si>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</si>
  <si>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</si>
  <si>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</si>
  <si>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</si>
  <si>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</si>
  <si>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</si>
  <si>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</si>
  <si>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</si>
  <si>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</si>
  <si>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</si>
  <si>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</si>
  <si>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</si>
  <si>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</si>
  <si>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</si>
  <si>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</si>
  <si>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</si>
  <si>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</si>
  <si>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</si>
  <si>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</si>
  <si>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</si>
  <si>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</si>
  <si>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</si>
  <si>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</si>
  <si>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</si>
  <si>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</si>
  <si>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</si>
  <si>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</si>
  <si>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</si>
  <si>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</si>
  <si>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</si>
  <si>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</si>
  <si>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</si>
  <si>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</si>
  <si>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</si>
  <si>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</si>
  <si>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</si>
  <si>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</si>
  <si>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</si>
  <si>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</si>
  <si>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</si>
  <si>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</si>
  <si>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</si>
  <si>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</si>
  <si>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</si>
  <si>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</si>
  <si>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</si>
  <si>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</si>
  <si>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</si>
  <si>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</si>
  <si>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</si>
  <si>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</si>
  <si>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</si>
  <si>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</si>
  <si>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</si>
  <si>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</si>
  <si>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</si>
  <si>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</si>
  <si>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</si>
  <si>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</si>
  <si>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</si>
  <si>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</si>
  <si>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</si>
  <si>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</si>
  <si>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</si>
  <si>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</si>
  <si>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</si>
  <si>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</si>
  <si>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</si>
  <si>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</si>
  <si>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</si>
  <si>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</si>
  <si>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</si>
  <si>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</si>
  <si>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</si>
  <si>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</si>
  <si>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</si>
  <si>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</si>
  <si>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</si>
  <si>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</si>
  <si>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</si>
  <si>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</si>
  <si>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</si>
  <si>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</si>
  <si>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</si>
  <si>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</si>
  <si>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</si>
  <si>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</si>
  <si>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</si>
  <si>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</si>
  <si>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</si>
  <si>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</si>
  <si>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</si>
  <si>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</si>
  <si>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</si>
  <si>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</si>
  <si>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</si>
  <si>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</si>
  <si>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</si>
  <si>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</si>
  <si>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</si>
  <si>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</si>
  <si>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</si>
  <si>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</si>
  <si>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</si>
  <si>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</si>
  <si>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</si>
  <si>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</si>
  <si>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</si>
  <si>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</si>
  <si>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</si>
  <si>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</si>
  <si>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</si>
  <si>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</si>
  <si>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</si>
  <si>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</si>
  <si>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</si>
  <si>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</si>
  <si>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</si>
  <si>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</si>
  <si>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</si>
  <si>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</si>
  <si>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</si>
  <si>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</si>
  <si>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</si>
  <si>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</si>
  <si>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</si>
  <si>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</si>
  <si>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</si>
  <si>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</si>
  <si>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</si>
  <si>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</si>
  <si>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</si>
  <si>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</si>
  <si>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</si>
  <si>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</si>
  <si>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</si>
  <si>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</si>
  <si>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</si>
  <si>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</si>
  <si>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</si>
  <si>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</si>
  <si>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</si>
  <si>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</si>
  <si>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</si>
  <si>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</si>
  <si>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</si>
  <si>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</si>
  <si>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</si>
  <si>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</si>
  <si>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</si>
  <si>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</si>
  <si>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</si>
  <si>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</si>
  <si>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</si>
  <si>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</si>
  <si>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</si>
  <si>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</si>
  <si>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</si>
  <si>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</si>
  <si>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</si>
  <si>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</si>
  <si>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</si>
  <si>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</si>
  <si>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</si>
  <si>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</si>
  <si>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</si>
  <si>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</si>
  <si>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</si>
  <si>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</si>
  <si>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</si>
  <si>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</si>
  <si>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公寓用房</t>
  </si>
  <si>
    <t>公寓用房</t>
    <phoneticPr fontId="14" type="noConversion"/>
  </si>
  <si>
    <t>否</t>
  </si>
  <si>
    <t>《建设工程规划许可证》[]、《出让合同》[]</t>
    <phoneticPr fontId="3" type="noConversion"/>
  </si>
  <si>
    <t>吴薇</t>
  </si>
  <si>
    <t>赵雯</t>
  </si>
  <si>
    <t>华澳国际信托有限公司</t>
    <phoneticPr fontId="6" type="noConversion"/>
  </si>
  <si>
    <t>华澳国际信托有限公司</t>
    <phoneticPr fontId="6" type="noConversion"/>
  </si>
  <si>
    <t>抵押</t>
  </si>
  <si>
    <t>抵押价格</t>
  </si>
  <si>
    <t>其他：</t>
  </si>
  <si>
    <t>企业</t>
  </si>
  <si>
    <t>南通市</t>
  </si>
  <si>
    <t>南通市</t>
    <phoneticPr fontId="6" type="noConversion"/>
  </si>
  <si>
    <t>新区中央商务区CR0504-A(A-01地块）</t>
    <phoneticPr fontId="6" type="noConversion"/>
  </si>
  <si>
    <t>商业、其他商服用地</t>
    <phoneticPr fontId="6" type="noConversion"/>
  </si>
  <si>
    <t>《国有土地使用证》</t>
    <phoneticPr fontId="6" type="noConversion"/>
  </si>
  <si>
    <t>符合</t>
  </si>
  <si>
    <t>一致</t>
  </si>
  <si>
    <t>出让</t>
  </si>
  <si>
    <t>商业</t>
  </si>
  <si>
    <t>商业项目</t>
  </si>
  <si>
    <t>无</t>
  </si>
  <si>
    <t>场地平整</t>
  </si>
  <si>
    <t>平整</t>
  </si>
  <si>
    <t>通路</t>
  </si>
  <si>
    <t>地上</t>
  </si>
  <si>
    <t>售价</t>
  </si>
  <si>
    <t>较一致</t>
  </si>
  <si>
    <t>较一致</t>
    <phoneticPr fontId="21" type="noConversion"/>
  </si>
  <si>
    <t>单面临街</t>
  </si>
  <si>
    <t>城市次干道</t>
  </si>
  <si>
    <t>城市次干道</t>
    <phoneticPr fontId="21" type="noConversion"/>
  </si>
  <si>
    <t>姚港路</t>
    <phoneticPr fontId="21" type="noConversion"/>
  </si>
  <si>
    <r>
      <rPr>
        <b/>
        <sz val="11"/>
        <rFont val="仿宋_GB2312"/>
        <family val="3"/>
        <charset val="134"/>
      </rPr>
      <t>估价对象公寓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</si>
  <si>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中南新世界公寓</t>
    <phoneticPr fontId="3" type="noConversion"/>
  </si>
  <si>
    <t>公寓</t>
  </si>
  <si>
    <t>公寓</t>
    <phoneticPr fontId="21" type="noConversion"/>
  </si>
  <si>
    <t>南通CBD·云阙</t>
    <phoneticPr fontId="3" type="noConversion"/>
  </si>
  <si>
    <t>恒隆国际公寓</t>
    <phoneticPr fontId="3" type="noConversion"/>
  </si>
  <si>
    <t>桔子水晶公寓</t>
    <phoneticPr fontId="3" type="noConversion"/>
  </si>
  <si>
    <t>loft</t>
  </si>
  <si>
    <t>loft</t>
    <phoneticPr fontId="21" type="noConversion"/>
  </si>
  <si>
    <t>平层</t>
  </si>
  <si>
    <t>平层</t>
    <phoneticPr fontId="21" type="noConversion"/>
  </si>
  <si>
    <t>——</t>
    <phoneticPr fontId="21" type="noConversion"/>
  </si>
  <si>
    <t>钢混</t>
  </si>
  <si>
    <t>钢混</t>
    <phoneticPr fontId="21" type="noConversion"/>
  </si>
  <si>
    <t>高档</t>
  </si>
  <si>
    <t>高档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</si>
  <si>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</si>
  <si>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</si>
  <si>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</si>
  <si>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</si>
  <si>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</si>
  <si>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</si>
  <si>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</si>
  <si>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</si>
  <si>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七通</t>
  </si>
  <si>
    <t>六通</t>
  </si>
  <si>
    <t>五通</t>
  </si>
  <si>
    <t>四通</t>
  </si>
  <si>
    <t>三通</t>
  </si>
  <si>
    <t>30-40（含）</t>
  </si>
  <si>
    <t>40-50（含）</t>
  </si>
  <si>
    <t>估价对象周边道路状况较好、公共交通通达情况较好、周边有11/13/22路等公交线路、停车便捷程度较好，综合评价交通便捷度较好</t>
  </si>
  <si>
    <t>估价对象周边道路状况较好、公共交通通达情况较好、周边有11/13/22路等公交线路、停车便捷程度较好，综合评价交通便捷度较好</t>
    <phoneticPr fontId="3" type="noConversion"/>
  </si>
  <si>
    <t>估价对象周边居住用地比例较好、周边有恒隆国际公寓等项目、居住小区规模和社区发展完善程度较好，综合评价居住社区成熟度较好</t>
  </si>
  <si>
    <t>估价对象周边居住用地比例较好、周边有恒隆国际公寓等项目、居住小区规模和社区发展完善程度较好，综合评价居住社区成熟度较好</t>
    <phoneticPr fontId="3" type="noConversion"/>
  </si>
  <si>
    <t>估价对象所在区域公共配套设施齐备情况较好</t>
  </si>
  <si>
    <t>估价对象所在区域公共配套设施齐备情况较好</t>
    <phoneticPr fontId="3" type="noConversion"/>
  </si>
  <si>
    <t>估价对象所在区域基础设施水平较好</t>
  </si>
  <si>
    <t>估价对象所在区域基础设施水平较好</t>
    <phoneticPr fontId="3" type="noConversion"/>
  </si>
  <si>
    <t>区域自然环境及人文环境较好，周边有南通中央公园等；综合评价环境状况较好</t>
  </si>
  <si>
    <t>区域自然环境及人文环境较好，周边有南通中央公园等；综合评价环境状况较好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</si>
  <si>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崇川路</t>
    </r>
    <phoneticPr fontId="21" type="noConversion"/>
  </si>
  <si>
    <t>较好</t>
  </si>
  <si>
    <t>城市次干道</t>
    <phoneticPr fontId="21" type="noConversion"/>
  </si>
  <si>
    <t>崇川路</t>
    <phoneticPr fontId="21" type="noConversion"/>
  </si>
  <si>
    <t>城市主干道</t>
  </si>
  <si>
    <t>城市主干道</t>
    <phoneticPr fontId="21" type="noConversion"/>
  </si>
  <si>
    <t>工农南路</t>
    <phoneticPr fontId="21" type="noConversion"/>
  </si>
  <si>
    <t>世纪大道</t>
    <phoneticPr fontId="21" type="noConversion"/>
  </si>
  <si>
    <t>高速路</t>
  </si>
  <si>
    <t>高速路</t>
    <phoneticPr fontId="21" type="noConversion"/>
  </si>
  <si>
    <t>快速路</t>
  </si>
  <si>
    <t>快速路</t>
    <phoneticPr fontId="21" type="noConversion"/>
  </si>
  <si>
    <t>城市主干道</t>
    <phoneticPr fontId="21" type="noConversion"/>
  </si>
  <si>
    <t>支路</t>
  </si>
  <si>
    <t>支路</t>
    <phoneticPr fontId="21" type="noConversion"/>
  </si>
  <si>
    <t>估价对象周边居住用地比例较好、周边有云阙公寓等项目、居住小区规模和社区发展完善程度较好，综合评价居住社区成熟度较好</t>
    <phoneticPr fontId="21" type="noConversion"/>
  </si>
  <si>
    <r>
      <rPr>
        <sz val="11"/>
        <rFont val="宋体"/>
        <family val="3"/>
        <charset val="134"/>
      </rPr>
      <t>估价对象周边道路状况较好、公共交通通达情况较好、周边有</t>
    </r>
    <r>
      <rPr>
        <sz val="11"/>
        <rFont val="Arial"/>
        <family val="2"/>
      </rPr>
      <t>16/52/72</t>
    </r>
    <r>
      <rPr>
        <sz val="11"/>
        <rFont val="宋体"/>
        <family val="3"/>
        <charset val="134"/>
      </rPr>
      <t>路等公交线路、停车便捷程度较好，综合评价交通便捷度较好</t>
    </r>
    <phoneticPr fontId="21" type="noConversion"/>
  </si>
  <si>
    <t>区域自然环境及人文环境较好，周边有濠河风景名胜区等；综合评价环境状况较好</t>
    <phoneticPr fontId="21" type="noConversion"/>
  </si>
  <si>
    <t>已全部缴纳</t>
  </si>
  <si>
    <t>项目全部</t>
  </si>
  <si>
    <t>土地</t>
  </si>
  <si>
    <t>比较法-住宅、综合</t>
  </si>
  <si>
    <t>剩余法-待开发</t>
  </si>
  <si>
    <t>估价对象位于中央商务区，周边商业氛围成熟，人流量较大，商业繁华度较好</t>
    <phoneticPr fontId="21" type="noConversion"/>
  </si>
  <si>
    <t>楼面地价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</si>
  <si>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</si>
  <si>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</si>
  <si>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较规则</t>
  </si>
  <si>
    <t>较规则</t>
    <phoneticPr fontId="26" type="noConversion"/>
  </si>
  <si>
    <t>较好</t>
    <phoneticPr fontId="26" type="noConversion"/>
  </si>
  <si>
    <t>无</t>
    <phoneticPr fontId="26" type="noConversion"/>
  </si>
  <si>
    <t>办公集聚程度</t>
  </si>
  <si>
    <t>0</t>
    <phoneticPr fontId="26" type="noConversion"/>
  </si>
  <si>
    <t>青年路北、通富路东</t>
  </si>
  <si>
    <t>青年路北、通富路东</t>
    <phoneticPr fontId="3" type="noConversion"/>
  </si>
  <si>
    <t>地块名称</t>
  </si>
  <si>
    <t>城市</t>
  </si>
  <si>
    <t>用地性质</t>
  </si>
  <si>
    <t>区县</t>
  </si>
  <si>
    <t>建设用地面积(㎡)</t>
  </si>
  <si>
    <t>成交日期</t>
  </si>
  <si>
    <t>成交每亩价(万元/亩)</t>
  </si>
  <si>
    <t>成交楼面价(元/㎡)</t>
  </si>
  <si>
    <t>濠北路北、百花路西(原耀荣玻璃厂)</t>
  </si>
  <si>
    <t>住宅用地</t>
  </si>
  <si>
    <t>崇川区</t>
  </si>
  <si>
    <t>1＜容积率＜1.71</t>
  </si>
  <si>
    <t>2018-09-10</t>
  </si>
  <si>
    <t>幸余路南、江通路东功能区一地块</t>
  </si>
  <si>
    <t>港闸区</t>
  </si>
  <si>
    <t>1＜容积率≤1.99</t>
  </si>
  <si>
    <t>高新区世纪大道东侧、钟秀东路南侧</t>
  </si>
  <si>
    <t>综合用地(含住宅)</t>
  </si>
  <si>
    <t>通州区</t>
  </si>
  <si>
    <t>1.50≤容积率≤1.70</t>
  </si>
  <si>
    <t>2018-08-31</t>
  </si>
  <si>
    <t>濠北路南、濠西园西(原天字味精厂)</t>
  </si>
  <si>
    <t>1＜容积率≤1.1770</t>
  </si>
  <si>
    <t>2018-08-27</t>
  </si>
  <si>
    <t>江嘉路东、苏六河西、博文路南、海亚路北</t>
  </si>
  <si>
    <t>开发区</t>
  </si>
  <si>
    <t>1＜容积率≤1.60</t>
  </si>
  <si>
    <t>2018-08-20</t>
  </si>
  <si>
    <t>苏五河东、金英西路西、海伦路南、苏六河北</t>
  </si>
  <si>
    <t>1＜容积率≤1.80</t>
  </si>
  <si>
    <t>2018-08-17</t>
  </si>
  <si>
    <t>江成路东、苏通路西、海纳路南、通二河北</t>
  </si>
  <si>
    <t>1＜容积率≤1.40</t>
  </si>
  <si>
    <t>2018-07-30</t>
  </si>
  <si>
    <t>永和路北、长青路东地块</t>
  </si>
  <si>
    <t>1＜容积率≤1.5990</t>
  </si>
  <si>
    <t>2018-07-19</t>
  </si>
  <si>
    <t>黄海路南、港闸河东地块</t>
  </si>
  <si>
    <t>1＜容积率≤1.5760</t>
  </si>
  <si>
    <t>平潮镇团结街</t>
  </si>
  <si>
    <t>1.60≤容积率≤1.80</t>
  </si>
  <si>
    <t>2018-07-16</t>
  </si>
  <si>
    <t>兴东街道杨世桥村南1组</t>
  </si>
  <si>
    <t>1.40≤容积率≤1.70</t>
  </si>
  <si>
    <t>曹公河南、城山路西</t>
  </si>
  <si>
    <t>1＜容积率≤2.39</t>
  </si>
  <si>
    <t>2018-07-09</t>
  </si>
  <si>
    <t>永和路南、长青路东</t>
  </si>
  <si>
    <t>1＜容积率≤1.91</t>
  </si>
  <si>
    <t>2018-07-02</t>
  </si>
  <si>
    <t>苏五河东、金英西路西、乐成路南、海纳路北侧</t>
  </si>
  <si>
    <t>金沙街道毓秀山路东侧、拖桥路南侧</t>
  </si>
  <si>
    <t>1.80≤容积率≤2</t>
  </si>
  <si>
    <t>2018-06-25</t>
  </si>
  <si>
    <t>金沙街道希望路东侧、虹西巷南侧</t>
  </si>
  <si>
    <t>1.10≤容积率≤1.30</t>
  </si>
  <si>
    <t>2018-06-06</t>
  </si>
  <si>
    <t>通州湾示范区黄河路南、乐海大道东</t>
  </si>
  <si>
    <t>1＜容积率≤1.20</t>
  </si>
  <si>
    <t>2018-06-04</t>
  </si>
  <si>
    <t>金沙街道朝霞路北侧、牡丹江路东侧</t>
  </si>
  <si>
    <t>1.40≤容积率≤1.60</t>
  </si>
  <si>
    <t>2018-05-29</t>
  </si>
  <si>
    <t>先锋街道世纪大道南侧、枫林路西侧</t>
  </si>
  <si>
    <t>1.60≤容积率≤2.20</t>
  </si>
  <si>
    <t>2018-05-28</t>
  </si>
  <si>
    <t>兴仁镇酒店社区3组</t>
  </si>
  <si>
    <t>2018-05-04</t>
  </si>
  <si>
    <t>永和路北、工农路西</t>
  </si>
  <si>
    <t>1＜容积率≤1.3880</t>
  </si>
  <si>
    <t>2018-04-23</t>
  </si>
  <si>
    <t>高新区金桥东路南侧、牡丹江路东侧</t>
  </si>
  <si>
    <t>啬园东侧、花园路北侧</t>
  </si>
  <si>
    <t>1＜容积率＜1.4820</t>
  </si>
  <si>
    <t>2018-04-20</t>
  </si>
  <si>
    <t>虹桥路南、姚港三路东</t>
  </si>
  <si>
    <t>1＜容积率＜1.68</t>
  </si>
  <si>
    <t>世纪大道北、通富北路东</t>
  </si>
  <si>
    <t>1＜容积率≤2.2160</t>
  </si>
  <si>
    <t>2018-04-17</t>
  </si>
  <si>
    <t>东方大道西、通启运河南</t>
  </si>
  <si>
    <t>1＜容积率≤2.10</t>
  </si>
  <si>
    <t>2018-04-13</t>
  </si>
  <si>
    <t>市公安局北、通京大道西、教育路南</t>
  </si>
  <si>
    <t>1＜容积率≤1.9530</t>
  </si>
  <si>
    <t>2018-04-10</t>
  </si>
  <si>
    <t>濠西路西、毓秀家园北、通吕运河南</t>
  </si>
  <si>
    <t>1＜容积率≤1.9980</t>
  </si>
  <si>
    <t>2018-04-09</t>
  </si>
  <si>
    <t>濠西路西、城北水库北、通吕运河南</t>
  </si>
  <si>
    <t>1＜容积率≤2.4690</t>
  </si>
  <si>
    <t>船闸西路北、曙光中心河东地块一</t>
  </si>
  <si>
    <t>1＜容积率≤1.30</t>
  </si>
  <si>
    <t>2018-04-02</t>
  </si>
  <si>
    <t>船闸西路北、曙光中心河东地块二</t>
  </si>
  <si>
    <t>1＜容积率≤1.23</t>
  </si>
  <si>
    <t>通富路东、朝阳路北</t>
  </si>
  <si>
    <t>1＜容积率≤2</t>
  </si>
  <si>
    <t>2018-03-21</t>
  </si>
  <si>
    <t>通州湾示范区汉江路南、职工之家东侧</t>
  </si>
  <si>
    <t>1.50≤容积率≤2</t>
  </si>
  <si>
    <t>2018-03-20</t>
  </si>
  <si>
    <t>川姜镇志浩村11、12组</t>
  </si>
  <si>
    <t>1.60≤容积率≤2</t>
  </si>
  <si>
    <t>2018-03-07</t>
  </si>
  <si>
    <t>刘桥社区凤仙9组</t>
  </si>
  <si>
    <t>1＜容积率≤1.10</t>
  </si>
  <si>
    <t>2018-03-05</t>
  </si>
  <si>
    <t>通州湾示范区老团结闸西南侧、海盐路北侧</t>
  </si>
  <si>
    <t>二甲镇新华路东侧</t>
  </si>
  <si>
    <t>1＜容积率≤1.35</t>
  </si>
  <si>
    <t>2018-02-28</t>
  </si>
  <si>
    <t>永昌路南、黄海路西</t>
  </si>
  <si>
    <t>1＜容积率≤1.3960</t>
  </si>
  <si>
    <t>2018-02-05</t>
  </si>
  <si>
    <t>新华路北、大生路东</t>
  </si>
  <si>
    <t>1＜容积率≤1.4310</t>
  </si>
  <si>
    <t>2018-02-02</t>
  </si>
  <si>
    <t>通州湾示范区珠江路北、职工之家东侧</t>
  </si>
  <si>
    <t>1.50≤容积率≤1.80</t>
  </si>
  <si>
    <t>2018-01-17</t>
  </si>
  <si>
    <t>通盛大道东、通启运河南</t>
  </si>
  <si>
    <t>1＜容积率≤1.8060</t>
  </si>
  <si>
    <t>2018-01-16</t>
  </si>
  <si>
    <t>通盛大道东、龙腾路北</t>
  </si>
  <si>
    <t>1＜容积率≤1.7970</t>
  </si>
  <si>
    <t>2018-01-15</t>
  </si>
  <si>
    <t>幸余路南、江通路东功能区二</t>
  </si>
  <si>
    <t>1＜容积率≤1.93</t>
  </si>
  <si>
    <t>2017-12-31</t>
  </si>
  <si>
    <t>钟秀路北、大港河东</t>
  </si>
  <si>
    <t>1＜容积率≤1.33</t>
  </si>
  <si>
    <t>2017-12-26</t>
  </si>
  <si>
    <t>永兴大道北、长泰路东</t>
  </si>
  <si>
    <t>1＜容积率≤1.82</t>
  </si>
  <si>
    <t>2017-12-25</t>
  </si>
  <si>
    <t>太平路东、观阳路南、山港河西</t>
  </si>
  <si>
    <t>1＜容积率≤2.18</t>
  </si>
  <si>
    <t>2017-12-22</t>
  </si>
  <si>
    <t>宏兴路南、林翠路西</t>
  </si>
  <si>
    <t>1＜容积率≤1.70</t>
  </si>
  <si>
    <t>2017-12-14</t>
  </si>
  <si>
    <t>希望路西侧、江海大道北侧</t>
  </si>
  <si>
    <t>1.01≤容积率≤1.50</t>
  </si>
  <si>
    <t>2017-12-11</t>
  </si>
  <si>
    <t>五接镇天后宫村</t>
  </si>
  <si>
    <t>1＜容积率≤1.50</t>
  </si>
  <si>
    <t>2017-11-29</t>
  </si>
  <si>
    <t>张芝山镇合欢路北侧、枫杨路东侧</t>
  </si>
  <si>
    <t>1.10≤容积率≤1.50</t>
  </si>
  <si>
    <t>兴东镇杨世桥村中3、7组地块</t>
  </si>
  <si>
    <t>1.40≤容≤1.80</t>
  </si>
  <si>
    <t>2016-06-06</t>
  </si>
  <si>
    <t>平西村3、10、22组地块</t>
  </si>
  <si>
    <t>2.59＜容≤2.60</t>
  </si>
  <si>
    <t>兴东镇杨世桥村中2、6、8组地块</t>
  </si>
  <si>
    <t>红星路北、跃龙路西</t>
  </si>
  <si>
    <t>1＜容＜2.0630</t>
  </si>
  <si>
    <t>2016-05-17</t>
  </si>
  <si>
    <t>越江路西、长江北路北地块二</t>
  </si>
  <si>
    <t>1＜容≤1.6640</t>
  </si>
  <si>
    <t>2016-04-29</t>
  </si>
  <si>
    <t>越江路西、长江北路北地块一</t>
  </si>
  <si>
    <t>1＜容≤1.2830</t>
  </si>
  <si>
    <t>深南路西、船闸东路北</t>
  </si>
  <si>
    <t>1＜容≤1.7350</t>
  </si>
  <si>
    <t>人民东路南侧、湘江北路西侧</t>
  </si>
  <si>
    <t>2≤容≤2.3</t>
  </si>
  <si>
    <t>2016-03-28</t>
  </si>
  <si>
    <t>集贤路西、幸余路南</t>
  </si>
  <si>
    <t>1≤容≤1.0140</t>
  </si>
  <si>
    <t>2016-03-14</t>
  </si>
  <si>
    <t>东海大道南、竹苑路西</t>
  </si>
  <si>
    <t>1＜容≤1.5</t>
  </si>
  <si>
    <t>2016-03-04</t>
  </si>
  <si>
    <t>运盐河北侧、规划新园路东侧</t>
  </si>
  <si>
    <t>1.6≤容≤1.8</t>
  </si>
  <si>
    <t>春晖路南、竹苑路西</t>
  </si>
  <si>
    <t>1＜容≤1.2</t>
  </si>
  <si>
    <t>2016-03-03</t>
  </si>
  <si>
    <t>南川河北、新星明路西(陆洪闸老镇改造地块三)</t>
  </si>
  <si>
    <t>1＜容≤2.2350</t>
  </si>
  <si>
    <t>2016-02-24</t>
  </si>
  <si>
    <t>川姜20110319宗地</t>
  </si>
  <si>
    <t>2≤容≤2.50</t>
  </si>
  <si>
    <t>2016-02-04</t>
  </si>
  <si>
    <t>通启路北、老星明路东(陆洪闸老镇改造地块一)</t>
  </si>
  <si>
    <t>1≤容≤1.859</t>
  </si>
  <si>
    <t>高新区201504222宗地</t>
  </si>
  <si>
    <t>2≤容≤2.20</t>
  </si>
  <si>
    <t>2016-02-03</t>
  </si>
  <si>
    <t>高新区201504221宗地</t>
  </si>
  <si>
    <t>锡通2015R006宗地</t>
  </si>
  <si>
    <t>2.20≤容≤2.50</t>
  </si>
  <si>
    <t>2016-02-02</t>
  </si>
  <si>
    <t>川姜20110318宗地</t>
  </si>
  <si>
    <t>锡通原亚龙宗地</t>
  </si>
  <si>
    <t>1.80≤容≤2.20</t>
  </si>
  <si>
    <t>锡通2015R003宗地</t>
  </si>
  <si>
    <t>2016-02-01</t>
  </si>
  <si>
    <t>锡通2015R001宗地</t>
  </si>
  <si>
    <t>锡通2015R004宗地</t>
  </si>
  <si>
    <t>锡通2015R005宗地</t>
  </si>
  <si>
    <t>锡通2015R002宗地</t>
  </si>
  <si>
    <t>先锋街道秦家埭村13、21组</t>
  </si>
  <si>
    <t>1＜容积率≤1.05</t>
  </si>
  <si>
    <t>2017-01-20</t>
  </si>
  <si>
    <t>苏沪花苑西侧</t>
  </si>
  <si>
    <t>1.01≤容积率≤1.10</t>
  </si>
  <si>
    <t>张芝山通启村</t>
  </si>
  <si>
    <t>1.50≤且≤2</t>
  </si>
  <si>
    <t>2016-01-15</t>
  </si>
  <si>
    <t>锡通园锡通大道与梧桐路交叉口东北侧</t>
  </si>
  <si>
    <t>1.80≤且≤2</t>
  </si>
  <si>
    <t>枫香路与玉兰西河交叉口西南侧</t>
  </si>
  <si>
    <t>锡通园枫杨路东侧</t>
  </si>
  <si>
    <t>锡通园玉兰路与通启路交叉口西南侧</t>
  </si>
  <si>
    <t>1.50≤且≤1.80</t>
  </si>
  <si>
    <t>2016-01-14</t>
  </si>
  <si>
    <t>张芝山塘坊村</t>
  </si>
  <si>
    <t>1.20≤且≤1.50</t>
  </si>
  <si>
    <t>锡通园含笑路与天星横河交叉口西北侧</t>
  </si>
  <si>
    <t>金安路东侧、金通二大道北侧</t>
  </si>
  <si>
    <t>1.01≤且≤1.40</t>
  </si>
  <si>
    <t>2016-01-11</t>
  </si>
  <si>
    <t>长平路东、新华路北、总渠路西、幸余路南</t>
  </si>
  <si>
    <t>1≤且≤1.778</t>
  </si>
  <si>
    <t>城东新区A2宗地</t>
  </si>
  <si>
    <t>1.01≤且≤1.25</t>
  </si>
  <si>
    <t>2015-12-30</t>
  </si>
  <si>
    <t>高新区20100502</t>
  </si>
  <si>
    <t>2.50≤且≤3</t>
  </si>
  <si>
    <t>2015-12-29</t>
  </si>
  <si>
    <t>锡通天星横问南侧宗地</t>
  </si>
  <si>
    <t>2≤且≤2.50</t>
  </si>
  <si>
    <t>高新区20140928</t>
  </si>
  <si>
    <t>高新区20120833</t>
  </si>
  <si>
    <t>高新区20090118宗地</t>
  </si>
  <si>
    <t>1.01≤且≤1.50</t>
  </si>
  <si>
    <t>2015-12-28</t>
  </si>
  <si>
    <t>高新区文盛路南侧、希望路西侧宗地</t>
  </si>
  <si>
    <t>高新区文盛路南侧、金海路东侧宗地</t>
  </si>
  <si>
    <t>通甲路南侧、富锋路东侧</t>
  </si>
  <si>
    <t>2015-12-23</t>
  </si>
  <si>
    <t>青年路北侧、富锋路东侧</t>
  </si>
  <si>
    <t>先锋镇三圩头村4组,5组,3组</t>
  </si>
  <si>
    <t>磨框镇村29组,7组,30组,8组</t>
  </si>
  <si>
    <t>2015-12-22</t>
  </si>
  <si>
    <t>高新区新世纪大道西侧、文贤路北侧</t>
  </si>
  <si>
    <t>商业/办公用地</t>
  </si>
  <si>
    <t>2≤容积率≤3</t>
  </si>
  <si>
    <t>东社镇杨港社区居委会16组</t>
  </si>
  <si>
    <t>0.80≤容积率≤1.20</t>
  </si>
  <si>
    <t>先锋街道秦家埭村25、26组</t>
  </si>
  <si>
    <t>容积率≤3.15</t>
  </si>
  <si>
    <t>2018-06-19</t>
  </si>
  <si>
    <t>张芝山镇336省道南侧、天星竖河西侧</t>
  </si>
  <si>
    <t>0.10≤容积率≤0.30</t>
  </si>
  <si>
    <t>通州湾示范区黄山路北、银海路东</t>
  </si>
  <si>
    <t>容积率＜1.20</t>
  </si>
  <si>
    <t>2018-05-31</t>
  </si>
  <si>
    <t>通州湾示范区滨海大道北、南都路西</t>
  </si>
  <si>
    <t>容积率＜0.60</t>
  </si>
  <si>
    <t>尖闸河东、永兴大道北</t>
  </si>
  <si>
    <t>1＜容积率≤1.6530</t>
  </si>
  <si>
    <t>东社镇东社居8组</t>
  </si>
  <si>
    <t>容积率=3.53</t>
  </si>
  <si>
    <t>2018-02-11</t>
  </si>
  <si>
    <t>永达路南、国强路西</t>
  </si>
  <si>
    <t>1＜容积率≤2.4570</t>
  </si>
  <si>
    <t>永兴大道南、幸福大道东地块二(东地块)</t>
  </si>
  <si>
    <t>1＜容积率≤2.7480</t>
  </si>
  <si>
    <t>2018-02-01</t>
  </si>
  <si>
    <t>永兴大道南、幸福大道东地块二(西地块)</t>
  </si>
  <si>
    <t>1＜容积率≤2.7270</t>
  </si>
  <si>
    <t>容积率＜1.60</t>
  </si>
  <si>
    <t>洪江路北、世伦路西</t>
  </si>
  <si>
    <t>1＜容积率≤1.3770</t>
  </si>
  <si>
    <t>2017-12-30</t>
  </si>
  <si>
    <t>果明路南、通京大道西</t>
  </si>
  <si>
    <t>1＜容积率≤1.4650</t>
  </si>
  <si>
    <t>洪江路南、盘香路西</t>
  </si>
  <si>
    <t>容积率≤0.0990</t>
  </si>
  <si>
    <t>2017-12-29</t>
  </si>
  <si>
    <t>新兴路南、龙腾路西</t>
  </si>
  <si>
    <t>容积率≤0.32</t>
  </si>
  <si>
    <t>洪江路南、通欣路东</t>
  </si>
  <si>
    <t>容积率≤0.12</t>
  </si>
  <si>
    <t>居安路南、东方大道西</t>
  </si>
  <si>
    <t>容积率≤0.24</t>
  </si>
  <si>
    <t>永兴大道南、幸福大道东地块三</t>
  </si>
  <si>
    <t>1＜容积率≤2.8610</t>
  </si>
  <si>
    <t>2017-12-28</t>
  </si>
  <si>
    <t>兴仁镇阚家庵村32组</t>
  </si>
  <si>
    <t>2017-12-05</t>
  </si>
  <si>
    <t>高新区钟秀东路北侧、经六河东侧</t>
  </si>
  <si>
    <t>0.20≤容积率≤0.40</t>
  </si>
  <si>
    <t>兴东街道黄金村3组</t>
  </si>
  <si>
    <t>0.10≤容积率≤0.35</t>
  </si>
  <si>
    <t>先锋街道周圩村30组</t>
  </si>
  <si>
    <t>0.20≤容积率≤0.60</t>
  </si>
  <si>
    <t>兴东街道机场路东侧、纬二路南侧</t>
  </si>
  <si>
    <t>0.10≤容积率≤0.40</t>
  </si>
  <si>
    <t>高新区新世纪大道西侧、行根路北侧</t>
  </si>
  <si>
    <t>2≤容积率≤2.50</t>
  </si>
  <si>
    <t>刘桥镇刘桥社区居委会凤仙8组</t>
  </si>
  <si>
    <t>1.20≤容积率≤1.40</t>
  </si>
  <si>
    <t>河东路东、大富豪啤酒厂北(唐闸渡口巷)</t>
  </si>
  <si>
    <t>容积率≤0.37</t>
  </si>
  <si>
    <t>2017-11-27</t>
  </si>
  <si>
    <t>希望路东侧、朝霞路南侧</t>
  </si>
  <si>
    <t>2017-11-13</t>
  </si>
  <si>
    <t>港兴路北、幸福大道东地块一</t>
  </si>
  <si>
    <t>1＜容积率≤2.96</t>
  </si>
  <si>
    <t>2017-11-03</t>
  </si>
  <si>
    <t>港兴路北、幸福大道东地块二</t>
  </si>
  <si>
    <t>1＜容积率≤2.95</t>
  </si>
  <si>
    <t>永兴大道南、幸福大道东地块七</t>
  </si>
  <si>
    <t>1＜容积率≤2.75</t>
  </si>
  <si>
    <t>2017-10-31</t>
  </si>
  <si>
    <t>永和路南、石桥路西地块二</t>
  </si>
  <si>
    <t>2017-10-27</t>
  </si>
  <si>
    <t>通州湾示范区滨海大道南侧、黄海路东侧</t>
  </si>
  <si>
    <t>2.20≤容积率≤3</t>
  </si>
  <si>
    <t>2017-10-09</t>
  </si>
  <si>
    <t>行根路北侧、崇德路东侧</t>
  </si>
  <si>
    <t>1≤容积率≤1.30</t>
  </si>
  <si>
    <t>2017-08-18</t>
  </si>
  <si>
    <t>江海大道北、深南路西</t>
  </si>
  <si>
    <t>容积率≤1.4590</t>
  </si>
  <si>
    <t>2017-07-03</t>
  </si>
  <si>
    <t>高新区华山社区19组</t>
  </si>
  <si>
    <t>0.70≤容积率≤1.10</t>
  </si>
  <si>
    <t>2017-06-15</t>
  </si>
  <si>
    <t>金洲路东侧、银河西路北侧</t>
  </si>
  <si>
    <t>1.30≤容积率≤1.50</t>
  </si>
  <si>
    <t>2017-06-12</t>
  </si>
  <si>
    <t>古沙路北侧、湘江北路西侧</t>
  </si>
  <si>
    <t>2017-06-06</t>
  </si>
  <si>
    <t>海德路北、团结河东</t>
  </si>
  <si>
    <t>1＜容积率≤1.15</t>
  </si>
  <si>
    <t>2017-05-22</t>
  </si>
  <si>
    <t>幸余路南、兴港路西</t>
  </si>
  <si>
    <t>容积率≤1.50</t>
  </si>
  <si>
    <t>2017-05-19</t>
  </si>
  <si>
    <t>江海大道北、长青路东</t>
  </si>
  <si>
    <t>容积率≤1.42</t>
  </si>
  <si>
    <t>驰远路北、吉庆路东</t>
  </si>
  <si>
    <t>容积率≤0.9840</t>
  </si>
  <si>
    <t>2017-05-16</t>
  </si>
  <si>
    <t>幸福路南、通刘公路东</t>
  </si>
  <si>
    <t>容积率≤2.0640</t>
  </si>
  <si>
    <t>先锋街道十六里墩村2组</t>
  </si>
  <si>
    <t>3≤容积率≤4.60</t>
  </si>
  <si>
    <t>2017-01-26</t>
  </si>
  <si>
    <t>通富路西、源兴路北</t>
  </si>
  <si>
    <t>容积率≤2.4940</t>
  </si>
  <si>
    <t>2016-12-21</t>
  </si>
  <si>
    <t>杏园东路北侧、珠江路东侧</t>
  </si>
  <si>
    <t>2016-11-17</t>
  </si>
  <si>
    <t>锡通科技产业园玉兰路与彩林路交叉口东南侧</t>
  </si>
  <si>
    <t>1≤容积率≤1.50</t>
  </si>
  <si>
    <t>2016-11-07</t>
  </si>
  <si>
    <t>新开南路东、振兴东路南</t>
  </si>
  <si>
    <t>容积率≤0.6220</t>
  </si>
  <si>
    <t>2016-10-28</t>
  </si>
  <si>
    <t>永福路南、集贤路东地块</t>
  </si>
  <si>
    <t>容积率≤1.9950</t>
  </si>
  <si>
    <t>2016-10-20</t>
  </si>
  <si>
    <t>湘江北路东侧、运盐河北侧地块</t>
  </si>
  <si>
    <t>0.90≤容积率≤1</t>
  </si>
  <si>
    <t>2016-10-10</t>
  </si>
  <si>
    <t>兴东街道土山村北5组地块</t>
  </si>
  <si>
    <t>2016-08-22</t>
  </si>
  <si>
    <t>醒辉服饰东侧地块</t>
  </si>
  <si>
    <t>容=0.86</t>
  </si>
  <si>
    <t>2016-07-15</t>
  </si>
  <si>
    <t>希望路西侧、竖石河东侧地块</t>
  </si>
  <si>
    <t>0.70≤容≤1.10</t>
  </si>
  <si>
    <t>五接镇开沙村7、12组地块</t>
  </si>
  <si>
    <t>0.60≤容≤1</t>
  </si>
  <si>
    <t>2016-05-03</t>
  </si>
  <si>
    <t>金鼎路西侧、金西二号横河南侧地块</t>
  </si>
  <si>
    <t>2.50≤容≤3</t>
  </si>
  <si>
    <t>朝霞东路北侧、湘江北路东侧</t>
  </si>
  <si>
    <t>1.5≤容≤2</t>
  </si>
  <si>
    <t>骑岸居6组</t>
  </si>
  <si>
    <t>1≤容≤1.4</t>
  </si>
  <si>
    <t>2016-03-08</t>
  </si>
  <si>
    <t>五总居委会16组</t>
  </si>
  <si>
    <t>1≤容≤1.2</t>
  </si>
  <si>
    <t>南川河南、新星明路西(陆洪闸老镇改造地块二)</t>
  </si>
  <si>
    <t>容≤0.8540</t>
  </si>
  <si>
    <t>高新区20150419宗地</t>
  </si>
  <si>
    <t>高新区20150415宗地</t>
  </si>
  <si>
    <t>高新区20150416宗地</t>
  </si>
  <si>
    <t>幸余路南、经四路东地块二</t>
  </si>
  <si>
    <t>≤0.12</t>
  </si>
  <si>
    <t>2016-01-21</t>
  </si>
  <si>
    <t>幸余路南、经四路东地块一</t>
  </si>
  <si>
    <t>≤1.3010</t>
  </si>
  <si>
    <t>北二环路北侧,十四总港西侧</t>
  </si>
  <si>
    <t>容积率≤2</t>
  </si>
  <si>
    <t>通宁大道东、永怡路北</t>
  </si>
  <si>
    <t>≤1.9940</t>
  </si>
  <si>
    <t>春晖路南、渤海东路西</t>
  </si>
  <si>
    <t>1.2≤且≤1.5</t>
  </si>
  <si>
    <t>2015-12-31</t>
  </si>
  <si>
    <t>海盐路南、海堤路北</t>
  </si>
  <si>
    <t>0.5≤且≤0.8</t>
  </si>
  <si>
    <t>春晖路北、渤海东路西</t>
  </si>
  <si>
    <t>0.9≤且≤1.3</t>
  </si>
  <si>
    <t>新区人民银行北、崇文路东</t>
  </si>
  <si>
    <t>＜3.198</t>
  </si>
  <si>
    <t>高新区20140951宗地</t>
  </si>
  <si>
    <t>3.50≤且≤4</t>
  </si>
  <si>
    <t>新金西路北侧、纪家港东侧</t>
  </si>
  <si>
    <t>1.20≤且≤2</t>
  </si>
  <si>
    <t>2015-11-27</t>
  </si>
  <si>
    <t>五接镇天后宫村1组</t>
  </si>
  <si>
    <t>0.10≤且≤0.20</t>
  </si>
  <si>
    <t>2015-10-22</t>
  </si>
  <si>
    <t>阚家庵村32组</t>
  </si>
  <si>
    <t>0.20≤容积率≤0.50</t>
  </si>
  <si>
    <t>团结河北、黄河路南</t>
  </si>
  <si>
    <t>≤0.956</t>
  </si>
  <si>
    <t>2015-10-19</t>
  </si>
  <si>
    <t>世纪大道南、跃龙南路西</t>
  </si>
  <si>
    <t>＜3.5</t>
  </si>
  <si>
    <t>2015-09-25</t>
  </si>
  <si>
    <t>城山路西、崇海路南</t>
  </si>
  <si>
    <t>≤0.8557</t>
  </si>
  <si>
    <t>2015-09-07</t>
  </si>
  <si>
    <t>海中路东、源兴路北</t>
  </si>
  <si>
    <t>≤0.44</t>
  </si>
  <si>
    <t>2015-07-24</t>
  </si>
  <si>
    <t>云海路南、银海路西</t>
  </si>
  <si>
    <t>≥1.0且≤1.3</t>
  </si>
  <si>
    <t>2015-07-20</t>
  </si>
  <si>
    <t>滨海大道北、扶海路东</t>
  </si>
  <si>
    <t>≥1.8且≤2.2</t>
  </si>
  <si>
    <t>滨海大道北、银海路西</t>
  </si>
  <si>
    <t>≥2.1且≤2.4</t>
  </si>
  <si>
    <t>海堤路北、海盐路南</t>
  </si>
  <si>
    <t>＜1.0</t>
  </si>
  <si>
    <t>2015-07-15</t>
  </si>
  <si>
    <t>江海大道北侧、黄海路东侧</t>
  </si>
  <si>
    <t>≤2.0</t>
  </si>
  <si>
    <t>2015-07-10</t>
  </si>
  <si>
    <t>城北大道南、幸福大道东、经八路西、幸福镇区中心路北(地块三)</t>
  </si>
  <si>
    <t>≤1.5</t>
  </si>
  <si>
    <t>2015-07-09</t>
  </si>
  <si>
    <t>金海路北、扶海路东</t>
  </si>
  <si>
    <t>＜1.6</t>
  </si>
  <si>
    <t>2015-06-19</t>
  </si>
  <si>
    <t>苏通科技产业园苏通路东、乐成路南、海纳路北</t>
  </si>
  <si>
    <t>≤1.4且≥1.0</t>
  </si>
  <si>
    <t>2015-05-26</t>
  </si>
  <si>
    <t>骑岸20140706宗地</t>
  </si>
  <si>
    <t>1.6-2.0</t>
  </si>
  <si>
    <t>2015-04-27</t>
  </si>
  <si>
    <t>太平路东、八一路南(地块二)</t>
  </si>
  <si>
    <t>小于1.69</t>
  </si>
  <si>
    <t>2015-03-25</t>
  </si>
  <si>
    <t>工农路西、政务中心北</t>
  </si>
  <si>
    <t>≤3.4</t>
  </si>
  <si>
    <t>2015-03-19</t>
  </si>
  <si>
    <t>滨海大道南、云海路东</t>
  </si>
  <si>
    <t>≥1.1且≤1.4</t>
  </si>
  <si>
    <t>2015-03-18</t>
  </si>
  <si>
    <t>川姜镇20140211宗地</t>
  </si>
  <si>
    <t>1.8-2.1</t>
  </si>
  <si>
    <t>2015-02-25</t>
  </si>
  <si>
    <t>金桥社区居委会4组,3组</t>
  </si>
  <si>
    <t>大于或等于1.8并且小于或等于2.2</t>
  </si>
  <si>
    <t>2015-02-03</t>
  </si>
  <si>
    <t>果园社区居委会18组,17组,碧堂庙社区居委会41组</t>
  </si>
  <si>
    <t>大于或等于2并且小于或等于2.5</t>
  </si>
  <si>
    <t>2015-02-02</t>
  </si>
  <si>
    <t>金沙镇城东村</t>
  </si>
  <si>
    <t>大于或等于2.2并且小于或等于2.5</t>
  </si>
  <si>
    <t>果园社区居委会,6组,5组</t>
  </si>
  <si>
    <t>春晖路南、春来路东</t>
  </si>
  <si>
    <t>≥1.0且≤1.5</t>
  </si>
  <si>
    <t>2015-01-21</t>
  </si>
  <si>
    <t>永兴大道南、石桥路西(地块二)</t>
  </si>
  <si>
    <t>≤1.05</t>
  </si>
  <si>
    <t>2014-12-31</t>
  </si>
  <si>
    <t>高新区20140501宗地</t>
  </si>
  <si>
    <t>1.4-1.8</t>
  </si>
  <si>
    <t>2014-12-25</t>
  </si>
  <si>
    <t>万顷良田三号宗地</t>
  </si>
  <si>
    <t>江成路东、苏通路西、海纳路南、通二河北</t>
    <phoneticPr fontId="3" type="noConversion"/>
  </si>
  <si>
    <t>高新区世纪大道东侧、钟秀东路南侧</t>
    <phoneticPr fontId="3" type="noConversion"/>
  </si>
  <si>
    <t>50</t>
    <phoneticPr fontId="26" type="noConversion"/>
  </si>
  <si>
    <r>
      <rPr>
        <sz val="11"/>
        <rFont val="宋体"/>
        <family val="3"/>
        <charset val="134"/>
      </rPr>
      <t>估价对象周边道路状况较好、公共交通通达情况较好、周边有</t>
    </r>
    <r>
      <rPr>
        <sz val="11"/>
        <rFont val="Arial"/>
        <family val="2"/>
      </rPr>
      <t>18/48</t>
    </r>
    <r>
      <rPr>
        <sz val="11"/>
        <rFont val="宋体"/>
        <family val="3"/>
        <charset val="134"/>
      </rPr>
      <t>路等公交线路、停车便捷程度较好，综合评价交通便捷度较好</t>
    </r>
    <phoneticPr fontId="26" type="noConversion"/>
  </si>
  <si>
    <t>一般</t>
  </si>
  <si>
    <r>
      <rPr>
        <sz val="11"/>
        <rFont val="宋体"/>
        <family val="3"/>
        <charset val="134"/>
      </rPr>
      <t>估价对象周边道路状况一般、公共交通通达情况一般、周边有80</t>
    </r>
    <r>
      <rPr>
        <sz val="11"/>
        <rFont val="Arial"/>
        <family val="2"/>
      </rPr>
      <t>/226</t>
    </r>
    <r>
      <rPr>
        <sz val="11"/>
        <rFont val="宋体"/>
        <family val="3"/>
        <charset val="134"/>
      </rPr>
      <t>路等公交线路、停车便捷程度一般，综合评价交通便捷度一般</t>
    </r>
    <phoneticPr fontId="26" type="noConversion"/>
  </si>
  <si>
    <r>
      <rPr>
        <sz val="11"/>
        <rFont val="宋体"/>
        <family val="3"/>
        <charset val="134"/>
      </rPr>
      <t>估价对象周边道路状况较差、公共交通通达情况较差、周边有</t>
    </r>
    <r>
      <rPr>
        <sz val="11"/>
        <rFont val="Arial"/>
        <family val="2"/>
      </rPr>
      <t>5</t>
    </r>
    <r>
      <rPr>
        <sz val="11"/>
        <rFont val="宋体"/>
        <family val="3"/>
        <charset val="134"/>
      </rPr>
      <t>0</t>
    </r>
    <r>
      <rPr>
        <sz val="11"/>
        <rFont val="Arial"/>
        <family val="2"/>
      </rPr>
      <t>/90</t>
    </r>
    <r>
      <rPr>
        <sz val="11"/>
        <rFont val="宋体"/>
        <family val="3"/>
        <charset val="134"/>
      </rPr>
      <t>路等公交线路、停车便捷程度较差，综合评价交通便捷度较差</t>
    </r>
    <phoneticPr fontId="26" type="noConversion"/>
  </si>
  <si>
    <t>较差</t>
  </si>
  <si>
    <t>估价对象周边居住用地比例一般、居住小区规模和社区发展完善程度一般，综合评价居住社区成熟度一般</t>
    <phoneticPr fontId="26" type="noConversion"/>
  </si>
  <si>
    <t>估价对象周边居住用地比例较差、居住小区规模和社区发展完善程度较差，综合评价居住社区成熟度较差</t>
    <phoneticPr fontId="26" type="noConversion"/>
  </si>
  <si>
    <t>估价对象周边商业氛围一般，人流量一般，商业繁华度一般</t>
    <phoneticPr fontId="26" type="noConversion"/>
  </si>
  <si>
    <t>估价对象周边商业氛围较差，人流量较差，商业繁华度较差</t>
    <phoneticPr fontId="26" type="noConversion"/>
  </si>
  <si>
    <t>估价对象所在区域公共配套设施齐备情况一般</t>
    <phoneticPr fontId="26" type="noConversion"/>
  </si>
  <si>
    <t>区域自然环境及人文环境一般；综合评价环境状况一般</t>
    <phoneticPr fontId="26" type="noConversion"/>
  </si>
  <si>
    <r>
      <rPr>
        <sz val="11"/>
        <rFont val="宋体"/>
        <family val="3"/>
        <charset val="134"/>
      </rPr>
      <t>城市次干道</t>
    </r>
    <r>
      <rPr>
        <sz val="11"/>
        <rFont val="Arial"/>
        <family val="2"/>
      </rPr>
      <t>-</t>
    </r>
    <r>
      <rPr>
        <sz val="11"/>
        <rFont val="宋体"/>
        <family val="3"/>
        <charset val="134"/>
      </rPr>
      <t>青年中路</t>
    </r>
    <phoneticPr fontId="26" type="noConversion"/>
  </si>
  <si>
    <r>
      <rPr>
        <sz val="11"/>
        <rFont val="宋体"/>
        <family val="3"/>
        <charset val="134"/>
      </rPr>
      <t>城市次干道</t>
    </r>
    <r>
      <rPr>
        <sz val="11"/>
        <rFont val="Arial"/>
        <family val="2"/>
      </rPr>
      <t>-</t>
    </r>
    <r>
      <rPr>
        <sz val="11"/>
        <rFont val="宋体"/>
        <family val="3"/>
        <charset val="134"/>
      </rPr>
      <t>锦绣路</t>
    </r>
    <phoneticPr fontId="26" type="noConversion"/>
  </si>
  <si>
    <r>
      <rPr>
        <sz val="11"/>
        <rFont val="宋体"/>
        <family val="3"/>
        <charset val="134"/>
      </rPr>
      <t>城市次干道</t>
    </r>
    <r>
      <rPr>
        <sz val="11"/>
        <rFont val="Arial"/>
        <family val="2"/>
      </rPr>
      <t>-</t>
    </r>
    <r>
      <rPr>
        <sz val="11"/>
        <rFont val="宋体"/>
        <family val="3"/>
        <charset val="134"/>
      </rPr>
      <t>苏通路</t>
    </r>
    <phoneticPr fontId="26" type="noConversion"/>
  </si>
  <si>
    <t>江海大道南、黄海路西</t>
  </si>
  <si>
    <t>1＜容积率≤1.9710</t>
  </si>
  <si>
    <t>2017-11-17</t>
  </si>
  <si>
    <t>濠西路西、通吕运河北</t>
  </si>
  <si>
    <t>1＜容积率≤2.1940</t>
  </si>
  <si>
    <t>苏通科技产业园江安路东、江成路西、海伦路北</t>
  </si>
  <si>
    <t>2017-11-07</t>
  </si>
  <si>
    <t>通州湾示范区长江路南、学区路西</t>
  </si>
  <si>
    <t>通州湾示范区长江路南、珠海路东</t>
  </si>
  <si>
    <t>2017-11-06</t>
  </si>
  <si>
    <t>苏通科技产业园苏四河东、苏通路西、乐成路南、江成路北</t>
  </si>
  <si>
    <t>通州湾示范区长江路南、银海路东</t>
  </si>
  <si>
    <t>1.20＜容积率≤1.50</t>
  </si>
  <si>
    <t>通州湾示范区汉江路南、珠海路西</t>
  </si>
  <si>
    <t>1.80＜容积率≤2.20</t>
  </si>
  <si>
    <t>2017-10-26</t>
  </si>
  <si>
    <t>通州湾示范区珠江路南、珠海路西</t>
  </si>
  <si>
    <t>2＜容积率≤2.40</t>
  </si>
  <si>
    <t>复兴东路北、东方大道西</t>
  </si>
  <si>
    <t>2017-10-20</t>
  </si>
  <si>
    <t>宏兴东路南、东方大道西</t>
  </si>
  <si>
    <t>苏通科技产业园江安路东、江成路西、海伦路南</t>
  </si>
  <si>
    <t>2017-10-23</t>
  </si>
  <si>
    <t>1＜容积率≤2.13</t>
  </si>
  <si>
    <t>2017-10-17</t>
  </si>
  <si>
    <t>通盛大道西、源兴路北、居康路南</t>
  </si>
  <si>
    <t>1＜容积率≤1.98</t>
  </si>
  <si>
    <t>2017-10-16</t>
  </si>
  <si>
    <t>世纪大道南、太平路东、崇川路北</t>
  </si>
  <si>
    <t>通州湾示范区滨海大道南、银海路东</t>
  </si>
  <si>
    <t>2≤容积率≤2.30</t>
  </si>
  <si>
    <t>2017-09-22</t>
  </si>
  <si>
    <t>珠江路西侧、碧华东路北侧</t>
  </si>
  <si>
    <t>2017-09-18</t>
  </si>
  <si>
    <t>长泰路东、新华路北</t>
  </si>
  <si>
    <t>1＜容积率≤1.63</t>
  </si>
  <si>
    <t>2017-09-12</t>
  </si>
  <si>
    <t>新世纪大道西侧、金桥路南侧</t>
  </si>
  <si>
    <t>2017-09-05</t>
  </si>
  <si>
    <t>瑞慈医院北、南通壹城东、常青路西、科兴路南</t>
  </si>
  <si>
    <t>1＜容积率≤1.07</t>
  </si>
  <si>
    <t>2017-09-01</t>
  </si>
  <si>
    <t>海纳路南、通二河北、苏通路东、金英西路西</t>
  </si>
  <si>
    <t>1＜容积率≤1.78</t>
  </si>
  <si>
    <t>2017-08-31</t>
  </si>
  <si>
    <t>南湖东路北侧、牡丹江路东侧</t>
  </si>
  <si>
    <t>2017-08-28</t>
  </si>
  <si>
    <t>城东新区南湖东路南侧、牡丹江路东侧</t>
  </si>
  <si>
    <t>银河新区新金西路南侧、金洲路东侧</t>
  </si>
  <si>
    <t>2≤容积率≤2.40</t>
  </si>
  <si>
    <t>2017-08-09</t>
  </si>
  <si>
    <t>林翠路西、复兴东路北</t>
  </si>
  <si>
    <t>＞1,≤1.997</t>
  </si>
  <si>
    <t>2017-06-27</t>
  </si>
  <si>
    <t>东方大道西、复兴东路南</t>
  </si>
  <si>
    <t>＞1,≤2.1</t>
  </si>
  <si>
    <t>2017-06-21</t>
  </si>
  <si>
    <t>尚德路东侧、荣华小区北侧</t>
  </si>
  <si>
    <t>1.01≤容积率≤1.03</t>
  </si>
  <si>
    <t>2017-05-24</t>
  </si>
  <si>
    <t>大庆路北侧、汽车站南侧</t>
  </si>
  <si>
    <t>1.01≤容积率≤1.05</t>
  </si>
  <si>
    <t>2017-05-23</t>
  </si>
  <si>
    <t>朝阳路东侧、古沙路南侧</t>
  </si>
  <si>
    <t>1.60≤容积率≤1.90</t>
  </si>
  <si>
    <t>三姓街路南侧、金虹路东侧</t>
  </si>
  <si>
    <t>1.40≤容积率≤1.65</t>
  </si>
  <si>
    <t>2017-04-13</t>
  </si>
  <si>
    <t>金桥东路南侧、牡丹江路西侧</t>
  </si>
  <si>
    <t>2017-01-04</t>
  </si>
  <si>
    <t>任港路北、景华城东(柴油机厂及周边)</t>
  </si>
  <si>
    <t>1＜容积率≤1.6870</t>
  </si>
  <si>
    <t>2016-12-30</t>
  </si>
  <si>
    <t>公安局南、校西路西</t>
  </si>
  <si>
    <t>永达路南、石桥路西</t>
  </si>
  <si>
    <t>1＜容积率≤1.3030</t>
  </si>
  <si>
    <t>2016-12-28</t>
  </si>
  <si>
    <t>永怡路南、长青路西</t>
  </si>
  <si>
    <t>1＜容积率≤1.0950</t>
  </si>
  <si>
    <t>青年路北、星明路东</t>
  </si>
  <si>
    <t>1＜容积率≤2.6180</t>
  </si>
  <si>
    <t>2016-12-27</t>
  </si>
  <si>
    <t>平宁路西、幸余路北、青灵路南</t>
  </si>
  <si>
    <t>1＜容积率≤1.6490</t>
  </si>
  <si>
    <t>通盛大道西、诚兴路北</t>
  </si>
  <si>
    <t>1＜容积率≤1.7450</t>
  </si>
  <si>
    <t>2016-12-26</t>
  </si>
  <si>
    <t>石桥路东、永达路北</t>
  </si>
  <si>
    <t>1＜容积率≤1.11</t>
  </si>
  <si>
    <t>平宁路西、青灵路北</t>
  </si>
  <si>
    <t>1＜容积率≤2.0110</t>
  </si>
  <si>
    <t>2016-12-22</t>
  </si>
  <si>
    <t>公安局南、校西路东</t>
  </si>
  <si>
    <t>1＜容积率≤1.707</t>
  </si>
  <si>
    <t>居乡路南、通盛大道西</t>
  </si>
  <si>
    <t>1＜容积率≤1.0050</t>
  </si>
  <si>
    <t>2016-12-15</t>
  </si>
  <si>
    <t>碧华东路北侧、湘江北路东侧</t>
  </si>
  <si>
    <t>2016-12-08</t>
  </si>
  <si>
    <t>金欣路东侧,通灵桥路北侧</t>
  </si>
  <si>
    <t>2016-11-25</t>
  </si>
  <si>
    <t>人民路南、通富路西</t>
  </si>
  <si>
    <t>1＜容≤1.56</t>
  </si>
  <si>
    <t>金桥路北侧、崇德路东侧</t>
  </si>
  <si>
    <t>1.6≤容积率≤2</t>
  </si>
  <si>
    <t>友谊路西、永达路北地块</t>
  </si>
  <si>
    <t>1＜容积率≤2.202</t>
  </si>
  <si>
    <t>通盛大道东、宏兴路北地块</t>
  </si>
  <si>
    <t>2016-09-12</t>
  </si>
  <si>
    <t>四港村14组地块</t>
  </si>
  <si>
    <t>1＜容≤1.50</t>
  </si>
  <si>
    <t>通富路西、洪江路南地块</t>
  </si>
  <si>
    <t>1＜容≤1.6940</t>
  </si>
  <si>
    <t>2016-06-15</t>
  </si>
  <si>
    <t>南通中南新世界中心开发有限公司</t>
    <phoneticPr fontId="6" type="noConversion"/>
  </si>
  <si>
    <t>其他商服</t>
  </si>
  <si>
    <t>其他商服</t>
    <phoneticPr fontId="26" type="noConversion"/>
  </si>
  <si>
    <t>住宅、综合</t>
  </si>
  <si>
    <t>住宅、综合</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</si>
</sst>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85"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276"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5" fillId="0" borderId="0" xfId="15"/>
    <xf numFmtId="0" fontId="85" fillId="0" borderId="0" xfId="15"/>
    <xf numFmtId="0" fontId="85" fillId="0" borderId="0" xfId="15"/>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0" fillId="6" borderId="0" xfId="0" applyFill="1" applyAlignment="1"/>
    <xf numFmtId="0" fontId="85" fillId="6" borderId="0" xfId="15" applyFill="1"/>
    <xf numFmtId="0" fontId="85" fillId="0" borderId="0" xfId="15"/>
    <xf numFmtId="0" fontId="0" fillId="6" borderId="0" xfId="0" applyFill="1">
      <alignment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552449</xdr:colOff>
      <xdr:row>1</xdr:row>
      <xdr:rowOff>77602</xdr:rowOff>
    </xdr:from>
    <xdr:to>
      <xdr:col>11</xdr:col>
      <xdr:colOff>219074</xdr:colOff>
      <xdr:row>29</xdr:row>
      <xdr:rowOff>76199</xdr:rowOff>
    </xdr:to>
    <xdr:pic>
      <xdr:nvPicPr>
        <xdr:cNvPr id="2" name="图片 1" descr="C:\Documents and Settings\Administrator\Application Data\Tencent\Users\2416965547\QQ\WinTemp\RichOle\()JNVUG6~EAD%1L@~D`R}W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49" y="249052"/>
          <a:ext cx="7210425" cy="479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0</xdr:row>
      <xdr:rowOff>92015</xdr:rowOff>
    </xdr:from>
    <xdr:to>
      <xdr:col>18</xdr:col>
      <xdr:colOff>9525</xdr:colOff>
      <xdr:row>25</xdr:row>
      <xdr:rowOff>123825</xdr:rowOff>
    </xdr:to>
    <xdr:pic>
      <xdr:nvPicPr>
        <xdr:cNvPr id="3" name="图片 2" descr="C:\Documents and Settings\Administrator\Application Data\Tencent\Users\2416965547\QQ\WinTemp\RichOle\Y40)1NGOQXKKJ`U[(87$ZW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0" y="92015"/>
          <a:ext cx="4733925" cy="431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77035</xdr:rowOff>
    </xdr:from>
    <xdr:to>
      <xdr:col>11</xdr:col>
      <xdr:colOff>295275</xdr:colOff>
      <xdr:row>33</xdr:row>
      <xdr:rowOff>47624</xdr:rowOff>
    </xdr:to>
    <xdr:pic>
      <xdr:nvPicPr>
        <xdr:cNvPr id="3" name="图片 2" descr="C:\Documents and Settings\Administrator\Application Data\Tencent\Users\2416965547\QQ\WinTemp\RichOle\H3F3C1(UM6N%)}{WCPDS7{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48485"/>
          <a:ext cx="7477125" cy="5456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114299</xdr:colOff>
      <xdr:row>1</xdr:row>
      <xdr:rowOff>42790</xdr:rowOff>
    </xdr:from>
    <xdr:to>
      <xdr:col>15</xdr:col>
      <xdr:colOff>108344</xdr:colOff>
      <xdr:row>31</xdr:row>
      <xdr:rowOff>57150</xdr:rowOff>
    </xdr:to>
    <xdr:pic>
      <xdr:nvPicPr>
        <xdr:cNvPr id="2" name="图片 1" descr="C:\Documents and Settings\Administrator\Application Data\Tencent\Users\2416965547\QQ\WinTemp\RichOle\KI%NXT3E%[D6MAXI7Z5{(R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299" y="214240"/>
          <a:ext cx="10281045" cy="515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0</xdr:rowOff>
    </xdr:from>
    <xdr:to>
      <xdr:col>15</xdr:col>
      <xdr:colOff>277434</xdr:colOff>
      <xdr:row>67</xdr:row>
      <xdr:rowOff>152400</xdr:rowOff>
    </xdr:to>
    <xdr:pic>
      <xdr:nvPicPr>
        <xdr:cNvPr id="3" name="图片 2" descr="C:\Documents and Settings\Administrator\Application Data\Tencent\Users\2416965547\QQ\WinTemp\RichOle\R{L$(99_30NIYXZ1UNH@IN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5486400"/>
          <a:ext cx="10535859"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2618</v>
      </c>
      <c r="B1" s="2891" t="s">
        <v>2715</v>
      </c>
    </row>
    <row r="2" spans="1:55" s="2895" customFormat="1" ht="15" thickTop="1">
      <c r="A2" s="2893" t="s">
        <v>2622</v>
      </c>
      <c r="B2" s="2894" t="str">
        <f>'预评函-封皮'!B37</f>
        <v>南通市新区中央商务区CR0504-A(A-01地块）出让国有建设用地使用权抵押价格预评估</v>
      </c>
      <c r="AX2" s="2896"/>
      <c r="AZ2" s="2896"/>
      <c r="BA2" s="2897"/>
      <c r="BC2" s="2897"/>
    </row>
    <row r="3" spans="1:55" s="2898" customFormat="1">
      <c r="A3" s="2877" t="s">
        <v>2623</v>
      </c>
      <c r="B3" s="2880" t="str">
        <f>'预评函-封皮'!B40</f>
        <v>华澳国际信托有限公司</v>
      </c>
    </row>
    <row r="4" spans="1:55" s="2879" customFormat="1">
      <c r="A4" s="2877" t="s">
        <v>2624</v>
      </c>
      <c r="B4" s="2878" t="str">
        <f>'预评函-封皮'!B46</f>
        <v>吴薇、赵雯</v>
      </c>
      <c r="N4" s="2879" t="str">
        <f>'预评函-1'!A28</f>
        <v/>
      </c>
    </row>
    <row r="5" spans="1:55" s="2892" customFormat="1" ht="15" thickBot="1">
      <c r="A5" s="2899" t="s">
        <v>2625</v>
      </c>
      <c r="B5" s="2900" t="str">
        <f>'预评函-封皮'!B49</f>
        <v>康正预评字号</v>
      </c>
    </row>
    <row r="6" spans="1:55" s="2901" customFormat="1" ht="15" thickTop="1">
      <c r="A6" s="2893" t="s">
        <v>2667</v>
      </c>
      <c r="B6" s="2894" t="str">
        <f>'预评函-1'!A4</f>
        <v>受贵公司委托，我公司对南通市新区中央商务区CR0504-A(A-01地块）出让国有建设用地使用权抵押价格进行了预评估。</v>
      </c>
      <c r="AM6" s="2902"/>
    </row>
    <row r="7" spans="1:55" s="2876" customFormat="1">
      <c r="A7" s="2877" t="s">
        <v>2619</v>
      </c>
      <c r="B7" s="2878" t="str">
        <f>'预评函-1'!A6</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8" spans="1:55" s="2876" customFormat="1">
      <c r="A8" s="2877" t="s">
        <v>2620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2670</v>
      </c>
      <c r="B9" s="2878" t="str">
        <f>'预评函-1'!A9</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6" customFormat="1">
      <c r="A10" s="2877" t="s">
        <v>2621</v>
      </c>
      <c r="B10" s="2878" t="str">
        <f>'预评函-1'!A11</f>
        <v>2018年9月17日（评估专业人员勘察现场之日）</v>
      </c>
    </row>
    <row r="11" spans="1:55" s="2876" customFormat="1">
      <c r="A11" s="2877" t="s">
        <v>2627</v>
      </c>
      <c r="B11" s="2878" t="str">
        <f>'预评函-1'!A14</f>
        <v>根据《国有土地使用证》，本次评估估价对象证载（地类）用途为商业、其他商服用地。</v>
      </c>
    </row>
    <row r="12" spans="1:55" s="2876" customFormat="1">
      <c r="A12" s="2877" t="s">
        <v>2628</v>
      </c>
      <c r="B12" s="2878" t="str">
        <f>'预评函-1'!A15</f>
        <v>本次评估设定用途即为证载用途商业、其他商服用地。</v>
      </c>
    </row>
    <row r="13" spans="1:55" s="2876" customFormat="1">
      <c r="A13" s="2877" t="s">
        <v>2629</v>
      </c>
      <c r="B13" s="2878" t="str">
        <f>'预评函-1'!A17</f>
        <v>根据委托估价方介绍及评估专业人员现场勘查，本次评估估价对象实际土地开发程度为红线外市政基础设施达“七通”（即通路、、、、、、）、宗地红线内场地平整。</v>
      </c>
    </row>
    <row r="14" spans="1:55" s="2876" customFormat="1">
      <c r="A14" s="2877" t="s">
        <v>2630</v>
      </c>
      <c r="B14" s="2878" t="str">
        <f>'预评函-1'!A18</f>
        <v>本次评估设定土地开发程度为红线外市政基础设施达“七通”、宗地红线内场地平整。</v>
      </c>
    </row>
    <row r="15" spans="1:55" s="2876" customFormat="1">
      <c r="A15" s="2877" t="s">
        <v>2626</v>
      </c>
      <c r="B15" s="2878" t="str">
        <f>'预评函-1'!A20</f>
        <v>根据《国有土地使用证》[]，估价对象（分摊）出让国有建设用地使用权面积为22987.21平方米。根据《建设工程规划许可证》[]、《出让合同》[]，估价对象规划建筑面积为110338.608平方米。</v>
      </c>
    </row>
    <row r="16" spans="1:55" s="2876" customFormat="1">
      <c r="A16" s="2877" t="s">
        <v>2631</v>
      </c>
      <c r="B16" s="2878" t="str">
        <f>'预评函-1'!A22</f>
        <v>本次估价对象为出让国有建设用地使用权，《国有土地使用证》证载土地终止日期为商业2045年4月1日、办公2055年4月1日。截至估价期日，出让国有建设用地使用权剩余土地使用年限为。</v>
      </c>
    </row>
    <row r="17" spans="1:48" s="2876" customFormat="1">
      <c r="A17" s="2877" t="s">
        <v>2632</v>
      </c>
      <c r="B17" s="2878" t="str">
        <f>'预评函-1'!A23</f>
        <v>本次评估设定估价对象剩余土地使用年限为。</v>
      </c>
    </row>
    <row r="18" spans="1:48" s="2876" customFormat="1">
      <c r="A18" s="2877" t="s">
        <v>2633</v>
      </c>
      <c r="B18" s="2878" t="str">
        <f>'预评函-1'!A25</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19" spans="1:48" s="2876" customFormat="1">
      <c r="A19" s="2877" t="s">
        <v>2634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2636</v>
      </c>
      <c r="B21" s="2900" t="str">
        <f>'预评函-1'!A28</f>
        <v/>
      </c>
    </row>
    <row r="22" spans="1:48" ht="15" thickTop="1">
      <c r="A22" s="2888" t="s">
        <v>2637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2638</v>
      </c>
      <c r="B23" s="2878" t="str">
        <f>'预评函-2'!K2</f>
        <v>估价期日：2018年9月17日</v>
      </c>
    </row>
    <row r="24" spans="1:48">
      <c r="A24" s="2877" t="s">
        <v>2639</v>
      </c>
      <c r="B24" s="2878" t="str">
        <f>'预评函-2'!R2</f>
        <v>估价期日的国有建设用地使用权性质：出让</v>
      </c>
    </row>
    <row r="25" spans="1:48">
      <c r="A25" s="2877" t="s">
        <v>2695</v>
      </c>
      <c r="B25" s="2878" t="str">
        <f>'预评函-2'!A3</f>
        <v>估价期日土地使用者</v>
      </c>
    </row>
    <row r="26" spans="1:48">
      <c r="A26" s="2877" t="s">
        <v>2671</v>
      </c>
      <c r="B26" s="2878" t="str">
        <f>'预评函-2'!A5</f>
        <v>中信开发</v>
      </c>
    </row>
    <row r="27" spans="1:48">
      <c r="A27" s="2877" t="s">
        <v>2696</v>
      </c>
      <c r="B27" s="2878" t="str">
        <f>'预评函-2'!B3</f>
        <v>宗地编号/不动产单元号</v>
      </c>
    </row>
    <row r="28" spans="1:48">
      <c r="A28" s="2877" t="s">
        <v>2672</v>
      </c>
      <c r="B28" s="2878" t="str">
        <f>'预评函-2'!B5</f>
        <v>11111111111</v>
      </c>
    </row>
    <row r="29" spans="1:48">
      <c r="A29" s="2877" t="s">
        <v>2698</v>
      </c>
      <c r="B29" s="2878">
        <f>'预评函-2'!C5</f>
        <v>22</v>
      </c>
    </row>
    <row r="30" spans="1:48">
      <c r="A30" s="2877" t="s">
        <v>2699</v>
      </c>
      <c r="B30" s="2878" t="str">
        <f>'预评函-2'!D3</f>
        <v>土地使用证编号/不动产权证书编号</v>
      </c>
    </row>
    <row r="31" spans="1:48">
      <c r="A31" s="2877" t="s">
        <v>2673</v>
      </c>
      <c r="B31" s="2878" t="str">
        <f>'预评函-2'!D5</f>
        <v>京国土字第111号</v>
      </c>
    </row>
    <row r="32" spans="1:48">
      <c r="A32" s="2877" t="s">
        <v>2674</v>
      </c>
      <c r="B32" s="2878" t="str">
        <f>'预评函-2'!E5</f>
        <v>商业、其他商服用地</v>
      </c>
      <c r="AV32" s="2882"/>
    </row>
    <row r="33" spans="1:2">
      <c r="A33" s="2877" t="s">
        <v>2675</v>
      </c>
      <c r="B33" s="2878">
        <f>'预评函-2'!F5</f>
        <v>258</v>
      </c>
    </row>
    <row r="34" spans="1:2">
      <c r="A34" s="2877" t="s">
        <v>2676</v>
      </c>
      <c r="B34" s="2878" t="str">
        <f>'预评函-2'!G5</f>
        <v>商业、其他商服用地</v>
      </c>
    </row>
    <row r="35" spans="1:2">
      <c r="A35" s="2877" t="s">
        <v>2677</v>
      </c>
      <c r="B35" s="2878">
        <f>'预评函-2'!H5</f>
        <v>1.5</v>
      </c>
    </row>
    <row r="36" spans="1:2">
      <c r="A36" s="2877" t="s">
        <v>2678</v>
      </c>
      <c r="B36" s="2878">
        <f>'预评函-2'!I5</f>
        <v>1.5</v>
      </c>
    </row>
    <row r="37" spans="1:2">
      <c r="A37" s="2877" t="s">
        <v>2679</v>
      </c>
      <c r="B37" s="2878">
        <f>'预评函-2'!J5</f>
        <v>1.5</v>
      </c>
    </row>
    <row r="38" spans="1:2">
      <c r="A38" s="2877" t="s">
        <v>2680</v>
      </c>
      <c r="B38" s="2878" t="str">
        <f>'预评函-2'!K5</f>
        <v>红线外七通、宗地红线内场地平整</v>
      </c>
    </row>
    <row r="39" spans="1:2">
      <c r="A39" s="2877" t="s">
        <v>2681</v>
      </c>
      <c r="B39" s="2878" t="str">
        <f>'预评函-2'!L5</f>
        <v>红线外七通、宗地红线内场地平整</v>
      </c>
    </row>
    <row r="40" spans="1:2">
      <c r="A40" s="2877" t="s">
        <v>2700</v>
      </c>
      <c r="B40" s="2878" t="str">
        <f>'预评函-2'!M3</f>
        <v>（剩余）土地使用年限/年</v>
      </c>
    </row>
    <row r="41" spans="1:2">
      <c r="A41" s="2877" t="s">
        <v>2682</v>
      </c>
      <c r="B41" s="2878">
        <f>'预评函-2'!M5</f>
        <v>0</v>
      </c>
    </row>
    <row r="42" spans="1:2">
      <c r="A42" s="2877" t="s">
        <v>2701</v>
      </c>
      <c r="B42" s="2878" t="str">
        <f>'预评函-2'!N3</f>
        <v>（分摊）出让国有建设用地使用权面积/㎡</v>
      </c>
    </row>
    <row r="43" spans="1:2">
      <c r="A43" s="2877" t="s">
        <v>2683</v>
      </c>
      <c r="B43" s="2878">
        <f>'预评函-2'!N5</f>
        <v>22987.21</v>
      </c>
    </row>
    <row r="44" spans="1:2">
      <c r="A44" s="2877" t="s">
        <v>2702</v>
      </c>
      <c r="B44" s="2878" t="str">
        <f>'预评函-2'!O3</f>
        <v>规划建筑面积/㎡</v>
      </c>
    </row>
    <row r="45" spans="1:2">
      <c r="A45" s="2877" t="s">
        <v>2684</v>
      </c>
      <c r="B45" s="2878">
        <f>'预评函-2'!O5</f>
        <v>110338.60799999999</v>
      </c>
    </row>
    <row r="46" spans="1:2">
      <c r="A46" s="2877" t="s">
        <v>2685</v>
      </c>
      <c r="B46" s="2878">
        <f ca="1">'预评函-2'!P5</f>
        <v>21418</v>
      </c>
    </row>
    <row r="47" spans="1:2">
      <c r="A47" s="2877" t="s">
        <v>2686</v>
      </c>
      <c r="B47" s="2878">
        <f ca="1">'预评函-2'!Q5</f>
        <v>4462</v>
      </c>
    </row>
    <row r="48" spans="1:2">
      <c r="A48" s="2877" t="s">
        <v>2687</v>
      </c>
      <c r="B48" s="2878">
        <f ca="1">'预评函-2'!R5</f>
        <v>49234</v>
      </c>
    </row>
    <row r="49" spans="1:2">
      <c r="A49" s="2877" t="s">
        <v>2703</v>
      </c>
      <c r="B49" s="2878" t="str">
        <f>'预评函-2'!A6</f>
        <v>抵押价格</v>
      </c>
    </row>
    <row r="50" spans="1:2">
      <c r="A50" s="2877" t="s">
        <v>2688</v>
      </c>
      <c r="B50" s="2878">
        <f ca="1">'预评函-2'!R6</f>
        <v>49234</v>
      </c>
    </row>
    <row r="51" spans="1:2">
      <c r="A51" s="2877" t="s">
        <v>2704</v>
      </c>
      <c r="B51" s="2878" t="str">
        <f>'预评函-2'!A7</f>
        <v>——</v>
      </c>
    </row>
    <row r="52" spans="1:2">
      <c r="A52" s="2877" t="s">
        <v>2689</v>
      </c>
      <c r="B52" s="2878" t="str">
        <f>'预评函-2'!R7</f>
        <v>——</v>
      </c>
    </row>
    <row r="53" spans="1:2">
      <c r="A53" s="2877" t="s">
        <v>2705</v>
      </c>
      <c r="B53" s="2878" t="str">
        <f>'预评函-2'!A8</f>
        <v>——</v>
      </c>
    </row>
    <row r="54" spans="1:2" s="2892" customFormat="1" ht="15" thickBot="1">
      <c r="A54" s="2899" t="s">
        <v>2690</v>
      </c>
      <c r="B54" s="2900" t="str">
        <f>'预评函-2'!R8</f>
        <v>——</v>
      </c>
    </row>
    <row r="55" spans="1:2" ht="15" thickTop="1">
      <c r="A55" s="2888" t="s">
        <v>2640</v>
      </c>
      <c r="B55" s="2889" t="str">
        <f>'预评函-3'!A2</f>
        <v>1.权利限制：根据估价对象《不动产权证书》——、《国有土地使用权》复印件，截至估价期日，估价对象抵押权未见登记。未设定租赁等其他他项权利。</v>
      </c>
    </row>
    <row r="56" spans="1:2">
      <c r="A56" s="2877" t="s">
        <v>2641</v>
      </c>
      <c r="B56" s="2878" t="str">
        <f>'预评函-3'!A3</f>
        <v>2.基础设施条件：估价对象实际开发程度为红线外七通、宗地红线内场地平整；本次评估设定开发程度为红线外七通、宗地红线内场地平整。</v>
      </c>
    </row>
    <row r="57" spans="1:2">
      <c r="A57" s="2877" t="s">
        <v>2642</v>
      </c>
      <c r="B57" s="2878" t="str">
        <f>'预评函-3'!A4</f>
        <v>3.估价规划限制条件：详见《建设工程规划许可证》[]、《出让合同》[]。</v>
      </c>
    </row>
    <row r="58" spans="1:2" s="2892" customFormat="1" ht="15" thickBot="1">
      <c r="A58" s="2899" t="s">
        <v>2691</v>
      </c>
      <c r="B58" s="2900" t="str">
        <f>'预评函-3'!A5</f>
        <v>4.影响价格的其他限定条件：无。</v>
      </c>
    </row>
    <row r="59" spans="1:2" ht="15" thickTop="1">
      <c r="A59" s="2888" t="s">
        <v>2643</v>
      </c>
      <c r="B59" s="2889" t="str">
        <f>'预评函-3'!A8</f>
        <v>2.本《评估意见函》仅供金融机构进行内部审核使用，不做其他目的之用。</v>
      </c>
    </row>
    <row r="60" spans="1:2">
      <c r="A60" s="2877" t="s">
        <v>2644</v>
      </c>
      <c r="B60" s="2878" t="str">
        <f>'预评函-3'!A9</f>
        <v>3.抵押双方在办理抵押登记手续时，应使用本公司出具的正式《土地估价报告》，特提请报告使用者注意。</v>
      </c>
    </row>
    <row r="61" spans="1:2">
      <c r="A61" s="2877" t="s">
        <v>2646</v>
      </c>
      <c r="B61" s="2878" t="str">
        <f>'预评函-3'!A10</f>
        <v>4.估价师所知悉的法定优先受偿款情况为：</v>
      </c>
    </row>
    <row r="62" spans="1:2">
      <c r="A62" s="2877" t="s">
        <v>2645</v>
      </c>
      <c r="B62" s="2878" t="str">
        <f>'预评函-3'!A11</f>
        <v>（1）根据估价对象《不动产权证书》——、《国有土地使用权》复印件，截至估价期日，估价对象抵押权未见登记。</v>
      </c>
    </row>
    <row r="63" spans="1:2">
      <c r="A63" s="2877" t="s">
        <v>2647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2648</v>
      </c>
      <c r="B64" s="2883" t="str">
        <f>'预评函-3'!A13</f>
        <v>（3）。</v>
      </c>
    </row>
    <row r="65" spans="1:2">
      <c r="A65" s="2877" t="s">
        <v>2649</v>
      </c>
      <c r="B65" s="2884" t="str">
        <f>'预评函-3'!A14</f>
        <v>综上，本次评估不存在估价师知悉的法定优先受偿款</v>
      </c>
    </row>
    <row r="66" spans="1:2">
      <c r="A66" s="2877" t="s">
        <v>2650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2651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2654</v>
      </c>
      <c r="B68" s="2903">
        <f>'预评函-3'!D30</f>
        <v>42558</v>
      </c>
    </row>
    <row r="69" spans="1:2" ht="15" thickTop="1">
      <c r="A69" s="2888" t="s">
        <v>2652</v>
      </c>
      <c r="B69" s="2889" t="str">
        <f>'预评函-3'!A20</f>
        <v>吴薇</v>
      </c>
    </row>
    <row r="70" spans="1:2">
      <c r="A70" s="2877" t="s">
        <v>2652</v>
      </c>
      <c r="B70" s="2884">
        <f ca="1">'预评函-3'!B20</f>
        <v>2002110125</v>
      </c>
    </row>
    <row r="71" spans="1:2">
      <c r="A71" s="2877" t="s">
        <v>2653</v>
      </c>
      <c r="B71" s="2878" t="str">
        <f>'预评函-3'!A21</f>
        <v>赵雯</v>
      </c>
    </row>
    <row r="72" spans="1:2" s="2892" customFormat="1" ht="15" thickBot="1">
      <c r="A72" s="2899" t="s">
        <v>2653</v>
      </c>
      <c r="B72" s="2905">
        <f ca="1">'预评函-3'!B21</f>
        <v>2011110090</v>
      </c>
    </row>
    <row r="73" spans="1:2" ht="15" thickTop="1">
      <c r="A73" s="2888" t="s">
        <v>2712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2749</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47" t="str">
        <f>IF(B10="北京市","北京市",C10)&amp;F10&amp;B16&amp;"国有建设用地使用权"&amp;B9&amp;"预评估"</f>
        <v>南通市新区中央商务区CR0504-A(A-01地块）出让国有建设用地使用权抵押价格预评估</v>
      </c>
      <c r="C1" s="3248"/>
      <c r="D1" s="3248"/>
      <c r="E1" s="3248"/>
      <c r="F1" s="3248"/>
      <c r="G1" s="3248"/>
      <c r="H1" s="3248"/>
      <c r="I1" s="3249"/>
      <c r="J1" s="1692"/>
      <c r="K1" s="2454" t="str">
        <f>IF(B10="北京市","北京市",C10)&amp;F10&amp;B16&amp;"国有建设用地使用权"&amp;B9</f>
        <v>南通市新区中央商务区CR0504-A(A-01地块）出让国有建设用地使用权抵押价格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54" t="str">
        <f>IF(B10="北京市","北京市",C10)&amp;F10&amp;B16&amp;"国有建设用地使用权"</f>
        <v>南通市新区中央商务区CR0504-A(A-01地块）出让国有建设用地使用权</v>
      </c>
      <c r="L2" s="1721"/>
      <c r="M2" s="1721"/>
      <c r="N2" s="1692"/>
      <c r="O2" s="1693"/>
      <c r="P2" s="1692"/>
      <c r="Q2" s="1692"/>
      <c r="R2" s="1692"/>
      <c r="S2" s="1692"/>
      <c r="T2" s="1692"/>
      <c r="U2" s="1692"/>
    </row>
    <row r="3" spans="1:21">
      <c r="A3" s="1659" t="s">
        <v>1904</v>
      </c>
      <c r="B3" s="1660">
        <v>43360</v>
      </c>
      <c r="C3" s="1661" t="s">
        <v>1959</v>
      </c>
      <c r="D3" s="1660">
        <f>B3</f>
        <v>43360</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2943</v>
      </c>
      <c r="C4" s="1844">
        <f ca="1">SUMIF(土地估价师,B4,估价师及机构信息!E3:E24)</f>
        <v>2002110125</v>
      </c>
      <c r="D4" s="1841" t="s">
        <v>2944</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1906</v>
      </c>
      <c r="B5" s="1787" t="s">
        <v>2945</v>
      </c>
      <c r="C5" s="1664"/>
      <c r="D5" s="1665"/>
      <c r="E5" s="1692"/>
      <c r="F5" s="1692"/>
      <c r="G5" s="1692"/>
      <c r="H5" s="1658"/>
      <c r="I5" s="1693"/>
      <c r="J5" s="1692"/>
      <c r="K5" s="1772"/>
      <c r="L5" s="1721"/>
      <c r="M5" s="1721"/>
      <c r="N5" s="1692"/>
      <c r="O5" s="1693"/>
      <c r="P5" s="1692"/>
      <c r="Q5" s="1692"/>
      <c r="R5" s="1692"/>
      <c r="S5" s="1692"/>
      <c r="T5" s="1692"/>
      <c r="U5" s="1692"/>
    </row>
    <row r="6" spans="1:21" ht="26.25">
      <c r="A6" s="1661" t="s">
        <v>2668</v>
      </c>
      <c r="B6" s="1787" t="s">
        <v>2946</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2669</v>
      </c>
      <c r="B7" s="1787" t="s">
        <v>3672</v>
      </c>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2947</v>
      </c>
      <c r="C8" s="1669"/>
      <c r="D8" s="3253" t="s">
        <v>1909</v>
      </c>
      <c r="E8" s="1842" t="s">
        <v>2948</v>
      </c>
      <c r="F8" s="1670"/>
      <c r="G8" s="1658"/>
      <c r="H8" s="1658"/>
      <c r="I8" s="1705"/>
      <c r="J8" s="1692"/>
      <c r="K8" s="1772"/>
      <c r="L8" s="1721"/>
      <c r="M8" s="1721"/>
      <c r="N8" s="1692"/>
      <c r="O8" s="1693"/>
      <c r="P8" s="1692"/>
      <c r="Q8" s="1692"/>
      <c r="R8" s="1692"/>
      <c r="S8" s="1692"/>
      <c r="T8" s="1692"/>
      <c r="U8" s="1692"/>
    </row>
    <row r="9" spans="1:21" ht="15" thickBot="1">
      <c r="A9" s="1671" t="s">
        <v>1908</v>
      </c>
      <c r="B9" s="1672" t="s">
        <v>2948</v>
      </c>
      <c r="C9" s="1673"/>
      <c r="D9" s="3254"/>
      <c r="E9" s="1672" t="s">
        <v>918</v>
      </c>
      <c r="F9" s="1745"/>
      <c r="G9" s="1740"/>
      <c r="H9" s="1740"/>
      <c r="I9" s="1741"/>
      <c r="J9" s="1692"/>
      <c r="K9" s="1772"/>
      <c r="L9" s="1721"/>
      <c r="M9" s="1721"/>
      <c r="N9" s="1692"/>
      <c r="O9" s="1693"/>
      <c r="P9" s="1692"/>
      <c r="Q9" s="1692"/>
      <c r="R9" s="1692"/>
      <c r="S9" s="1692"/>
      <c r="T9" s="1692"/>
      <c r="U9" s="1692"/>
    </row>
    <row r="10" spans="1:21" ht="15" thickTop="1">
      <c r="A10" s="1742" t="s">
        <v>1962</v>
      </c>
      <c r="B10" s="1717" t="s">
        <v>2949</v>
      </c>
      <c r="C10" s="1674" t="s">
        <v>2952</v>
      </c>
      <c r="D10" s="1665"/>
      <c r="E10" s="1675" t="s">
        <v>1911</v>
      </c>
      <c r="F10" s="1676" t="s">
        <v>2953</v>
      </c>
      <c r="G10" s="1743"/>
      <c r="H10" s="1744"/>
      <c r="I10" s="1665"/>
      <c r="J10" s="1692"/>
      <c r="K10" s="1772"/>
      <c r="L10" s="1721"/>
      <c r="M10" s="1721"/>
      <c r="N10" s="1692"/>
      <c r="O10" s="1693"/>
      <c r="P10" s="1692"/>
      <c r="Q10" s="1692"/>
      <c r="R10" s="1692"/>
      <c r="S10" s="1692"/>
      <c r="T10" s="1692"/>
      <c r="U10" s="1692"/>
    </row>
    <row r="11" spans="1:21">
      <c r="A11" s="1695" t="s">
        <v>1963</v>
      </c>
      <c r="B11" s="1696" t="s">
        <v>2950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2021</v>
      </c>
      <c r="B12" s="3250" t="s">
        <v>2954</v>
      </c>
      <c r="C12" s="3251"/>
      <c r="D12" s="3252"/>
      <c r="E12" s="1697" t="s">
        <v>2024</v>
      </c>
      <c r="F12" s="3268" t="s">
        <v>2955</v>
      </c>
      <c r="G12" s="3269"/>
      <c r="H12" s="3269"/>
      <c r="I12" s="3270"/>
      <c r="J12" s="1692"/>
      <c r="K12" s="1772"/>
      <c r="L12" s="1721"/>
      <c r="M12" s="1721"/>
      <c r="N12" s="1692"/>
      <c r="O12" s="1693"/>
      <c r="P12" s="1692"/>
      <c r="Q12" s="1692"/>
      <c r="R12" s="1692"/>
      <c r="S12" s="1692"/>
      <c r="T12" s="1692"/>
      <c r="U12" s="1692"/>
    </row>
    <row r="13" spans="1:21">
      <c r="A13" s="1685" t="s">
        <v>2022</v>
      </c>
      <c r="B13" s="3250" t="s">
        <v>2954</v>
      </c>
      <c r="C13" s="3251"/>
      <c r="D13" s="3252"/>
      <c r="E13" s="1697" t="s">
        <v>2024</v>
      </c>
      <c r="F13" s="3268" t="s">
        <v>2955</v>
      </c>
      <c r="G13" s="3269"/>
      <c r="H13" s="3269"/>
      <c r="I13" s="3270"/>
      <c r="J13" s="1692"/>
      <c r="K13" s="1772"/>
      <c r="L13" s="1721"/>
      <c r="M13" s="1721"/>
      <c r="N13" s="1692"/>
      <c r="O13" s="1693"/>
      <c r="P13" s="1692"/>
      <c r="Q13" s="1692"/>
      <c r="R13" s="1692"/>
      <c r="S13" s="1692"/>
      <c r="T13" s="1692"/>
      <c r="U13" s="1692"/>
    </row>
    <row r="14" spans="1:21">
      <c r="A14" s="1659" t="s">
        <v>2025</v>
      </c>
      <c r="B14" s="1697"/>
      <c r="C14" s="1843" t="s">
        <v>2957</v>
      </c>
      <c r="D14" s="1731" t="str">
        <f>IF(C14="不一致","是否符合证载地类范围","")</f>
        <v/>
      </c>
      <c r="E14" s="1697"/>
      <c r="F14" s="1788" t="s">
        <v>2956</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28.5">
      <c r="A16" s="1678" t="s">
        <v>1912</v>
      </c>
      <c r="B16" s="1679" t="s">
        <v>2958</v>
      </c>
      <c r="C16" s="1697" t="s">
        <v>1913</v>
      </c>
      <c r="D16" s="2645" t="s">
        <v>1914</v>
      </c>
      <c r="E16" s="1720" t="s">
        <v>2959</v>
      </c>
      <c r="F16" s="1720" t="s">
        <v>1643</v>
      </c>
      <c r="G16" s="1720"/>
      <c r="H16" s="1720"/>
      <c r="I16" s="1684" t="s">
        <v>1919</v>
      </c>
      <c r="J16" s="1692"/>
      <c r="K16" s="2455" t="str">
        <f>IF(D17="","",D16&amp;TEXT(D17,"yyyy年m月d日;;"))</f>
        <v/>
      </c>
      <c r="L16" s="1697" t="str">
        <f>IF(OR(K16="",M16=""),"","、")</f>
        <v/>
      </c>
      <c r="M16" s="2455" t="str">
        <f>IF(E17="","",E16&amp;TEXT(E17,"yyyy年m月d日;;"))</f>
        <v>商业2045年4月1日</v>
      </c>
      <c r="N16" s="1697" t="str">
        <f>IF(OR(M16="",O16=""),"","、")</f>
        <v>、</v>
      </c>
      <c r="O16" s="2455" t="str">
        <f>IF(F17="","",F16&amp;TEXT(F17,"yyyy年m月d日;;"))</f>
        <v>办公2055年4月1日</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1920</v>
      </c>
      <c r="D17" s="1698"/>
      <c r="E17" s="1698">
        <v>53053</v>
      </c>
      <c r="F17" s="1698">
        <v>56705</v>
      </c>
      <c r="G17" s="1698"/>
      <c r="H17" s="1698"/>
      <c r="I17" s="1698"/>
      <c r="J17" s="1692"/>
      <c r="K17" s="2454" t="str">
        <f>CONCATENATE(K16,L16,M16,N16,O16,P16,Q16,R16,S16,T16,,U16)</f>
        <v>商业2045年4月1日、办公2055年4月1日</v>
      </c>
      <c r="L17" s="1721"/>
      <c r="M17" s="1721"/>
      <c r="N17" s="1692"/>
      <c r="O17" s="1693"/>
      <c r="P17" s="1692"/>
      <c r="Q17" s="1692"/>
      <c r="R17" s="1692"/>
      <c r="S17" s="1692"/>
      <c r="T17" s="1692"/>
      <c r="U17" s="1692"/>
    </row>
    <row r="18" spans="1:21">
      <c r="A18" s="1761"/>
      <c r="B18" s="1680"/>
      <c r="C18" s="1681" t="s">
        <v>1921</v>
      </c>
      <c r="D18" s="1682"/>
      <c r="E18" s="1682">
        <v>40</v>
      </c>
      <c r="F18" s="1682">
        <v>50</v>
      </c>
      <c r="G18" s="1682"/>
      <c r="H18" s="1682"/>
      <c r="I18" s="1682"/>
      <c r="J18" s="1692"/>
      <c r="K18" s="1772"/>
      <c r="L18" s="1721"/>
      <c r="M18" s="1721"/>
      <c r="N18" s="1692"/>
      <c r="O18" s="1693"/>
      <c r="P18" s="1692"/>
      <c r="Q18" s="1692"/>
      <c r="R18" s="1692"/>
      <c r="S18" s="1692"/>
      <c r="T18" s="1692"/>
      <c r="U18" s="1692"/>
    </row>
    <row r="19" spans="1:21">
      <c r="A19" s="1761"/>
      <c r="B19" s="1680"/>
      <c r="C19" s="1658" t="s">
        <v>1922</v>
      </c>
      <c r="D19" s="1756" t="str">
        <f>IF(B16="出让",IF(D17="","",ROUNDDOWN(MIN((D17-$D$3)/365,D18),2)),D18)</f>
        <v/>
      </c>
      <c r="E19" s="1683">
        <f>IF(B16="出让",IF(E17="","",ROUNDDOWN(MIN((E17-$D$3)/365,E18),2)),E18)</f>
        <v>26.55</v>
      </c>
      <c r="F19" s="1683">
        <f>IF(B16="出让",IF(F17="","",ROUNDDOWN(MIN((F17-$D$3)/365,F18),2)),F18)</f>
        <v>36.56</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2023</v>
      </c>
      <c r="D20" s="3265"/>
      <c r="E20" s="3266"/>
      <c r="F20" s="3266"/>
      <c r="G20" s="3266"/>
      <c r="H20" s="3266"/>
      <c r="I20" s="3267"/>
      <c r="J20" s="1692"/>
      <c r="K20" s="1772"/>
      <c r="L20" s="1721"/>
      <c r="M20" s="1721"/>
      <c r="N20" s="1692"/>
      <c r="O20" s="1693"/>
      <c r="P20" s="1692"/>
      <c r="Q20" s="1692"/>
      <c r="R20" s="1692"/>
      <c r="S20" s="1692"/>
      <c r="T20" s="1692"/>
      <c r="U20" s="1692"/>
    </row>
    <row r="21" spans="1:21">
      <c r="A21" s="1761" t="s">
        <v>1923</v>
      </c>
      <c r="B21" s="1762" t="s">
        <v>1924</v>
      </c>
      <c r="C21" s="1757">
        <f>'数据-汇总表'!E3</f>
        <v>110338.60799999999</v>
      </c>
      <c r="D21" s="1758" t="s">
        <v>1925</v>
      </c>
      <c r="E21" s="3255" t="s">
        <v>2942</v>
      </c>
      <c r="F21" s="3256"/>
      <c r="G21" s="3256"/>
      <c r="H21" s="3256"/>
      <c r="I21" s="3257"/>
      <c r="J21" s="1692"/>
      <c r="K21" s="1772"/>
      <c r="L21" s="1721"/>
      <c r="M21" s="1721"/>
      <c r="N21" s="1692"/>
      <c r="O21" s="1693"/>
      <c r="P21" s="1692"/>
      <c r="Q21" s="1692"/>
      <c r="R21" s="1692"/>
      <c r="S21" s="1692"/>
      <c r="T21" s="1692"/>
      <c r="U21" s="1692"/>
    </row>
    <row r="22" spans="1:21">
      <c r="A22" s="3147" t="s">
        <v>918</v>
      </c>
      <c r="B22" s="1659" t="s">
        <v>1926</v>
      </c>
      <c r="C22" s="1684">
        <f>'数据-汇总表'!D3</f>
        <v>22987.21</v>
      </c>
      <c r="D22" s="1685" t="s">
        <v>1925</v>
      </c>
      <c r="E22" s="3255" t="s">
        <v>2851</v>
      </c>
      <c r="F22" s="3256"/>
      <c r="G22" s="3256"/>
      <c r="H22" s="3256"/>
      <c r="I22" s="3257"/>
      <c r="J22" s="1692"/>
      <c r="K22" s="1772"/>
      <c r="L22" s="1721"/>
      <c r="M22" s="1721"/>
      <c r="N22" s="1692"/>
      <c r="O22" s="1693"/>
      <c r="P22" s="1692"/>
      <c r="Q22" s="1692"/>
      <c r="R22" s="1692"/>
      <c r="S22" s="1692"/>
      <c r="T22" s="1692"/>
      <c r="U22" s="1692"/>
    </row>
    <row r="23" spans="1:21" ht="43.5" thickBot="1">
      <c r="A23" s="1763" t="s">
        <v>1927</v>
      </c>
      <c r="B23" s="1699" t="s">
        <v>1928</v>
      </c>
      <c r="C23" s="1700" t="s">
        <v>2941</v>
      </c>
      <c r="D23" s="1701" t="s">
        <v>1929</v>
      </c>
      <c r="E23" s="1702" t="s">
        <v>2941</v>
      </c>
      <c r="F23" s="1703" t="str">
        <f>IF(AND(C23="是",E23="否"),"是否提供他项权证或相关说明","")</f>
        <v/>
      </c>
      <c r="G23" s="1704" t="s">
        <v>918</v>
      </c>
      <c r="H23" s="1692"/>
      <c r="I23" s="1705"/>
      <c r="J23" s="1692"/>
      <c r="K23" s="1772"/>
      <c r="L23" s="1721"/>
      <c r="M23" s="1721"/>
      <c r="N23" s="1692"/>
      <c r="O23" s="1693"/>
      <c r="P23" s="1692"/>
      <c r="Q23" s="1692"/>
      <c r="R23" s="1692"/>
      <c r="S23" s="1692"/>
      <c r="T23" s="1692"/>
      <c r="U23" s="1692"/>
    </row>
    <row r="24" spans="1:21">
      <c r="A24" s="1748" t="s">
        <v>1930</v>
      </c>
      <c r="B24" s="3258" t="s">
        <v>1931</v>
      </c>
      <c r="C24" s="3259"/>
      <c r="D24" s="3260" t="s">
        <v>1932</v>
      </c>
      <c r="E24" s="3261"/>
      <c r="F24" s="1706" t="s">
        <v>1933</v>
      </c>
      <c r="G24" s="1692"/>
      <c r="H24" s="1692"/>
      <c r="I24" s="1705"/>
      <c r="J24" s="1692"/>
      <c r="K24" s="3246" t="s">
        <v>1934</v>
      </c>
      <c r="L24" s="2456"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1"/>
      <c r="N24" s="1692"/>
      <c r="O24" s="1693"/>
      <c r="P24" s="1692"/>
      <c r="Q24" s="1692"/>
      <c r="R24" s="1692"/>
      <c r="S24" s="1692"/>
      <c r="T24" s="1692"/>
      <c r="U24" s="1692"/>
    </row>
    <row r="25" spans="1:21" ht="28.5">
      <c r="A25" s="1749"/>
      <c r="B25" s="1746" t="s">
        <v>2288</v>
      </c>
      <c r="C25" s="1707" t="s">
        <v>918</v>
      </c>
      <c r="D25" s="1708"/>
      <c r="E25" s="1709" t="s">
        <v>918</v>
      </c>
      <c r="F25" s="1710"/>
      <c r="G25" s="1692"/>
      <c r="H25" s="1692"/>
      <c r="I25" s="1705"/>
      <c r="J25" s="1692"/>
      <c r="K25" s="324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1935</v>
      </c>
      <c r="C26" s="1707" t="s">
        <v>2289</v>
      </c>
      <c r="D26" s="1658"/>
      <c r="E26" s="1658"/>
      <c r="F26" s="1686"/>
      <c r="G26" s="1692"/>
      <c r="H26" s="1692"/>
      <c r="I26" s="1705"/>
      <c r="J26" s="1692"/>
      <c r="K26" s="324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1936</v>
      </c>
      <c r="B27" s="1751" t="s">
        <v>1937</v>
      </c>
      <c r="C27" s="1711"/>
      <c r="D27" s="2650" t="s">
        <v>1937</v>
      </c>
      <c r="E27" s="1712"/>
      <c r="F27" s="1686"/>
      <c r="G27" s="1692"/>
      <c r="H27" s="1692"/>
      <c r="I27" s="1705"/>
      <c r="J27" s="1692"/>
      <c r="K27" s="1772"/>
      <c r="L27" s="1721"/>
      <c r="M27" s="1721"/>
      <c r="N27" s="1692"/>
      <c r="O27" s="1693"/>
      <c r="P27" s="1692"/>
      <c r="Q27" s="1692"/>
      <c r="R27" s="1692"/>
      <c r="S27" s="1692"/>
      <c r="T27" s="1692"/>
      <c r="U27" s="1692"/>
    </row>
    <row r="28" spans="1:21">
      <c r="A28" s="1754"/>
      <c r="B28" s="1751" t="s">
        <v>1938</v>
      </c>
      <c r="C28" s="1713"/>
      <c r="D28" s="2651" t="s">
        <v>1938</v>
      </c>
      <c r="E28" s="1714"/>
      <c r="F28" s="1686"/>
      <c r="G28" s="1692"/>
      <c r="H28" s="1692"/>
      <c r="I28" s="1705"/>
      <c r="J28" s="1692"/>
      <c r="K28" s="1772"/>
      <c r="L28" s="1721"/>
      <c r="M28" s="1721"/>
      <c r="N28" s="1692"/>
      <c r="O28" s="1693"/>
      <c r="P28" s="1692"/>
      <c r="Q28" s="1692"/>
      <c r="R28" s="1692"/>
      <c r="S28" s="1692"/>
      <c r="T28" s="1692"/>
      <c r="U28" s="1692"/>
    </row>
    <row r="29" spans="1:21">
      <c r="A29" s="1754"/>
      <c r="B29" s="1751" t="s">
        <v>1939</v>
      </c>
      <c r="C29" s="1713"/>
      <c r="D29" s="2651" t="s">
        <v>1939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1940</v>
      </c>
      <c r="C30" s="1715"/>
      <c r="D30" s="2652" t="s">
        <v>1940</v>
      </c>
      <c r="E30" s="1716"/>
      <c r="F30" s="1687"/>
      <c r="G30" s="1740"/>
      <c r="H30" s="1740"/>
      <c r="I30" s="1741"/>
      <c r="J30" s="1692"/>
      <c r="K30" s="1772"/>
      <c r="L30" s="1721"/>
      <c r="M30" s="1721"/>
      <c r="N30" s="1692"/>
      <c r="O30" s="1693"/>
      <c r="P30" s="1692"/>
      <c r="Q30" s="1692"/>
      <c r="R30" s="1692"/>
      <c r="S30" s="1692"/>
      <c r="T30" s="1692"/>
      <c r="U30" s="1692"/>
    </row>
    <row r="31" spans="1:21" ht="15" thickTop="1">
      <c r="A31" s="3232" t="s">
        <v>1964</v>
      </c>
      <c r="B31" s="1762" t="s">
        <v>1965</v>
      </c>
      <c r="C31" s="3271" t="s">
        <v>2960</v>
      </c>
      <c r="D31" s="3272"/>
      <c r="E31" s="1692"/>
      <c r="F31" s="1692"/>
      <c r="G31" s="1692"/>
      <c r="H31" s="1692"/>
      <c r="I31" s="1705"/>
      <c r="J31" s="1692"/>
      <c r="K31" s="2457"/>
      <c r="L31" s="1692"/>
      <c r="M31" s="1692"/>
      <c r="N31" s="1692"/>
      <c r="O31" s="1692"/>
      <c r="P31" s="1692"/>
      <c r="Q31" s="1692"/>
      <c r="R31" s="1692"/>
      <c r="S31" s="1692"/>
      <c r="T31" s="1692"/>
      <c r="U31" s="1692"/>
    </row>
    <row r="32" spans="1:21">
      <c r="A32" s="3232"/>
      <c r="B32" s="1659" t="s">
        <v>1966</v>
      </c>
      <c r="C32" s="1717" t="s">
        <v>2961</v>
      </c>
      <c r="D32" s="1718"/>
      <c r="E32" s="1692"/>
      <c r="F32" s="1692"/>
      <c r="G32" s="1692"/>
      <c r="H32" s="1692"/>
      <c r="I32" s="1705"/>
      <c r="J32" s="1692"/>
      <c r="K32" s="2457"/>
      <c r="L32" s="1692"/>
      <c r="M32" s="1692"/>
      <c r="N32" s="1692"/>
      <c r="O32" s="1692"/>
      <c r="P32" s="1692"/>
      <c r="Q32" s="1692"/>
      <c r="R32" s="1692"/>
      <c r="S32" s="1692"/>
      <c r="T32" s="1692"/>
      <c r="U32" s="1692"/>
    </row>
    <row r="33" spans="1:21">
      <c r="A33" s="3232"/>
      <c r="B33" s="1659" t="s">
        <v>1967</v>
      </c>
      <c r="C33" s="1719" t="s">
        <v>2941</v>
      </c>
      <c r="D33" s="1836"/>
      <c r="E33" s="1692"/>
      <c r="F33" s="1692"/>
      <c r="G33" s="1692"/>
      <c r="H33" s="1692"/>
      <c r="I33" s="1705"/>
      <c r="J33" s="1692"/>
      <c r="K33" s="2457"/>
      <c r="L33" s="1692"/>
      <c r="M33" s="1692"/>
      <c r="N33" s="1692"/>
      <c r="O33" s="1692"/>
      <c r="P33" s="1692"/>
      <c r="Q33" s="1692"/>
      <c r="R33" s="1692"/>
      <c r="S33" s="1692"/>
      <c r="T33" s="1692"/>
      <c r="U33" s="1692"/>
    </row>
    <row r="34" spans="1:21">
      <c r="A34" s="3233"/>
      <c r="B34" s="1659" t="s">
        <v>1968</v>
      </c>
      <c r="C34" s="3234"/>
      <c r="D34" s="3235"/>
      <c r="E34" s="1692"/>
      <c r="F34" s="1692"/>
      <c r="G34" s="1692"/>
      <c r="H34" s="1692"/>
      <c r="I34" s="1705"/>
      <c r="J34" s="1692"/>
      <c r="K34" s="2457"/>
      <c r="L34" s="1692"/>
      <c r="M34" s="1692"/>
      <c r="N34" s="1692"/>
      <c r="O34" s="1692"/>
      <c r="P34" s="1692"/>
      <c r="Q34" s="1692"/>
      <c r="R34" s="1692"/>
      <c r="S34" s="1692"/>
      <c r="T34" s="1692"/>
      <c r="U34" s="1692"/>
    </row>
    <row r="35" spans="1:21">
      <c r="A35" s="3236" t="s">
        <v>813</v>
      </c>
      <c r="B35" s="1720" t="s">
        <v>2962</v>
      </c>
      <c r="C35" s="1774" t="str">
        <f>IF(B35="场地平整","——","具体情况：")</f>
        <v>——</v>
      </c>
      <c r="D35" s="3238"/>
      <c r="E35" s="3239"/>
      <c r="F35" s="3239"/>
      <c r="G35" s="3239"/>
      <c r="H35" s="3239"/>
      <c r="I35" s="3240"/>
      <c r="J35" s="1692"/>
      <c r="K35" s="1773"/>
      <c r="L35" s="1721"/>
      <c r="M35" s="1721"/>
      <c r="N35" s="1692"/>
      <c r="O35" s="1693"/>
      <c r="P35" s="1692"/>
      <c r="Q35" s="1692"/>
      <c r="R35" s="1692"/>
      <c r="S35" s="1692"/>
      <c r="T35" s="1692"/>
      <c r="U35" s="1692"/>
    </row>
    <row r="36" spans="1:21">
      <c r="A36" s="3232"/>
      <c r="B36" s="3241" t="s">
        <v>2017</v>
      </c>
      <c r="C36" s="3242"/>
      <c r="D36" s="1790" t="s">
        <v>2963</v>
      </c>
      <c r="E36" s="3243"/>
      <c r="F36" s="3243"/>
      <c r="G36" s="1685" t="str">
        <f>IF(B35="场地未平整","估价结果处理","")</f>
        <v/>
      </c>
      <c r="H36" s="3244"/>
      <c r="I36" s="3244"/>
      <c r="J36" s="1692"/>
      <c r="K36" s="1773"/>
      <c r="L36" s="1721"/>
      <c r="M36" s="1721"/>
      <c r="N36" s="1692"/>
      <c r="O36" s="1693"/>
      <c r="P36" s="1692"/>
      <c r="Q36" s="1692"/>
      <c r="R36" s="1692"/>
      <c r="S36" s="1692"/>
      <c r="T36" s="1692"/>
      <c r="U36" s="1692"/>
    </row>
    <row r="37" spans="1:21" ht="28.5">
      <c r="A37" s="3232"/>
      <c r="B37" s="3262"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32"/>
      <c r="B38" s="3263"/>
      <c r="C38" s="1667" t="s">
        <v>816</v>
      </c>
      <c r="D38" s="1789">
        <f>ROUNDDOWN(MIN(('数据-取费表'!$B$2-D37)/365,D34),1)</f>
        <v>118.7</v>
      </c>
      <c r="E38" s="1725" t="s">
        <v>817</v>
      </c>
      <c r="F38" s="1692"/>
      <c r="G38" s="1692"/>
      <c r="H38" s="1692"/>
      <c r="I38" s="1705"/>
      <c r="J38" s="1692"/>
      <c r="K38" s="1773"/>
      <c r="L38" s="1692"/>
      <c r="M38" s="1692"/>
      <c r="N38" s="1692"/>
      <c r="O38" s="1692"/>
      <c r="P38" s="1692"/>
      <c r="Q38" s="1692"/>
      <c r="R38" s="1692"/>
      <c r="S38" s="1692"/>
      <c r="T38" s="1692"/>
      <c r="U38" s="1692"/>
    </row>
    <row r="39" spans="1:21">
      <c r="A39" s="3233"/>
      <c r="B39" s="326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1941</v>
      </c>
      <c r="B40" s="1688" t="s">
        <v>2964</v>
      </c>
      <c r="C40" s="1688"/>
      <c r="D40" s="1688"/>
      <c r="E40" s="1688"/>
      <c r="F40" s="1688"/>
      <c r="G40" s="1688"/>
      <c r="H40" s="1688"/>
      <c r="I40" s="1705"/>
      <c r="J40" s="1692"/>
      <c r="K40" s="1728">
        <f>COUNTIF(B40:H40,"——")</f>
        <v>0</v>
      </c>
      <c r="L40" s="1697" t="s">
        <v>1942</v>
      </c>
      <c r="M40" s="1694" t="s">
        <v>1943</v>
      </c>
      <c r="N40" s="1694" t="s">
        <v>1944</v>
      </c>
      <c r="O40" s="1694" t="s">
        <v>1945</v>
      </c>
      <c r="P40" s="1694" t="s">
        <v>1946</v>
      </c>
      <c r="Q40" s="1694" t="s">
        <v>1947</v>
      </c>
      <c r="R40" s="1694" t="s">
        <v>1948</v>
      </c>
      <c r="S40" s="3245" t="s">
        <v>1949</v>
      </c>
      <c r="T40" s="1729" t="str">
        <f>NUMBERSTRING(7-K40,1)&amp;"通"</f>
        <v>七通</v>
      </c>
      <c r="U40" s="1692"/>
    </row>
    <row r="41" spans="1:21">
      <c r="A41" s="1661"/>
      <c r="B41" s="3237" t="s">
        <v>1684</v>
      </c>
      <c r="C41" s="3237"/>
      <c r="D41" s="3237"/>
      <c r="E41" s="3237"/>
      <c r="F41" s="1730" t="str">
        <f>C10</f>
        <v>南通市</v>
      </c>
      <c r="G41" s="1692"/>
      <c r="H41" s="1692"/>
      <c r="I41" s="1705"/>
      <c r="J41" s="1692"/>
      <c r="K41" s="1697"/>
      <c r="L41" s="1694" t="str">
        <f>B40</f>
        <v>通路</v>
      </c>
      <c r="M41" s="1731" t="str">
        <f>B40&amp;"、"&amp;C40</f>
        <v>通路、</v>
      </c>
      <c r="N41" s="1732" t="str">
        <f>B40&amp;"、"&amp;C40&amp;"、"&amp;D40</f>
        <v>通路、、</v>
      </c>
      <c r="O41" s="1732" t="str">
        <f>B40&amp;"、"&amp;C40&amp;"、"&amp;D40&amp;"、"&amp;E40</f>
        <v>通路、、、</v>
      </c>
      <c r="P41" s="1732" t="str">
        <f>B40&amp;"、"&amp;C40&amp;"、"&amp;D40&amp;"、"&amp;E40&amp;"、"&amp;F40</f>
        <v>通路、、、、</v>
      </c>
      <c r="Q41" s="1732" t="str">
        <f>B40&amp;"、"&amp;C40&amp;"、"&amp;D40&amp;"、"&amp;E40&amp;"、"&amp;F40&amp;"、"&amp;G40</f>
        <v>通路、、、、、</v>
      </c>
      <c r="R41" s="1732" t="str">
        <f>B40&amp;"、"&amp;C40&amp;"、"&amp;D40&amp;"、"&amp;E40&amp;"、"&amp;F40&amp;"、"&amp;G40&amp;"、"&amp;H40</f>
        <v>通路、、、、、、</v>
      </c>
      <c r="S41" s="3245"/>
      <c r="T41" s="1731" t="str">
        <f>IF(T40="一通",L41,IF(T40="二通",M41,IF(T40="三通",N41,IF(T40="四通",O41,IF(T40="五通",P41,IF(T40="六通",Q41,R41))))))</f>
        <v>通路、、、、、、</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2852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1970</v>
      </c>
      <c r="B48" s="1684" t="s">
        <v>1971</v>
      </c>
      <c r="C48" s="1684" t="s">
        <v>1972</v>
      </c>
      <c r="D48" s="1684" t="s">
        <v>1973</v>
      </c>
      <c r="E48" s="1684" t="s">
        <v>1974</v>
      </c>
      <c r="F48" s="1684" t="s">
        <v>1975</v>
      </c>
      <c r="G48" s="1684" t="s">
        <v>1976</v>
      </c>
      <c r="H48" s="1684" t="s">
        <v>1977</v>
      </c>
      <c r="I48" s="1684" t="s">
        <v>1978</v>
      </c>
      <c r="J48" s="1770" t="s">
        <v>1979</v>
      </c>
      <c r="K48" s="1764" t="s">
        <v>1980</v>
      </c>
      <c r="L48" s="1764" t="s">
        <v>1981</v>
      </c>
      <c r="M48" s="1764" t="s">
        <v>1982</v>
      </c>
      <c r="N48" s="1684" t="s">
        <v>1983</v>
      </c>
      <c r="O48" s="1684" t="s">
        <v>1984</v>
      </c>
      <c r="P48" s="1684" t="s">
        <v>1985</v>
      </c>
      <c r="Q48" s="1697" t="s">
        <v>1986</v>
      </c>
      <c r="R48" s="1697" t="s">
        <v>1987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129</v>
      </c>
      <c r="B2" s="17" t="s">
        <v>130</v>
      </c>
      <c r="C2" s="17" t="s">
        <v>131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133</v>
      </c>
      <c r="AZ2" s="2359" t="s">
        <v>2296</v>
      </c>
      <c r="BA2" s="2360"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22987.21</v>
      </c>
      <c r="B3" s="22">
        <f>IF(C3="否",G5-AT5,G5)</f>
        <v>110338.60799999999</v>
      </c>
      <c r="C3" s="23" t="s">
        <v>1644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134</v>
      </c>
      <c r="B5" s="988"/>
      <c r="C5" s="988"/>
      <c r="D5" s="995"/>
      <c r="E5" s="27" t="s">
        <v>1</v>
      </c>
      <c r="F5" s="27">
        <f>SUM(F13:F572)</f>
        <v>0</v>
      </c>
      <c r="G5" s="27">
        <f>SUM(G13:G572)</f>
        <v>110338.60799999999</v>
      </c>
      <c r="H5" s="27">
        <f t="shared" ref="H5:AT5" si="0">SUM(H13:H641)</f>
        <v>110338.60799999999</v>
      </c>
      <c r="I5" s="27">
        <f t="shared" si="0"/>
        <v>110338.60799999999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134</v>
      </c>
      <c r="AW5" s="988"/>
      <c r="AX5" s="988"/>
      <c r="AY5" s="28" t="s">
        <v>3</v>
      </c>
      <c r="AZ5" s="29">
        <f t="shared" ref="AZ5:BT5" si="1">SUM(AZ13:AZ641)</f>
        <v>110338.60799999999</v>
      </c>
      <c r="BA5" s="29">
        <f t="shared" si="1"/>
        <v>110338.60799999999</v>
      </c>
      <c r="BB5" s="29">
        <f t="shared" si="1"/>
        <v>110338.60799999999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135</v>
      </c>
      <c r="B6" s="31"/>
      <c r="C6" s="31"/>
      <c r="D6" s="32"/>
      <c r="E6" s="27">
        <f>H6+AC6+AT6</f>
        <v>22987.21</v>
      </c>
      <c r="F6" s="27" t="s">
        <v>1</v>
      </c>
      <c r="G6" s="27" t="s">
        <v>2</v>
      </c>
      <c r="H6" s="33">
        <f>SUMIF(I$12:AB$12,"总值",I6:AB6)</f>
        <v>22987.21</v>
      </c>
      <c r="I6" s="27">
        <f t="shared" ref="I6:AB6" si="2">ROUND($A$3*I5/$B$3,2)</f>
        <v>22987.21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135</v>
      </c>
      <c r="AW6" s="31"/>
      <c r="AX6" s="31"/>
      <c r="AY6" s="35">
        <f>IF(AY3&gt;0,AY3,ROUND($A$3*AZ5/$B$3,2))</f>
        <v>22987.21</v>
      </c>
      <c r="AZ6" s="27" t="s">
        <v>3</v>
      </c>
      <c r="BA6" s="27">
        <f>ROUND($AY$6*BA5/$AZ$5,2)</f>
        <v>22987.21</v>
      </c>
      <c r="BB6" s="27">
        <f>ROUND($AY$6*BB5/$AZ$5,2)</f>
        <v>22987.21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136</v>
      </c>
      <c r="B7" s="38" t="s">
        <v>137</v>
      </c>
      <c r="C7" s="38" t="s">
        <v>138</v>
      </c>
      <c r="D7" s="38" t="s">
        <v>139</v>
      </c>
      <c r="E7" s="38" t="s">
        <v>140</v>
      </c>
      <c r="F7" s="38" t="s">
        <v>141</v>
      </c>
      <c r="G7" s="39" t="s">
        <v>142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143</v>
      </c>
      <c r="AV7" s="41" t="s">
        <v>144</v>
      </c>
      <c r="AW7" s="42" t="s">
        <v>145</v>
      </c>
      <c r="AX7" s="41" t="s">
        <v>146</v>
      </c>
      <c r="AY7" s="988" t="s">
        <v>147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148</v>
      </c>
      <c r="H8" s="47" t="s">
        <v>149</v>
      </c>
      <c r="I8" s="48"/>
      <c r="J8" s="1000"/>
      <c r="K8" s="1000"/>
      <c r="L8" s="1000"/>
      <c r="M8" s="1000"/>
      <c r="N8" s="1000"/>
      <c r="O8" s="1000"/>
      <c r="P8" s="1000"/>
      <c r="Q8" s="1000"/>
      <c r="R8" s="1000"/>
      <c r="S8" s="1000"/>
      <c r="T8" s="1000"/>
      <c r="U8" s="1000"/>
      <c r="V8" s="49"/>
      <c r="W8" s="1000"/>
      <c r="X8" s="1000"/>
      <c r="Y8" s="1000"/>
      <c r="Z8" s="1000"/>
      <c r="AA8" s="49"/>
      <c r="AB8" s="50"/>
      <c r="AC8" s="51" t="s">
        <v>150</v>
      </c>
      <c r="AD8" s="52"/>
      <c r="AE8" s="43"/>
      <c r="AF8" s="1000"/>
      <c r="AG8" s="1000"/>
      <c r="AH8" s="1000"/>
      <c r="AI8" s="1000"/>
      <c r="AJ8" s="1000"/>
      <c r="AK8" s="1000"/>
      <c r="AL8" s="1000"/>
      <c r="AM8" s="1000"/>
      <c r="AN8" s="1000"/>
      <c r="AO8" s="1000"/>
      <c r="AP8" s="1000"/>
      <c r="AQ8" s="1000"/>
      <c r="AR8" s="1000"/>
      <c r="AS8" s="2296"/>
      <c r="AT8" s="2327" t="s">
        <v>821</v>
      </c>
      <c r="AU8" s="45" t="s">
        <v>151</v>
      </c>
      <c r="AV8" s="55"/>
      <c r="AW8" s="1002"/>
      <c r="AX8" s="55"/>
      <c r="AY8" s="42"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154</v>
      </c>
      <c r="I9" s="3018" t="s">
        <v>2965</v>
      </c>
      <c r="J9" s="51"/>
      <c r="K9" s="3018"/>
      <c r="L9" s="51"/>
      <c r="M9" s="3018"/>
      <c r="N9" s="51"/>
      <c r="O9" s="59"/>
      <c r="P9" s="51"/>
      <c r="Q9" s="59"/>
      <c r="R9" s="51"/>
      <c r="S9" s="59"/>
      <c r="T9" s="51"/>
      <c r="U9" s="59"/>
      <c r="V9" s="51"/>
      <c r="W9" s="59"/>
      <c r="X9" s="60"/>
      <c r="Y9" s="59"/>
      <c r="Z9" s="51"/>
      <c r="AA9" s="59"/>
      <c r="AB9" s="51"/>
      <c r="AC9" s="46" t="s">
        <v>154</v>
      </c>
      <c r="AD9" s="26" t="s">
        <v>155</v>
      </c>
      <c r="AE9" s="61"/>
      <c r="AF9" s="26" t="s">
        <v>156</v>
      </c>
      <c r="AG9" s="61"/>
      <c r="AH9" s="26" t="s">
        <v>157</v>
      </c>
      <c r="AI9" s="61"/>
      <c r="AJ9" s="26" t="s">
        <v>158</v>
      </c>
      <c r="AK9" s="61"/>
      <c r="AL9" s="26" t="s">
        <v>157</v>
      </c>
      <c r="AM9" s="61"/>
      <c r="AN9" s="26" t="s">
        <v>158</v>
      </c>
      <c r="AO9" s="61"/>
      <c r="AP9" s="1186" t="s">
        <v>157</v>
      </c>
      <c r="AQ9" s="1188"/>
      <c r="AR9" s="1186" t="s">
        <v>158</v>
      </c>
      <c r="AS9" s="2328"/>
      <c r="AT9" s="45"/>
      <c r="AU9" s="45" t="s">
        <v>160</v>
      </c>
      <c r="AV9" s="55"/>
      <c r="AW9" s="1002"/>
      <c r="AX9" s="55"/>
      <c r="AY9" s="62"/>
      <c r="AZ9" s="62" t="s">
        <v>161</v>
      </c>
      <c r="BA9" s="63" t="s">
        <v>162</v>
      </c>
      <c r="BB9" s="64"/>
      <c r="BC9" s="994"/>
      <c r="BD9" s="994"/>
      <c r="BE9" s="994"/>
      <c r="BF9" s="994"/>
      <c r="BG9" s="994"/>
      <c r="BH9" s="994"/>
      <c r="BI9" s="994"/>
      <c r="BJ9" s="994"/>
      <c r="BK9" s="65"/>
      <c r="BL9" s="26" t="s">
        <v>163</v>
      </c>
      <c r="BM9" s="1000"/>
      <c r="BN9" s="48"/>
      <c r="BO9" s="1000"/>
      <c r="BP9" s="1000"/>
      <c r="BQ9" s="1000"/>
      <c r="BR9" s="1000"/>
      <c r="BS9" s="1000"/>
      <c r="BT9" s="56"/>
    </row>
    <row r="10" spans="1:72" s="57" customFormat="1" ht="12.75">
      <c r="A10" s="45"/>
      <c r="B10" s="45"/>
      <c r="C10" s="45"/>
      <c r="D10" s="45"/>
      <c r="E10" s="45"/>
      <c r="F10" s="45"/>
      <c r="G10" s="55"/>
      <c r="H10" s="62"/>
      <c r="I10" s="3018" t="s">
        <v>1643</v>
      </c>
      <c r="J10" s="51"/>
      <c r="K10" s="3020"/>
      <c r="L10" s="51"/>
      <c r="M10" s="3020"/>
      <c r="N10" s="51"/>
      <c r="O10" s="66"/>
      <c r="P10" s="51"/>
      <c r="Q10" s="66"/>
      <c r="R10" s="51"/>
      <c r="S10" s="66"/>
      <c r="T10" s="51"/>
      <c r="U10" s="66"/>
      <c r="V10" s="51"/>
      <c r="W10" s="66"/>
      <c r="X10" s="51"/>
      <c r="Y10" s="66"/>
      <c r="Z10" s="51"/>
      <c r="AA10" s="66"/>
      <c r="AB10" s="51"/>
      <c r="AC10" s="55"/>
      <c r="AD10" s="2313" t="s">
        <v>2280</v>
      </c>
      <c r="AE10" s="2335"/>
      <c r="AF10" s="2313" t="s">
        <v>2280</v>
      </c>
      <c r="AG10" s="2335"/>
      <c r="AH10" s="2313" t="s">
        <v>2281</v>
      </c>
      <c r="AI10" s="2335"/>
      <c r="AJ10" s="26" t="s">
        <v>2294</v>
      </c>
      <c r="AK10" s="2332"/>
      <c r="AL10" s="2313" t="s">
        <v>2282</v>
      </c>
      <c r="AM10" s="2314"/>
      <c r="AN10" s="26" t="s">
        <v>164</v>
      </c>
      <c r="AO10" s="61"/>
      <c r="AP10" s="1186" t="s">
        <v>165</v>
      </c>
      <c r="AQ10" s="1188"/>
      <c r="AR10" s="1186" t="s">
        <v>165</v>
      </c>
      <c r="AS10" s="1188"/>
      <c r="AT10" s="45"/>
      <c r="AU10" s="45"/>
      <c r="AV10" s="55"/>
      <c r="AW10" s="1002"/>
      <c r="AX10" s="55"/>
      <c r="AY10" s="62"/>
      <c r="AZ10" s="62"/>
      <c r="BA10" s="67" t="s">
        <v>159</v>
      </c>
      <c r="BB10" s="68" t="str">
        <f>I9</f>
        <v>地上</v>
      </c>
      <c r="BC10" s="69">
        <f>K9</f>
        <v>0</v>
      </c>
      <c r="BD10" s="69">
        <f>M9</f>
        <v>0</v>
      </c>
      <c r="BE10" s="69">
        <f>O9</f>
        <v>0</v>
      </c>
      <c r="BF10" s="69">
        <f>Q9</f>
        <v>0</v>
      </c>
      <c r="BG10" s="69">
        <f>S9</f>
        <v>0</v>
      </c>
      <c r="BH10" s="69">
        <f>U9</f>
        <v>0</v>
      </c>
      <c r="BI10" s="69">
        <f>W9</f>
        <v>0</v>
      </c>
      <c r="BJ10" s="69">
        <f>Y9</f>
        <v>0</v>
      </c>
      <c r="BK10" s="69">
        <f>AA9</f>
        <v>0</v>
      </c>
      <c r="BL10" s="54" t="s">
        <v>159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2939</v>
      </c>
      <c r="J11" s="71"/>
      <c r="K11" s="3019"/>
      <c r="L11" s="71"/>
      <c r="M11" s="70"/>
      <c r="N11" s="71"/>
      <c r="O11" s="70"/>
      <c r="P11" s="71"/>
      <c r="Q11" s="70"/>
      <c r="R11" s="71"/>
      <c r="S11" s="70"/>
      <c r="T11" s="71"/>
      <c r="U11" s="70"/>
      <c r="V11" s="71"/>
      <c r="W11" s="70"/>
      <c r="X11" s="71"/>
      <c r="Y11" s="70"/>
      <c r="Z11" s="71"/>
      <c r="AA11" s="70"/>
      <c r="AB11" s="71"/>
      <c r="AC11" s="55"/>
      <c r="AD11" s="2333" t="s">
        <v>2293</v>
      </c>
      <c r="AE11" s="1001"/>
      <c r="AF11" s="2333" t="s">
        <v>2293</v>
      </c>
      <c r="AG11" s="1001"/>
      <c r="AH11" s="2333" t="s">
        <v>2292</v>
      </c>
      <c r="AI11" s="2334"/>
      <c r="AJ11" s="2333" t="s">
        <v>2292</v>
      </c>
      <c r="AK11" s="2332"/>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166</v>
      </c>
      <c r="J12" s="17" t="s">
        <v>167</v>
      </c>
      <c r="K12" s="17" t="s">
        <v>166</v>
      </c>
      <c r="L12" s="17" t="s">
        <v>167</v>
      </c>
      <c r="M12" s="17" t="s">
        <v>166</v>
      </c>
      <c r="N12" s="17" t="s">
        <v>167</v>
      </c>
      <c r="O12" s="17" t="s">
        <v>166</v>
      </c>
      <c r="P12" s="17" t="s">
        <v>167</v>
      </c>
      <c r="Q12" s="17" t="s">
        <v>166</v>
      </c>
      <c r="R12" s="17" t="s">
        <v>167</v>
      </c>
      <c r="S12" s="17" t="s">
        <v>166</v>
      </c>
      <c r="T12" s="17" t="s">
        <v>167</v>
      </c>
      <c r="U12" s="17" t="s">
        <v>166</v>
      </c>
      <c r="V12" s="987" t="s">
        <v>167</v>
      </c>
      <c r="W12" s="17" t="s">
        <v>166</v>
      </c>
      <c r="X12" s="17" t="s">
        <v>167</v>
      </c>
      <c r="Y12" s="17" t="s">
        <v>166</v>
      </c>
      <c r="Z12" s="17" t="s">
        <v>167</v>
      </c>
      <c r="AA12" s="17" t="s">
        <v>166</v>
      </c>
      <c r="AB12" s="17" t="s">
        <v>167</v>
      </c>
      <c r="AC12" s="75"/>
      <c r="AD12" s="995" t="s">
        <v>166</v>
      </c>
      <c r="AE12" s="17" t="s">
        <v>167</v>
      </c>
      <c r="AF12" s="17" t="s">
        <v>166</v>
      </c>
      <c r="AG12" s="17" t="s">
        <v>167</v>
      </c>
      <c r="AH12" s="17" t="s">
        <v>166</v>
      </c>
      <c r="AI12" s="17" t="s">
        <v>167</v>
      </c>
      <c r="AJ12" s="17" t="s">
        <v>166</v>
      </c>
      <c r="AK12" s="17" t="s">
        <v>167</v>
      </c>
      <c r="AL12" s="17" t="s">
        <v>166</v>
      </c>
      <c r="AM12" s="17" t="s">
        <v>167</v>
      </c>
      <c r="AN12" s="17" t="s">
        <v>166</v>
      </c>
      <c r="AO12" s="17" t="s">
        <v>167</v>
      </c>
      <c r="AP12" s="1185" t="s">
        <v>166</v>
      </c>
      <c r="AQ12" s="1185" t="s">
        <v>167</v>
      </c>
      <c r="AR12" s="1191" t="s">
        <v>166</v>
      </c>
      <c r="AS12" s="1190" t="s">
        <v>167</v>
      </c>
      <c r="AT12" s="76"/>
      <c r="AU12" s="72"/>
      <c r="AV12" s="77"/>
      <c r="AW12" s="42"/>
      <c r="AX12" s="77"/>
      <c r="AY12" s="78"/>
      <c r="AZ12" s="62"/>
      <c r="BA12" s="67"/>
      <c r="BB12" s="53" t="str">
        <f>I11</f>
        <v>公寓用房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c r="D13" s="3014" t="s">
        <v>1644</v>
      </c>
      <c r="E13" s="27">
        <f t="shared" ref="E13:E20" si="6">IF($C$3="是",ROUND($A$3*G13/$B$3,2),ROUND($A$3*(G13-AT13)/$B$3,2))</f>
        <v>22987.21</v>
      </c>
      <c r="F13" s="81"/>
      <c r="G13" s="82">
        <f t="shared" ref="G13:G20" si="7">H13+AC13+AT13</f>
        <v>110338.60799999999</v>
      </c>
      <c r="H13" s="33">
        <f t="shared" ref="H13:H20" si="8">SUMIF(I$12:AB$12,"总值",I13:AB13)</f>
        <v>110338.60799999999</v>
      </c>
      <c r="I13" s="3178">
        <f>A3*4.8</f>
        <v>110338.60799999999</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5">
        <f t="shared" ref="AY13:AY20" si="11">ROUND($AY$6*AZ13/$AZ$5,2)</f>
        <v>22987.21</v>
      </c>
      <c r="AZ13" s="27">
        <f t="shared" ref="AZ13:AZ20" si="12">BA13+BL13</f>
        <v>110338.60799999999</v>
      </c>
      <c r="BA13" s="27">
        <f t="shared" ref="BA13:BA20" si="13">SUM(BB13:BK13)</f>
        <v>110338.60799999999</v>
      </c>
      <c r="BB13" s="27">
        <f t="shared" ref="BB13:BB20" si="14">IF($D13="是",I13-J13,0)</f>
        <v>110338.60799999999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39</v>
      </c>
      <c r="E1" s="3274" t="s">
        <v>40</v>
      </c>
      <c r="F1" s="3274"/>
      <c r="G1" s="3274"/>
      <c r="H1" s="3274"/>
      <c r="I1" s="3274"/>
      <c r="J1" s="3274"/>
      <c r="K1" s="3274"/>
      <c r="L1" s="3274"/>
      <c r="M1" s="3274"/>
    </row>
    <row r="2" spans="1:13" ht="27" customHeight="1">
      <c r="A2" s="3273"/>
      <c r="B2" s="3273"/>
      <c r="C2" s="3273"/>
      <c r="D2" s="3274"/>
      <c r="E2" s="3274" t="s">
        <v>23</v>
      </c>
      <c r="F2" s="3274" t="s">
        <v>24</v>
      </c>
      <c r="G2" s="3274"/>
      <c r="H2" s="3274"/>
      <c r="I2" s="3274"/>
      <c r="J2" s="3274" t="s">
        <v>25</v>
      </c>
      <c r="K2" s="3274"/>
      <c r="L2" s="3274"/>
      <c r="M2" s="3274"/>
    </row>
    <row r="3" spans="1:13" ht="28.5">
      <c r="A3" s="3273"/>
      <c r="B3" s="3273"/>
      <c r="C3" s="3273"/>
      <c r="D3" s="3274"/>
      <c r="E3" s="327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4" t="s">
        <v>41</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 sqref="L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168</v>
      </c>
      <c r="B1" s="1983"/>
      <c r="C1" s="1983"/>
      <c r="D1" s="1983"/>
      <c r="E1" s="1983"/>
      <c r="F1" s="1983"/>
      <c r="G1" s="1983"/>
      <c r="H1" s="1983"/>
      <c r="I1" s="1983"/>
      <c r="J1" s="1983"/>
      <c r="K1" s="1983"/>
      <c r="L1" s="1983"/>
    </row>
    <row r="2" spans="1:16" ht="15">
      <c r="A2" s="3284" t="s">
        <v>169</v>
      </c>
      <c r="B2" s="3284"/>
      <c r="C2" s="3284"/>
      <c r="D2" s="1974" t="s">
        <v>170</v>
      </c>
      <c r="E2" s="106" t="s">
        <v>171</v>
      </c>
      <c r="F2" s="1983"/>
      <c r="G2" s="1197"/>
      <c r="H2" s="1198"/>
      <c r="I2" s="1199" t="s">
        <v>823</v>
      </c>
      <c r="J2" s="1983"/>
      <c r="K2" s="1983"/>
      <c r="L2" s="1983"/>
    </row>
    <row r="3" spans="1:16" ht="15.75" thickBot="1">
      <c r="A3" s="3285" t="s">
        <v>172</v>
      </c>
      <c r="B3" s="3285"/>
      <c r="C3" s="3285"/>
      <c r="D3" s="107">
        <f>'数据-基础表'!AY6</f>
        <v>22987.21</v>
      </c>
      <c r="E3" s="107">
        <f>'数据-基础表'!AZ5</f>
        <v>110338.60799999999</v>
      </c>
      <c r="F3" s="1983"/>
      <c r="G3" s="280" t="s">
        <v>824</v>
      </c>
      <c r="H3" s="275" t="s">
        <v>825</v>
      </c>
      <c r="I3" s="1975">
        <f>ROUND('数据-基础表'!B3/'数据-基础表'!A3,2)</f>
        <v>4.8</v>
      </c>
      <c r="J3" s="1983"/>
      <c r="K3" s="1983"/>
      <c r="L3" s="1983"/>
    </row>
    <row r="4" spans="1:16" ht="15">
      <c r="A4" s="3286"/>
      <c r="B4" s="3287"/>
      <c r="C4" s="3288"/>
      <c r="D4" s="108" t="s">
        <v>170</v>
      </c>
      <c r="E4" s="109" t="s">
        <v>171</v>
      </c>
      <c r="F4" s="1983"/>
      <c r="G4" s="1200"/>
      <c r="H4" s="275" t="s">
        <v>826</v>
      </c>
      <c r="I4" s="1975">
        <f>ROUND(SUMIF('数据-基础表'!I9:AS9,"地上",'数据-基础表'!I5:AS5)/'数据-基础表'!A3,2)</f>
        <v>4.8</v>
      </c>
      <c r="J4" s="1983"/>
      <c r="K4" s="1983"/>
      <c r="L4" s="1983"/>
    </row>
    <row r="5" spans="1:16">
      <c r="A5" s="110" t="s">
        <v>173</v>
      </c>
      <c r="B5" s="3289" t="s">
        <v>196</v>
      </c>
      <c r="C5" s="3289"/>
      <c r="D5" s="111">
        <f>ROUND($D$3*E5/$E$3,2)</f>
        <v>0</v>
      </c>
      <c r="E5" s="112">
        <f>SUMIF('数据-基础表'!$11:$11,"住宅",'数据-基础表'!$5:$5)</f>
        <v>0</v>
      </c>
      <c r="F5" s="1983"/>
      <c r="G5" s="280" t="s">
        <v>827</v>
      </c>
      <c r="H5" s="275" t="s">
        <v>825</v>
      </c>
      <c r="I5" s="1975">
        <f>ROUND(E31/D31,2)</f>
        <v>4.8</v>
      </c>
      <c r="J5" s="1983"/>
      <c r="K5" s="1983"/>
      <c r="L5" s="1983"/>
    </row>
    <row r="6" spans="1:16" ht="15" thickBot="1">
      <c r="A6" s="113"/>
      <c r="B6" s="3289" t="s">
        <v>174</v>
      </c>
      <c r="C6" s="3289"/>
      <c r="D6" s="111">
        <f>ROUND($D$3*E6/$E$3,2)</f>
        <v>22987.21</v>
      </c>
      <c r="E6" s="112">
        <f>E3-E5</f>
        <v>110338.60799999999</v>
      </c>
      <c r="F6" s="1983"/>
      <c r="G6" s="1200"/>
      <c r="H6" s="275" t="s">
        <v>826</v>
      </c>
      <c r="I6" s="1975">
        <f>ROUND(F31/D31,2)</f>
        <v>4.8</v>
      </c>
      <c r="J6" s="1983"/>
      <c r="K6" s="1983"/>
      <c r="L6" s="1983"/>
    </row>
    <row r="7" spans="1:16" ht="15">
      <c r="A7" s="3281"/>
      <c r="B7" s="3282"/>
      <c r="C7" s="3283"/>
      <c r="D7" s="108" t="s">
        <v>170</v>
      </c>
      <c r="E7" s="114" t="s">
        <v>197</v>
      </c>
      <c r="F7" s="1983"/>
      <c r="G7" s="1155" t="s">
        <v>1611</v>
      </c>
      <c r="H7" s="1156"/>
      <c r="I7" s="1845"/>
      <c r="J7" s="1983"/>
      <c r="K7" s="1983"/>
      <c r="L7" s="1983"/>
    </row>
    <row r="8" spans="1:16">
      <c r="A8" s="110" t="s">
        <v>175</v>
      </c>
      <c r="B8" s="115" t="s">
        <v>176</v>
      </c>
      <c r="C8" s="111" t="s">
        <v>177</v>
      </c>
      <c r="D8" s="111">
        <f t="shared" ref="D8:D15" si="0">ROUND($D$3*E8/$E$3,2)</f>
        <v>22987.21</v>
      </c>
      <c r="E8" s="116">
        <f>SUMIF('数据-基础表'!BB10:BK10,"地上",'数据-基础表'!BB5:BK5)</f>
        <v>110338.60799999999</v>
      </c>
      <c r="F8" s="1983"/>
      <c r="G8" s="1985"/>
      <c r="H8" s="1985"/>
      <c r="I8" s="1983"/>
      <c r="J8" s="1983"/>
      <c r="K8" s="1983"/>
      <c r="L8" s="1983"/>
    </row>
    <row r="9" spans="1:16">
      <c r="A9" s="117"/>
      <c r="B9" s="118"/>
      <c r="C9" s="111" t="s">
        <v>178</v>
      </c>
      <c r="D9" s="111">
        <f t="shared" si="0"/>
        <v>0</v>
      </c>
      <c r="E9" s="119">
        <v>0</v>
      </c>
      <c r="F9" s="1983"/>
      <c r="G9" s="1985"/>
      <c r="H9" s="1985"/>
      <c r="I9" s="1983"/>
      <c r="J9" s="1983"/>
      <c r="K9" s="1983"/>
      <c r="L9" s="1983"/>
    </row>
    <row r="10" spans="1:16">
      <c r="A10" s="117"/>
      <c r="B10" s="118"/>
      <c r="C10" s="111" t="s">
        <v>179</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180</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198</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199</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181</v>
      </c>
      <c r="D16" s="115">
        <f>SUM(D8:D15)</f>
        <v>22987.21</v>
      </c>
      <c r="E16" s="120">
        <f>SUM(E8:E15)</f>
        <v>110338.60799999999</v>
      </c>
      <c r="F16" s="1983"/>
      <c r="G16" s="1985"/>
      <c r="H16" s="967" t="s">
        <v>185</v>
      </c>
      <c r="I16" s="968"/>
      <c r="J16" s="1983"/>
      <c r="K16" s="3275" t="s">
        <v>2529</v>
      </c>
      <c r="L16" s="3276"/>
      <c r="M16" s="3276"/>
      <c r="N16" s="3276"/>
      <c r="O16" s="3276"/>
      <c r="P16" s="3277"/>
    </row>
    <row r="17" spans="1:19" ht="15">
      <c r="A17" s="121" t="s">
        <v>182</v>
      </c>
      <c r="B17" s="122" t="s">
        <v>183</v>
      </c>
      <c r="C17" s="2297" t="s">
        <v>2276</v>
      </c>
      <c r="D17" s="108" t="s">
        <v>170</v>
      </c>
      <c r="E17" s="124" t="s">
        <v>171</v>
      </c>
      <c r="F17" s="125"/>
      <c r="G17" s="1365"/>
      <c r="H17" s="969" t="s">
        <v>184</v>
      </c>
      <c r="I17" s="970" t="s">
        <v>2275</v>
      </c>
      <c r="J17" s="1983"/>
      <c r="K17" s="3278" t="s">
        <v>2530</v>
      </c>
      <c r="L17" s="3279"/>
      <c r="M17" s="3280"/>
      <c r="N17" s="3278" t="s">
        <v>2531</v>
      </c>
      <c r="O17" s="3279"/>
      <c r="P17" s="3280"/>
      <c r="R17" s="2298" t="s">
        <v>2274</v>
      </c>
      <c r="S17" s="144"/>
    </row>
    <row r="18" spans="1:19" ht="15">
      <c r="A18" s="117"/>
      <c r="B18" s="128"/>
      <c r="C18" s="129"/>
      <c r="D18" s="2641"/>
      <c r="E18" s="130" t="s">
        <v>186</v>
      </c>
      <c r="F18" s="131" t="s">
        <v>187</v>
      </c>
      <c r="G18" s="1366" t="s">
        <v>188</v>
      </c>
      <c r="H18" s="971" t="s">
        <v>189</v>
      </c>
      <c r="I18" s="972" t="s">
        <v>190</v>
      </c>
      <c r="J18" s="1983"/>
      <c r="K18" s="2604" t="s">
        <v>2532</v>
      </c>
      <c r="L18" s="2605" t="s">
        <v>2533</v>
      </c>
      <c r="M18" s="2606" t="s">
        <v>2534</v>
      </c>
      <c r="N18" s="2604" t="s">
        <v>2532</v>
      </c>
      <c r="O18" s="2605" t="s">
        <v>2533</v>
      </c>
      <c r="P18" s="2606" t="s">
        <v>2534</v>
      </c>
      <c r="R18" s="2299" t="s">
        <v>2272</v>
      </c>
      <c r="S18" s="2299" t="s">
        <v>2273</v>
      </c>
    </row>
    <row r="19" spans="1:19">
      <c r="A19" s="133"/>
      <c r="B19" s="115" t="s">
        <v>191</v>
      </c>
      <c r="C19" s="3024" t="str">
        <f>定义!A2</f>
        <v>公寓用房</v>
      </c>
      <c r="D19" s="111">
        <f t="shared" ref="D19:D26" si="1">ROUND($D$3*E19/$E$3,2)</f>
        <v>22987.21</v>
      </c>
      <c r="E19" s="134">
        <f t="shared" ref="E19:E26" si="2">SUM(F19:G19)</f>
        <v>110338.60799999999</v>
      </c>
      <c r="F19" s="135">
        <f>'数据-基础表'!I13</f>
        <v>110338.60799999999</v>
      </c>
      <c r="G19" s="1367"/>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22987.21</v>
      </c>
      <c r="S19" s="2300">
        <f t="shared" si="5"/>
        <v>110338.60799999999</v>
      </c>
    </row>
    <row r="20" spans="1:19">
      <c r="A20" s="138"/>
      <c r="B20" s="115" t="s">
        <v>192</v>
      </c>
      <c r="C20" s="3024"/>
      <c r="D20" s="111">
        <f t="shared" si="1"/>
        <v>0</v>
      </c>
      <c r="E20" s="134">
        <f t="shared" si="2"/>
        <v>0</v>
      </c>
      <c r="F20" s="135"/>
      <c r="G20" s="1367"/>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192</v>
      </c>
      <c r="C21" s="3024"/>
      <c r="D21" s="111">
        <f t="shared" si="1"/>
        <v>0</v>
      </c>
      <c r="E21" s="134">
        <f t="shared" si="2"/>
        <v>0</v>
      </c>
      <c r="F21" s="135"/>
      <c r="G21" s="1367"/>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192</v>
      </c>
      <c r="C22" s="1364"/>
      <c r="D22" s="111">
        <f t="shared" si="1"/>
        <v>0</v>
      </c>
      <c r="E22" s="134">
        <f t="shared" si="2"/>
        <v>0</v>
      </c>
      <c r="F22" s="140"/>
      <c r="G22" s="1368"/>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192</v>
      </c>
      <c r="C23" s="139"/>
      <c r="D23" s="111">
        <f>ROUND($D$3*E23/$E$3,2)</f>
        <v>0</v>
      </c>
      <c r="E23" s="134">
        <f>SUM(F23:G23)</f>
        <v>0</v>
      </c>
      <c r="F23" s="140"/>
      <c r="G23" s="1368"/>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192</v>
      </c>
      <c r="C24" s="139"/>
      <c r="D24" s="111">
        <f>ROUND($D$3*E24/$E$3,2)</f>
        <v>0</v>
      </c>
      <c r="E24" s="134">
        <f>SUM(F24:G24)</f>
        <v>0</v>
      </c>
      <c r="F24" s="140"/>
      <c r="G24" s="1368"/>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192</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192</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181</v>
      </c>
      <c r="D27" s="134">
        <f>SUM(D19:D26)</f>
        <v>22987.21</v>
      </c>
      <c r="E27" s="143">
        <f>IF(SUM(E19:E26)='数据-基础表'!BA5,SUM(E19:E26),IF(F27="地上面积有误","面积有误","地下面积有误"))</f>
        <v>110338.60799999999</v>
      </c>
      <c r="F27" s="134">
        <f>IF(SUM(F19:F26)=E8,SUM(F19:F26),"地上面积有误")</f>
        <v>110338.60799999999</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22987.21</v>
      </c>
      <c r="S27" s="275">
        <f>IF(SUM(S19:S26)=$E$3,SUM(S19:S26),SUM(S19:S26)&amp;"误差"&amp;ROUND(SUM(S19:S26)-E3,2))</f>
        <v>110338.60799999999</v>
      </c>
    </row>
    <row r="28" spans="1:19">
      <c r="A28" s="138"/>
      <c r="B28" s="115" t="s">
        <v>193</v>
      </c>
      <c r="C28" s="136" t="s">
        <v>194</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193</v>
      </c>
      <c r="C29" s="2312" t="s">
        <v>2283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181</v>
      </c>
      <c r="D30" s="134">
        <f>SUM(D28:D29)</f>
        <v>0</v>
      </c>
      <c r="E30" s="134">
        <f>SUM(E28:E29)</f>
        <v>0</v>
      </c>
      <c r="F30" s="134">
        <f>SUM(F28:F29)</f>
        <v>0</v>
      </c>
      <c r="G30" s="112">
        <f>SUM(G28:G29)</f>
        <v>0</v>
      </c>
      <c r="H30" s="1983"/>
      <c r="I30" s="1983"/>
      <c r="J30" s="1983"/>
      <c r="K30" s="1983"/>
      <c r="L30" s="1983"/>
    </row>
    <row r="31" spans="1:19" ht="32.25" customHeight="1" thickBot="1">
      <c r="A31" s="1369"/>
      <c r="B31" s="1370" t="s">
        <v>195</v>
      </c>
      <c r="C31" s="2329" t="s">
        <v>2285</v>
      </c>
      <c r="D31" s="1371">
        <f>D27+D30</f>
        <v>22987.21</v>
      </c>
      <c r="E31" s="1371">
        <f>E27+E30</f>
        <v>110338.60799999999</v>
      </c>
      <c r="F31" s="1372">
        <f>F27+F30</f>
        <v>110338.60799999999</v>
      </c>
      <c r="G31" s="1373">
        <f>G27+G30</f>
        <v>0</v>
      </c>
      <c r="H31" s="1983"/>
      <c r="I31" s="1983"/>
      <c r="J31" s="1983"/>
      <c r="K31" s="1983"/>
      <c r="L31" s="1983"/>
    </row>
    <row r="32" spans="1:19">
      <c r="A32" s="1983"/>
      <c r="B32" s="2362" t="s">
        <v>2284</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200</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201</v>
      </c>
      <c r="B2" s="2337">
        <f>项目基本情况!D3</f>
        <v>43360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830</v>
      </c>
      <c r="B4" s="152"/>
      <c r="C4" s="153"/>
      <c r="D4" s="1207"/>
      <c r="E4" s="1208" t="s">
        <v>831</v>
      </c>
      <c r="F4" s="153"/>
      <c r="G4" s="153"/>
      <c r="H4" s="153"/>
      <c r="I4" s="153"/>
      <c r="J4" s="154"/>
      <c r="K4" s="1209"/>
      <c r="L4" s="1210"/>
      <c r="M4" s="153"/>
      <c r="N4" s="1208" t="s">
        <v>832</v>
      </c>
      <c r="O4" s="153"/>
      <c r="P4" s="153"/>
      <c r="Q4" s="153"/>
      <c r="R4" s="153"/>
      <c r="S4" s="154"/>
      <c r="T4" s="976"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2287</v>
      </c>
      <c r="B5" s="156" t="s">
        <v>202</v>
      </c>
      <c r="C5" s="157" t="s">
        <v>203</v>
      </c>
      <c r="D5" s="158" t="s">
        <v>204</v>
      </c>
      <c r="E5" s="159" t="s">
        <v>205</v>
      </c>
      <c r="F5" s="160" t="s">
        <v>206</v>
      </c>
      <c r="G5" s="159" t="s">
        <v>207</v>
      </c>
      <c r="H5" s="159" t="s">
        <v>828</v>
      </c>
      <c r="I5" s="159" t="s">
        <v>829</v>
      </c>
      <c r="J5" s="161" t="s">
        <v>208</v>
      </c>
      <c r="K5" s="162" t="s">
        <v>209</v>
      </c>
      <c r="L5" s="163" t="s">
        <v>210</v>
      </c>
      <c r="M5" s="164" t="s">
        <v>211</v>
      </c>
      <c r="N5" s="1218" t="s">
        <v>2790</v>
      </c>
      <c r="O5" s="163" t="s">
        <v>212</v>
      </c>
      <c r="P5" s="165" t="s">
        <v>213</v>
      </c>
      <c r="Q5" s="166" t="s">
        <v>214</v>
      </c>
      <c r="R5" s="167" t="s">
        <v>215</v>
      </c>
      <c r="S5" s="2620" t="s">
        <v>2535</v>
      </c>
      <c r="T5" s="168" t="s">
        <v>216</v>
      </c>
      <c r="U5" s="169" t="s">
        <v>217</v>
      </c>
      <c r="V5" s="159" t="s">
        <v>218</v>
      </c>
      <c r="W5" s="159" t="s">
        <v>219</v>
      </c>
      <c r="X5" s="1817"/>
      <c r="Y5" s="170" t="s">
        <v>220</v>
      </c>
      <c r="Z5" s="171" t="s">
        <v>221</v>
      </c>
      <c r="AA5" s="159" t="s">
        <v>218</v>
      </c>
      <c r="AB5" s="159" t="s">
        <v>219</v>
      </c>
      <c r="AC5" s="1818"/>
      <c r="AD5" s="172" t="s">
        <v>220</v>
      </c>
      <c r="AE5" s="1" t="s">
        <v>836</v>
      </c>
      <c r="AF5" s="159" t="s">
        <v>222</v>
      </c>
      <c r="AG5" s="170" t="s">
        <v>223</v>
      </c>
      <c r="AH5" s="1818" t="s">
        <v>2286</v>
      </c>
      <c r="AI5" s="171" t="s">
        <v>2255</v>
      </c>
      <c r="AJ5" s="171" t="s">
        <v>224</v>
      </c>
      <c r="AK5" s="159" t="s">
        <v>225</v>
      </c>
      <c r="AL5" s="159" t="s">
        <v>226</v>
      </c>
      <c r="AM5" s="172" t="s">
        <v>227</v>
      </c>
      <c r="AN5" s="2390" t="s">
        <v>2336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公寓用房</v>
      </c>
      <c r="B6" s="2336" t="str">
        <f>IF(A6=0,"","经营性")</f>
        <v>经营性</v>
      </c>
      <c r="C6" s="173" t="s">
        <v>1643</v>
      </c>
      <c r="D6" s="2307">
        <f>SUMIF(项目基本情况!D$15:I$15,C6,项目基本情况!D$18:I$18)</f>
        <v>50</v>
      </c>
      <c r="E6" s="2308">
        <f>IF(B6="","",SUMIF(项目基本情况!D$15:I$15,C6,项目基本情况!D$17:I$17))</f>
        <v>56705</v>
      </c>
      <c r="F6" s="174">
        <f>SUMIF(项目基本情况!D$15:I$15,C6,项目基本情况!D$19:I$19)</f>
        <v>36.56</v>
      </c>
      <c r="G6" s="175">
        <f>IF(ISERROR(ROUND(POWER(1+H6,D6-F6)*(POWER(1+H6,F6)-1)/(POWER(1+H6,D6)-1),3)),0,ROUND(POWER(1+H6,D6-F6)*(POWER(1+H6,F6)-1)/(POWER(1+H6,D6)-1),3))</f>
        <v>0.91100000000000003</v>
      </c>
      <c r="H6" s="3025">
        <v>0.05</v>
      </c>
      <c r="I6" s="3025">
        <v>0.06</v>
      </c>
      <c r="J6" s="176">
        <v>8.5000000000000006E-2</v>
      </c>
      <c r="K6" s="179">
        <f>SUMIF('数据-汇总表'!C$19:C$33,'数据-取费表'!A6,'数据-汇总表'!E$19:E$33)</f>
        <v>110338.60799999999</v>
      </c>
      <c r="L6" s="3026">
        <v>3000</v>
      </c>
      <c r="M6" s="177">
        <f t="shared" ref="M6:M14" si="0">ROUND(K6*L6/10000,0)</f>
        <v>33102</v>
      </c>
      <c r="N6" s="3027">
        <v>0</v>
      </c>
      <c r="O6" s="177">
        <f>IF($N$5="成新度","——",ROUND(M6*N6,0))</f>
        <v>0</v>
      </c>
      <c r="P6" s="178">
        <f>IF($N$5="成新度","——",M6-O6)</f>
        <v>33102</v>
      </c>
      <c r="Q6" s="192">
        <v>0.25</v>
      </c>
      <c r="R6" s="179">
        <f>SUMIF('数据-汇总表'!C$19:C$33,A6,'数据-汇总表'!R$19:R$33)</f>
        <v>22987.21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0.02</v>
      </c>
      <c r="AL6" s="190">
        <v>2E-3</v>
      </c>
      <c r="AM6" s="3039">
        <v>0.02</v>
      </c>
      <c r="AN6" s="2391"/>
      <c r="AO6" s="1999"/>
      <c r="AP6" s="1203">
        <f>ROUND(1-1/(1+H6)^F6,3)</f>
        <v>0.83199999999999996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2277</v>
      </c>
      <c r="B14" s="2305" t="s">
        <v>1645</v>
      </c>
      <c r="C14" s="2306" t="s">
        <v>2277</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2279</v>
      </c>
      <c r="B15" s="2305" t="s">
        <v>1645</v>
      </c>
      <c r="C15" s="2306" t="s">
        <v>2278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228</v>
      </c>
      <c r="B16" s="199"/>
      <c r="C16" s="200"/>
      <c r="D16" s="201"/>
      <c r="E16" s="199"/>
      <c r="F16" s="199"/>
      <c r="G16" s="202">
        <f>ROUND(SUMPRODUCT(G6:G13,K6:K13)/SUMPRODUCT((G6:G13&gt;0)*(K6:K13)),3)</f>
        <v>0.91100000000000003</v>
      </c>
      <c r="H16" s="203">
        <f>ROUND(SUMPRODUCT(H6:H13,K6:K13)/SUMPRODUCT((H6:H13&gt;0)*(K6:K13)),3)</f>
        <v>0.05</v>
      </c>
      <c r="I16" s="204"/>
      <c r="J16" s="204"/>
      <c r="K16" s="205">
        <f>SUM(K6:K15)</f>
        <v>110338.60799999999</v>
      </c>
      <c r="L16" s="206">
        <f>ROUND(M16*10000/SUM(K6:K14),0)</f>
        <v>3000</v>
      </c>
      <c r="M16" s="206">
        <f>SUM(M6:M14)</f>
        <v>33102</v>
      </c>
      <c r="N16" s="207">
        <f>ROUND(SUMPRODUCT(M6:M14,N6:N14)/M16,3)</f>
        <v>0</v>
      </c>
      <c r="O16" s="206">
        <f>SUM(O6:O14)</f>
        <v>0</v>
      </c>
      <c r="P16" s="206">
        <f>SUM(P6:P14)</f>
        <v>33102</v>
      </c>
      <c r="Q16" s="208">
        <f>ROUND(SUMPRODUCT(Q6:Q13,K6:K13)/SUMPRODUCT((Q6:Q13&gt;0)*(K6:K13)),2)</f>
        <v>0.25</v>
      </c>
      <c r="R16" s="2310">
        <f>SUM(R6:R13)</f>
        <v>22987.21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229</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230</v>
      </c>
      <c r="B19" s="218">
        <v>0</v>
      </c>
      <c r="C19" s="2363" t="s">
        <v>2299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231</v>
      </c>
      <c r="B20" s="220">
        <v>3</v>
      </c>
      <c r="C20" s="2363" t="s">
        <v>2298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232</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233</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234</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235</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236</v>
      </c>
      <c r="B26" s="225" t="s">
        <v>237</v>
      </c>
      <c r="C26" s="1994" t="s">
        <v>238</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2301</v>
      </c>
      <c r="B27" s="227">
        <v>90</v>
      </c>
      <c r="C27" s="2366" t="s">
        <v>2305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2302</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2300</v>
      </c>
      <c r="B29" s="232">
        <v>0</v>
      </c>
      <c r="C29" s="1551" t="s">
        <v>2303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239</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240</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241</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244</v>
      </c>
      <c r="B33" s="1377">
        <v>0.05</v>
      </c>
      <c r="C33" s="2364" t="s">
        <v>2853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245</v>
      </c>
      <c r="B34" s="233">
        <v>0</v>
      </c>
      <c r="C34" s="2364" t="s">
        <v>2854</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242</v>
      </c>
      <c r="B35" s="229">
        <v>200</v>
      </c>
      <c r="C35" s="2364" t="s">
        <v>2855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243</v>
      </c>
      <c r="B36" s="234">
        <v>1.4999999999999999E-2</v>
      </c>
      <c r="C36" s="2364" t="s">
        <v>2856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246</v>
      </c>
      <c r="B37" s="236">
        <v>0.03</v>
      </c>
      <c r="C37" s="2364" t="s">
        <v>2857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247</v>
      </c>
      <c r="B38" s="233">
        <v>0.03</v>
      </c>
      <c r="C38" s="2364" t="s">
        <v>2857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2420</v>
      </c>
      <c r="B40" s="2480">
        <f ca="1">存贷款利率!E2</f>
        <v>4.7500000000000001E-2</v>
      </c>
      <c r="C40" s="2364" t="s">
        <v>2304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248</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249</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250</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251</v>
      </c>
      <c r="B44" s="242">
        <v>7.0000000000000007E-2</v>
      </c>
      <c r="C44" s="2364" t="s">
        <v>2858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252</v>
      </c>
      <c r="B45" s="240">
        <v>0.03</v>
      </c>
      <c r="C45" s="2366" t="s">
        <v>2859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253</v>
      </c>
      <c r="B46" s="240">
        <v>0.02</v>
      </c>
      <c r="C46" s="2366" t="s">
        <v>2860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254</v>
      </c>
      <c r="B47" s="244">
        <v>0</v>
      </c>
      <c r="C47" s="3074" t="s">
        <v>2861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255</v>
      </c>
      <c r="B48" s="246">
        <v>0.03</v>
      </c>
      <c r="C48" s="3075" t="s">
        <v>2862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256</v>
      </c>
      <c r="B49" s="240">
        <v>5.0000000000000001E-4</v>
      </c>
      <c r="C49" s="3075" t="s">
        <v>2863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257</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258</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259</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260</v>
      </c>
      <c r="B53" s="251" t="s">
        <v>1293</v>
      </c>
      <c r="C53" s="3076" t="s">
        <v>2864</v>
      </c>
      <c r="D53" s="3077" t="s">
        <v>2865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2866</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2867</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2868</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2869</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2870</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2871</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2872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5" sqref="L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0" t="s">
        <v>1629</v>
      </c>
      <c r="B1" s="3291"/>
      <c r="C1" s="3291"/>
      <c r="D1" s="3291"/>
      <c r="E1" s="3291"/>
      <c r="F1" s="3291"/>
      <c r="G1" s="3291"/>
      <c r="H1" s="2001"/>
      <c r="I1" s="2002"/>
      <c r="J1" s="2003"/>
      <c r="K1" s="2001"/>
      <c r="L1" s="2002"/>
      <c r="M1" s="2003"/>
      <c r="N1" s="2001"/>
      <c r="O1" s="2002"/>
      <c r="P1" s="2003"/>
      <c r="Q1" s="2004"/>
      <c r="R1" s="2005"/>
    </row>
    <row r="2" spans="1:18" ht="14.25" thickBot="1">
      <c r="A2" s="1220"/>
      <c r="B2" s="1221"/>
      <c r="C2" s="1222" t="s">
        <v>1630</v>
      </c>
      <c r="D2" s="1223"/>
      <c r="E2" s="1224"/>
      <c r="F2" s="1225"/>
      <c r="G2" s="1222" t="s">
        <v>1631</v>
      </c>
      <c r="H2" s="2007"/>
      <c r="I2" s="2007"/>
      <c r="J2" s="2007"/>
      <c r="K2" s="2007"/>
      <c r="L2" s="2007"/>
      <c r="M2" s="2007"/>
      <c r="N2" s="2007"/>
      <c r="O2" s="2007"/>
      <c r="P2" s="2007"/>
      <c r="Q2" s="2007"/>
      <c r="R2" s="2007"/>
    </row>
    <row r="3" spans="1:18" ht="81">
      <c r="A3" s="1226" t="s">
        <v>1632</v>
      </c>
      <c r="B3" s="1227" t="s">
        <v>1619</v>
      </c>
      <c r="C3" s="3188" t="s">
        <v>3007</v>
      </c>
      <c r="D3" s="2008"/>
      <c r="E3" s="1228" t="s">
        <v>1632</v>
      </c>
      <c r="F3" s="1229" t="s">
        <v>1620</v>
      </c>
      <c r="G3" s="3084" t="s">
        <v>2880</v>
      </c>
      <c r="H3" s="2007"/>
      <c r="I3" s="2007"/>
      <c r="J3" s="2007"/>
      <c r="K3" s="2007"/>
      <c r="L3" s="2007"/>
      <c r="M3" s="2007"/>
      <c r="N3" s="2007"/>
      <c r="O3" s="2007"/>
      <c r="P3" s="2007"/>
      <c r="Q3" s="2007"/>
      <c r="R3" s="2007"/>
    </row>
    <row r="4" spans="1:18" ht="40.5">
      <c r="A4" s="1228"/>
      <c r="B4" s="1230" t="s">
        <v>1633</v>
      </c>
      <c r="C4" s="3193" t="s">
        <v>3037</v>
      </c>
      <c r="D4" s="2008"/>
      <c r="E4" s="1231"/>
      <c r="F4" s="1232" t="s">
        <v>1634</v>
      </c>
      <c r="G4" s="3082" t="s">
        <v>2877</v>
      </c>
      <c r="H4" s="2007"/>
      <c r="I4" s="2007"/>
      <c r="J4" s="2007"/>
      <c r="K4" s="2007"/>
      <c r="L4" s="2007"/>
      <c r="M4" s="2007"/>
      <c r="N4" s="2007"/>
      <c r="O4" s="2007"/>
      <c r="P4" s="2007"/>
      <c r="Q4" s="2007"/>
      <c r="R4" s="2007"/>
    </row>
    <row r="5" spans="1:18" ht="27">
      <c r="A5" s="1228"/>
      <c r="B5" s="1230" t="s">
        <v>1635</v>
      </c>
      <c r="C5" s="3081"/>
      <c r="D5" s="2008"/>
      <c r="E5" s="1231"/>
      <c r="F5" s="1230" t="s">
        <v>2509</v>
      </c>
      <c r="G5" s="3082" t="s">
        <v>2878</v>
      </c>
      <c r="H5" s="2007"/>
      <c r="I5" s="2007"/>
      <c r="J5" s="2007"/>
      <c r="K5" s="2007"/>
      <c r="L5" s="2007"/>
      <c r="M5" s="2007"/>
      <c r="N5" s="2007"/>
      <c r="O5" s="2007"/>
      <c r="P5" s="2007"/>
      <c r="Q5" s="2007"/>
      <c r="R5" s="2007"/>
    </row>
    <row r="6" spans="1:18" ht="81">
      <c r="A6" s="1228"/>
      <c r="B6" s="1230" t="s">
        <v>1621</v>
      </c>
      <c r="C6" s="3187" t="s">
        <v>3005</v>
      </c>
      <c r="D6" s="2008"/>
      <c r="E6" s="1231"/>
      <c r="F6" s="1230" t="s">
        <v>2510</v>
      </c>
      <c r="G6" s="3082" t="s">
        <v>2876</v>
      </c>
      <c r="H6" s="2007"/>
      <c r="I6" s="2007"/>
      <c r="J6" s="2007"/>
      <c r="K6" s="2007"/>
      <c r="L6" s="2007"/>
      <c r="M6" s="2007"/>
      <c r="N6" s="2007"/>
      <c r="O6" s="2007"/>
      <c r="P6" s="2007"/>
      <c r="Q6" s="2007"/>
      <c r="R6" s="2007"/>
    </row>
    <row r="7" spans="1:18" ht="41.25" thickBot="1">
      <c r="A7" s="1228"/>
      <c r="B7" s="1230" t="s">
        <v>2509</v>
      </c>
      <c r="C7" s="3187" t="s">
        <v>3009</v>
      </c>
      <c r="D7" s="2009"/>
      <c r="E7" s="1233"/>
      <c r="F7" s="1234" t="s">
        <v>1636</v>
      </c>
      <c r="G7" s="3085" t="s">
        <v>2879</v>
      </c>
      <c r="H7" s="2007"/>
      <c r="I7" s="2007"/>
      <c r="J7" s="2007"/>
      <c r="K7" s="2007"/>
      <c r="L7" s="2007"/>
      <c r="M7" s="2007"/>
      <c r="N7" s="2007"/>
      <c r="O7" s="2007"/>
      <c r="P7" s="2007"/>
      <c r="Q7" s="2007"/>
      <c r="R7" s="2007"/>
    </row>
    <row r="8" spans="1:18" ht="27">
      <c r="A8" s="1228"/>
      <c r="B8" s="1230" t="s">
        <v>2510</v>
      </c>
      <c r="C8" s="3187" t="s">
        <v>3011</v>
      </c>
      <c r="D8" s="2009"/>
      <c r="E8" s="2009"/>
      <c r="F8" s="1552"/>
      <c r="G8" s="1552"/>
      <c r="H8" s="2007"/>
      <c r="I8" s="2007"/>
      <c r="J8" s="2007"/>
      <c r="K8" s="2007"/>
      <c r="L8" s="2007"/>
      <c r="M8" s="2007"/>
      <c r="N8" s="2007"/>
      <c r="O8" s="2007"/>
      <c r="P8" s="2007"/>
      <c r="Q8" s="2007"/>
      <c r="R8" s="2007"/>
    </row>
    <row r="9" spans="1:18" ht="54">
      <c r="A9" s="1228"/>
      <c r="B9" s="1230" t="s">
        <v>1622</v>
      </c>
      <c r="C9" s="3189" t="s">
        <v>3013</v>
      </c>
      <c r="D9" s="2008"/>
      <c r="E9" s="2009"/>
      <c r="F9" s="1552"/>
      <c r="G9" s="1552"/>
      <c r="H9" s="2007"/>
      <c r="I9" s="2007"/>
      <c r="J9" s="2007"/>
      <c r="K9" s="2007"/>
      <c r="L9" s="2007"/>
      <c r="M9" s="2007"/>
      <c r="N9" s="2007"/>
      <c r="O9" s="2007"/>
      <c r="P9" s="2007"/>
      <c r="Q9" s="2007"/>
      <c r="R9" s="2007"/>
    </row>
    <row r="10" spans="1:18" s="2015" customFormat="1" ht="15" thickBot="1">
      <c r="A10" s="1235"/>
      <c r="B10" s="1236" t="s">
        <v>1637</v>
      </c>
      <c r="C10" s="3083" t="s">
        <v>3014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1638</v>
      </c>
      <c r="B13" s="2577"/>
      <c r="C13" s="2577"/>
      <c r="D13" s="1223"/>
      <c r="E13" s="2577"/>
      <c r="F13" s="2577"/>
      <c r="G13" s="2577"/>
    </row>
    <row r="14" spans="1:18" ht="14.25" thickBot="1">
      <c r="A14" s="1237"/>
      <c r="B14" s="1238"/>
      <c r="C14" s="1239" t="s">
        <v>1630</v>
      </c>
      <c r="D14" s="2008"/>
      <c r="E14" s="1240"/>
      <c r="F14" s="1240"/>
      <c r="G14" s="1222" t="s">
        <v>1631</v>
      </c>
    </row>
    <row r="15" spans="1:18" ht="81">
      <c r="A15" s="2587" t="s">
        <v>1623</v>
      </c>
      <c r="B15" s="1241" t="s">
        <v>1619</v>
      </c>
      <c r="C15" s="1242" t="str">
        <f>C3</f>
        <v>估价对象周边居住用地比例较好、周边有恒隆国际公寓等项目、居住小区规模和社区发展完善程度较好，综合评价居住社区成熟度较好</v>
      </c>
      <c r="D15" s="2008"/>
      <c r="E15" s="2584" t="s">
        <v>1624</v>
      </c>
      <c r="F15" s="1241" t="s">
        <v>1639</v>
      </c>
      <c r="G15" s="1243" t="str">
        <f>G3</f>
        <v>估价对象位于XX开发区，园区建设成熟度XX，产业集聚程度XX</v>
      </c>
    </row>
    <row r="16" spans="1:18" ht="54">
      <c r="A16" s="2588"/>
      <c r="B16" s="1244" t="s">
        <v>1633</v>
      </c>
      <c r="C16" s="1245" t="str">
        <f>C4</f>
        <v>估价对象位于中央商务区，周边商业氛围成熟，人流量较大，商业繁华度较好</v>
      </c>
      <c r="D16" s="2008"/>
      <c r="E16" s="2585"/>
      <c r="F16" s="1246" t="s">
        <v>1634</v>
      </c>
      <c r="G16" s="1004" t="str">
        <f>G4</f>
        <v>估价对象周边道路状况、公共交通通达情况、停车便捷程度，综合评价交通便捷度较好</v>
      </c>
    </row>
    <row r="17" spans="1:7" ht="14.25">
      <c r="A17" s="2588"/>
      <c r="B17" s="1244" t="s">
        <v>1635</v>
      </c>
      <c r="C17" s="1245">
        <f>C5</f>
        <v>0</v>
      </c>
      <c r="D17" s="2009"/>
      <c r="E17" s="2585"/>
      <c r="F17" s="1246" t="s">
        <v>1640</v>
      </c>
      <c r="G17" s="2793"/>
    </row>
    <row r="18" spans="1:7" ht="81">
      <c r="A18" s="2588"/>
      <c r="B18" s="1246" t="s">
        <v>1621</v>
      </c>
      <c r="C18" s="1004" t="str">
        <f>C6</f>
        <v>估价对象周边道路状况较好、公共交通通达情况较好、周边有11/13/22路等公交线路、停车便捷程度较好，综合评价交通便捷度较好</v>
      </c>
      <c r="D18" s="2009"/>
      <c r="E18" s="2585"/>
      <c r="F18" s="1246" t="s">
        <v>1636</v>
      </c>
      <c r="G18" s="1004" t="str">
        <f>G7</f>
        <v>该园区内是否有污染型企业，绿化情况，卫生条件，整体环境状况判断</v>
      </c>
    </row>
    <row r="19" spans="1:7" ht="27">
      <c r="A19" s="2588"/>
      <c r="B19" s="1246" t="s">
        <v>1625</v>
      </c>
      <c r="C19" s="3179" t="s">
        <v>2968</v>
      </c>
      <c r="D19" s="2008"/>
      <c r="E19" s="2585"/>
      <c r="F19" s="1230" t="s">
        <v>2509</v>
      </c>
      <c r="G19" s="1004" t="str">
        <f>G5</f>
        <v>估价对象所在区域公共配套设施齐备情况</v>
      </c>
    </row>
    <row r="20" spans="1:7" ht="54">
      <c r="A20" s="2588"/>
      <c r="B20" s="1246" t="s">
        <v>1626</v>
      </c>
      <c r="C20" s="1245" t="str">
        <f>C9</f>
        <v>区域自然环境及人文环境较好，周边有南通中央公园等；综合评价环境状况较好</v>
      </c>
      <c r="D20" s="2009"/>
      <c r="E20" s="2585"/>
      <c r="F20" s="1230" t="s">
        <v>2510</v>
      </c>
      <c r="G20" s="1004" t="str">
        <f>G6</f>
        <v>估价对象所在区域基础设施水平</v>
      </c>
    </row>
    <row r="21" spans="1:7" ht="27">
      <c r="A21" s="2588"/>
      <c r="B21" s="1230" t="s">
        <v>2509</v>
      </c>
      <c r="C21" s="1004" t="str">
        <f>C7</f>
        <v>估价对象所在区域公共配套设施齐备情况较好</v>
      </c>
      <c r="D21" s="2008"/>
      <c r="E21" s="2585"/>
      <c r="F21" s="1246" t="s">
        <v>1627</v>
      </c>
      <c r="G21" s="3086"/>
    </row>
    <row r="22" spans="1:7" ht="27">
      <c r="A22" s="2588"/>
      <c r="B22" s="1230" t="s">
        <v>2510</v>
      </c>
      <c r="C22" s="1004" t="str">
        <f>C8</f>
        <v>估价对象所在区域基础设施水平较好</v>
      </c>
      <c r="D22" s="2008"/>
      <c r="E22" s="2585"/>
      <c r="F22" s="1246" t="s">
        <v>1637</v>
      </c>
      <c r="G22" s="2793"/>
    </row>
    <row r="23" spans="1:7" ht="15" thickBot="1">
      <c r="A23" s="2588"/>
      <c r="B23" s="1246" t="s">
        <v>1627</v>
      </c>
      <c r="C23" s="3086" t="s">
        <v>2969</v>
      </c>
      <c r="E23" s="2586"/>
      <c r="F23" s="1247" t="s">
        <v>1641</v>
      </c>
      <c r="G23" s="3087"/>
    </row>
    <row r="24" spans="1:7" ht="14.25" thickBot="1">
      <c r="A24" s="2589"/>
      <c r="B24" s="1247" t="s">
        <v>1628</v>
      </c>
      <c r="C24" s="1248" t="str">
        <f>C10</f>
        <v>城市次干道-崇川路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2806</v>
      </c>
      <c r="B1" s="3045">
        <f>SUM(B14:B23)</f>
        <v>110338.60799999999</v>
      </c>
      <c r="C1" s="3046"/>
      <c r="D1" s="3046"/>
      <c r="E1" s="3046"/>
      <c r="F1" s="3046"/>
    </row>
    <row r="2" spans="1:9" ht="16.5">
      <c r="A2" s="3045" t="s">
        <v>2807</v>
      </c>
      <c r="B2" s="3045">
        <f>SUM(C14:C23)</f>
        <v>22987.21</v>
      </c>
      <c r="C2" s="3046"/>
      <c r="D2" s="3046"/>
      <c r="E2" s="3046"/>
      <c r="F2" s="3046"/>
    </row>
    <row r="3" spans="1:9" ht="16.5">
      <c r="A3" s="3045" t="s">
        <v>2808</v>
      </c>
      <c r="B3" s="3047">
        <f>项目基本情况!D3</f>
        <v>43360</v>
      </c>
      <c r="C3" s="3046"/>
      <c r="D3" s="3046"/>
      <c r="E3" s="3046"/>
      <c r="F3" s="3046"/>
    </row>
    <row r="4" spans="1:9" ht="33">
      <c r="A4" s="3045" t="s">
        <v>2809</v>
      </c>
      <c r="B4" s="3045" t="s">
        <v>2810</v>
      </c>
      <c r="C4" s="3045" t="s">
        <v>2811</v>
      </c>
      <c r="D4" s="3045" t="s">
        <v>2812</v>
      </c>
      <c r="E4" s="3046"/>
      <c r="F4" s="3046"/>
    </row>
    <row r="5" spans="1:9" ht="16.5">
      <c r="A5" s="3045" t="s">
        <v>2813</v>
      </c>
      <c r="B5" s="3045">
        <f ca="1">SUM(D14:D23)</f>
        <v>49234</v>
      </c>
      <c r="C5" s="3045">
        <f ca="1">ROUND(B5*10000/$B$1,0)</f>
        <v>4462</v>
      </c>
      <c r="D5" s="3045">
        <f ca="1">ROUND(B5*10000/$B$2,0)</f>
        <v>21418</v>
      </c>
      <c r="E5" s="3046"/>
      <c r="F5" s="3046"/>
    </row>
    <row r="6" spans="1:9" ht="16.5">
      <c r="A6" s="3045" t="s">
        <v>2814</v>
      </c>
      <c r="B6" s="3045">
        <f ca="1">SUM(G14:G23)</f>
        <v>49234</v>
      </c>
      <c r="C6" s="3045">
        <f t="shared" ref="C6:C8" ca="1" si="0">ROUND(B6*10000/$B$1,0)</f>
        <v>4462</v>
      </c>
      <c r="D6" s="3045">
        <f t="shared" ref="D6:D8" ca="1" si="1">ROUND(B6*10000/$B$2,0)</f>
        <v>21418</v>
      </c>
      <c r="E6" s="3046"/>
      <c r="F6" s="3046"/>
    </row>
    <row r="7" spans="1:9" ht="16.5">
      <c r="A7" s="3045" t="s">
        <v>2815</v>
      </c>
      <c r="B7" s="3045">
        <f>SUM(H14:H23)</f>
        <v>0</v>
      </c>
      <c r="C7" s="3045">
        <f t="shared" si="0"/>
        <v>0</v>
      </c>
      <c r="D7" s="3045">
        <f t="shared" si="1"/>
        <v>0</v>
      </c>
      <c r="E7" s="3046"/>
      <c r="F7" s="3046"/>
    </row>
    <row r="8" spans="1:9" ht="16.5">
      <c r="A8" s="3045" t="s">
        <v>2816</v>
      </c>
      <c r="B8" s="3045">
        <f>SUM(I14:I23)</f>
        <v>0</v>
      </c>
      <c r="C8" s="3045">
        <f t="shared" si="0"/>
        <v>0</v>
      </c>
      <c r="D8" s="3045">
        <f t="shared" si="1"/>
        <v>0</v>
      </c>
      <c r="E8" s="3046"/>
      <c r="F8" s="3046"/>
    </row>
    <row r="9" spans="1:9" ht="16.5">
      <c r="A9" s="3045" t="s">
        <v>2817</v>
      </c>
      <c r="B9" s="3048"/>
      <c r="C9" s="3046"/>
      <c r="D9" s="3046"/>
      <c r="E9" s="3046"/>
      <c r="F9" s="3046"/>
    </row>
    <row r="10" spans="1:9" ht="16.5">
      <c r="A10" s="3045" t="s">
        <v>2818</v>
      </c>
      <c r="B10" s="3048"/>
      <c r="C10" s="3046"/>
      <c r="D10" s="3046"/>
      <c r="E10" s="3046"/>
      <c r="F10" s="3046"/>
    </row>
    <row r="11" spans="1:9" ht="16.5">
      <c r="A11" s="3045" t="s">
        <v>2835</v>
      </c>
      <c r="B11" s="3048"/>
      <c r="C11" s="3046"/>
      <c r="D11" s="3046"/>
      <c r="E11" s="3046"/>
      <c r="F11" s="3046"/>
    </row>
    <row r="12" spans="1:9" ht="16.5">
      <c r="A12" s="3046"/>
      <c r="B12" s="3046"/>
      <c r="C12" s="3046"/>
      <c r="D12" s="3046"/>
      <c r="E12" s="3046"/>
      <c r="F12" s="3046"/>
    </row>
    <row r="13" spans="1:9" ht="33">
      <c r="A13" s="3051" t="s">
        <v>2834</v>
      </c>
      <c r="B13" s="3049" t="s">
        <v>2806</v>
      </c>
      <c r="C13" s="3049" t="s">
        <v>2807</v>
      </c>
      <c r="D13" s="3049" t="s">
        <v>2819</v>
      </c>
      <c r="E13" s="3045" t="s">
        <v>2833</v>
      </c>
      <c r="F13" s="3045" t="s">
        <v>2812</v>
      </c>
      <c r="G13" s="3049" t="s">
        <v>2820</v>
      </c>
      <c r="H13" s="3049" t="s">
        <v>2821</v>
      </c>
      <c r="I13" s="3049" t="s">
        <v>2822</v>
      </c>
    </row>
    <row r="14" spans="1:9" ht="16.5">
      <c r="A14" s="3052" t="s">
        <v>2832</v>
      </c>
      <c r="B14" s="3049">
        <f>结果表!L38</f>
        <v>110338.60799999999</v>
      </c>
      <c r="C14" s="3049">
        <f>结果表!K38</f>
        <v>22987.21</v>
      </c>
      <c r="D14" s="3049">
        <f ca="1">结果表!C42</f>
        <v>49234</v>
      </c>
      <c r="E14" s="3049">
        <f ca="1">ROUND(D14*10000/B14,0)</f>
        <v>4462</v>
      </c>
      <c r="F14" s="3049">
        <f ca="1">ROUND(D14*10000/C14,0)</f>
        <v>21418</v>
      </c>
      <c r="G14" s="3049">
        <f ca="1">结果表!C44</f>
        <v>49234</v>
      </c>
      <c r="H14" s="3049" t="str">
        <f>结果表!C45</f>
        <v>——</v>
      </c>
      <c r="I14" s="3049" t="str">
        <f>结果表!C46</f>
        <v>——</v>
      </c>
    </row>
    <row r="15" spans="1:9" ht="16.5">
      <c r="A15" s="3052" t="s">
        <v>2823</v>
      </c>
      <c r="B15" s="3053"/>
      <c r="C15" s="3053"/>
      <c r="D15" s="3053"/>
      <c r="E15" s="3049" t="e">
        <f t="shared" ref="E15:E23" si="2">ROUND(D15*10000/B15,0)</f>
        <v>#DIV/0!</v>
      </c>
      <c r="F15" s="3049" t="e">
        <f t="shared" ref="F15:F23" si="3">ROUND(D15*10000/C15,0)</f>
        <v>#DIV/0!</v>
      </c>
      <c r="G15" s="3050"/>
      <c r="H15" s="3050"/>
      <c r="I15" s="3053"/>
    </row>
    <row r="16" spans="1:9" ht="16.5">
      <c r="A16" s="3052" t="s">
        <v>2824</v>
      </c>
      <c r="B16" s="3053"/>
      <c r="C16" s="3053"/>
      <c r="D16" s="3053"/>
      <c r="E16" s="3049" t="e">
        <f t="shared" si="2"/>
        <v>#DIV/0!</v>
      </c>
      <c r="F16" s="3049" t="e">
        <f t="shared" si="3"/>
        <v>#DIV/0!</v>
      </c>
      <c r="G16" s="3050"/>
      <c r="H16" s="3050"/>
      <c r="I16" s="3053"/>
    </row>
    <row r="17" spans="1:9" ht="16.5">
      <c r="A17" s="3052" t="s">
        <v>2825</v>
      </c>
      <c r="B17" s="3053"/>
      <c r="C17" s="3053"/>
      <c r="D17" s="3053"/>
      <c r="E17" s="3049" t="e">
        <f t="shared" si="2"/>
        <v>#DIV/0!</v>
      </c>
      <c r="F17" s="3049" t="e">
        <f t="shared" si="3"/>
        <v>#DIV/0!</v>
      </c>
      <c r="G17" s="3050"/>
      <c r="H17" s="3050"/>
      <c r="I17" s="3053"/>
    </row>
    <row r="18" spans="1:9" ht="16.5">
      <c r="A18" s="3052" t="s">
        <v>2826</v>
      </c>
      <c r="B18" s="3053"/>
      <c r="C18" s="3053"/>
      <c r="D18" s="3053"/>
      <c r="E18" s="3049" t="e">
        <f t="shared" si="2"/>
        <v>#DIV/0!</v>
      </c>
      <c r="F18" s="3049" t="e">
        <f t="shared" si="3"/>
        <v>#DIV/0!</v>
      </c>
      <c r="G18" s="3053"/>
      <c r="H18" s="3053"/>
      <c r="I18" s="3053"/>
    </row>
    <row r="19" spans="1:9" ht="16.5">
      <c r="A19" s="3052" t="s">
        <v>2827</v>
      </c>
      <c r="B19" s="3053"/>
      <c r="C19" s="3053"/>
      <c r="D19" s="3053"/>
      <c r="E19" s="3049" t="e">
        <f t="shared" si="2"/>
        <v>#DIV/0!</v>
      </c>
      <c r="F19" s="3049" t="e">
        <f t="shared" si="3"/>
        <v>#DIV/0!</v>
      </c>
      <c r="G19" s="3053"/>
      <c r="H19" s="3053"/>
      <c r="I19" s="3053"/>
    </row>
    <row r="20" spans="1:9" ht="16.5">
      <c r="A20" s="3052" t="s">
        <v>2828</v>
      </c>
      <c r="B20" s="3053"/>
      <c r="C20" s="3053"/>
      <c r="D20" s="3053"/>
      <c r="E20" s="3049" t="e">
        <f t="shared" si="2"/>
        <v>#DIV/0!</v>
      </c>
      <c r="F20" s="3049" t="e">
        <f t="shared" si="3"/>
        <v>#DIV/0!</v>
      </c>
      <c r="G20" s="3053"/>
      <c r="H20" s="3053"/>
      <c r="I20" s="3053"/>
    </row>
    <row r="21" spans="1:9" ht="16.5">
      <c r="A21" s="3052" t="s">
        <v>2829</v>
      </c>
      <c r="B21" s="3053"/>
      <c r="C21" s="3053"/>
      <c r="D21" s="3053"/>
      <c r="E21" s="3049" t="e">
        <f t="shared" si="2"/>
        <v>#DIV/0!</v>
      </c>
      <c r="F21" s="3049" t="e">
        <f t="shared" si="3"/>
        <v>#DIV/0!</v>
      </c>
      <c r="G21" s="3053"/>
      <c r="H21" s="3053"/>
      <c r="I21" s="3053"/>
    </row>
    <row r="22" spans="1:9" ht="16.5">
      <c r="A22" s="3052" t="s">
        <v>2830</v>
      </c>
      <c r="B22" s="3053"/>
      <c r="C22" s="3053"/>
      <c r="D22" s="3053"/>
      <c r="E22" s="3049" t="e">
        <f t="shared" si="2"/>
        <v>#DIV/0!</v>
      </c>
      <c r="F22" s="3049" t="e">
        <f t="shared" si="3"/>
        <v>#DIV/0!</v>
      </c>
      <c r="G22" s="3053"/>
      <c r="H22" s="3053"/>
      <c r="I22" s="3053"/>
    </row>
    <row r="23" spans="1:9" ht="16.5">
      <c r="A23" s="3052" t="s">
        <v>2831</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2018</v>
      </c>
      <c r="B1" s="1776"/>
      <c r="C1" s="1804" t="s">
        <v>2019</v>
      </c>
      <c r="D1" s="1805" t="s">
        <v>3033</v>
      </c>
      <c r="E1" s="1804" t="s">
        <v>2020</v>
      </c>
      <c r="F1" s="1806" t="s">
        <v>3034</v>
      </c>
      <c r="G1" s="311"/>
      <c r="H1" s="311"/>
      <c r="I1" s="311"/>
      <c r="J1" s="2028"/>
      <c r="K1" s="2028"/>
      <c r="L1" s="2028"/>
      <c r="M1" s="2028"/>
      <c r="N1" s="2028"/>
      <c r="O1" s="2028"/>
      <c r="P1" s="2028"/>
      <c r="Q1" s="2028"/>
      <c r="R1" s="2028"/>
      <c r="S1" s="2028"/>
      <c r="T1" s="2028"/>
      <c r="U1" s="2028"/>
      <c r="V1" s="2028"/>
    </row>
    <row r="2" spans="1:22" ht="21.75" customHeight="1" thickBot="1">
      <c r="A2" s="3328" t="str">
        <f>项目基本情况!K2</f>
        <v>南通市新区中央商务区CR0504-A(A-01地块）出让国有建设用地使用权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21" t="s">
        <v>264</v>
      </c>
      <c r="B3" s="3322"/>
      <c r="C3" s="3322"/>
      <c r="D3" s="3322"/>
      <c r="E3" s="3322"/>
      <c r="F3" s="3322"/>
      <c r="G3" s="3322"/>
      <c r="H3" s="3322"/>
      <c r="I3" s="3322"/>
      <c r="J3" s="2029"/>
      <c r="K3" s="2028"/>
      <c r="L3" s="2028"/>
      <c r="M3" s="2028"/>
      <c r="N3" s="2028"/>
      <c r="O3" s="2028"/>
      <c r="P3" s="2028"/>
      <c r="Q3" s="2028"/>
      <c r="R3" s="2028"/>
      <c r="S3" s="2028"/>
      <c r="T3" s="2028"/>
      <c r="U3" s="2028"/>
      <c r="V3" s="2028"/>
    </row>
    <row r="4" spans="1:22" ht="14.25">
      <c r="A4" s="258" t="s">
        <v>265</v>
      </c>
      <c r="B4" s="259" t="s">
        <v>266</v>
      </c>
      <c r="C4" s="260" t="s">
        <v>3035</v>
      </c>
      <c r="D4" s="260" t="s">
        <v>3036</v>
      </c>
      <c r="E4" s="3293" t="s">
        <v>267</v>
      </c>
      <c r="F4" s="3294"/>
      <c r="G4" s="3294"/>
      <c r="H4" s="3294"/>
      <c r="I4" s="332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2" t="s">
        <v>268</v>
      </c>
      <c r="B5" s="3318">
        <v>25</v>
      </c>
      <c r="C5" s="3316"/>
      <c r="D5" s="3320"/>
      <c r="E5" s="261" t="s">
        <v>269</v>
      </c>
      <c r="F5" s="262"/>
      <c r="G5" s="262"/>
      <c r="H5" s="262"/>
      <c r="I5" s="263"/>
      <c r="J5" s="2029"/>
      <c r="K5" s="2028"/>
      <c r="L5" s="2028"/>
      <c r="M5" s="2028"/>
      <c r="N5" s="2028"/>
      <c r="O5" s="2028"/>
      <c r="P5" s="2028"/>
      <c r="Q5" s="2028"/>
      <c r="R5" s="2028"/>
      <c r="S5" s="2028"/>
      <c r="T5" s="2028"/>
      <c r="U5" s="2028"/>
      <c r="V5" s="2028"/>
    </row>
    <row r="6" spans="1:22" ht="14.25">
      <c r="A6" s="3292"/>
      <c r="B6" s="3318"/>
      <c r="C6" s="3319"/>
      <c r="D6" s="3320"/>
      <c r="E6" s="261" t="s">
        <v>270</v>
      </c>
      <c r="F6" s="262"/>
      <c r="G6" s="262"/>
      <c r="H6" s="262"/>
      <c r="I6" s="263"/>
      <c r="J6" s="2029"/>
      <c r="K6" s="2028"/>
      <c r="L6" s="2028"/>
      <c r="M6" s="2028"/>
      <c r="N6" s="2028"/>
      <c r="O6" s="2028"/>
      <c r="P6" s="2028"/>
      <c r="Q6" s="2028"/>
      <c r="R6" s="2028"/>
      <c r="S6" s="2028"/>
      <c r="T6" s="2028"/>
      <c r="U6" s="2028"/>
      <c r="V6" s="2028"/>
    </row>
    <row r="7" spans="1:22" ht="14.25">
      <c r="A7" s="3292"/>
      <c r="B7" s="3318"/>
      <c r="C7" s="3317"/>
      <c r="D7" s="3320"/>
      <c r="E7" s="261" t="s">
        <v>271</v>
      </c>
      <c r="F7" s="262"/>
      <c r="G7" s="262"/>
      <c r="H7" s="262"/>
      <c r="I7" s="263"/>
      <c r="J7" s="2029"/>
      <c r="K7" s="2028"/>
      <c r="L7" s="2028"/>
      <c r="M7" s="2028"/>
      <c r="N7" s="2028"/>
      <c r="O7" s="2028"/>
      <c r="P7" s="2028"/>
      <c r="Q7" s="2028"/>
      <c r="R7" s="2028"/>
      <c r="S7" s="2028"/>
      <c r="T7" s="2028"/>
      <c r="U7" s="2028"/>
      <c r="V7" s="2028"/>
    </row>
    <row r="8" spans="1:22" ht="14.25">
      <c r="A8" s="3292" t="s">
        <v>272</v>
      </c>
      <c r="B8" s="3318">
        <v>15</v>
      </c>
      <c r="C8" s="3316"/>
      <c r="D8" s="3320"/>
      <c r="E8" s="261" t="s">
        <v>273</v>
      </c>
      <c r="F8" s="262"/>
      <c r="G8" s="262"/>
      <c r="H8" s="262"/>
      <c r="I8" s="263"/>
      <c r="J8" s="2029"/>
      <c r="K8" s="2028"/>
      <c r="L8" s="2028"/>
      <c r="M8" s="2028"/>
      <c r="N8" s="2028"/>
      <c r="O8" s="2028"/>
      <c r="P8" s="2028"/>
      <c r="Q8" s="2028"/>
      <c r="R8" s="2028"/>
      <c r="S8" s="2028"/>
      <c r="T8" s="2028"/>
      <c r="U8" s="2028"/>
      <c r="V8" s="2028"/>
    </row>
    <row r="9" spans="1:22" ht="14.25">
      <c r="A9" s="3292"/>
      <c r="B9" s="3318"/>
      <c r="C9" s="3317"/>
      <c r="D9" s="3320"/>
      <c r="E9" s="261" t="s">
        <v>274</v>
      </c>
      <c r="F9" s="262"/>
      <c r="G9" s="262"/>
      <c r="H9" s="262"/>
      <c r="I9" s="263"/>
      <c r="J9" s="2029"/>
      <c r="K9" s="2028"/>
      <c r="L9" s="2028"/>
      <c r="M9" s="2028"/>
      <c r="N9" s="2028"/>
      <c r="O9" s="2028"/>
      <c r="P9" s="2028"/>
      <c r="Q9" s="2028"/>
      <c r="R9" s="2028"/>
      <c r="S9" s="2028"/>
      <c r="T9" s="2028"/>
      <c r="U9" s="2028"/>
      <c r="V9" s="2028"/>
    </row>
    <row r="10" spans="1:22" ht="14.25">
      <c r="A10" s="3292" t="s">
        <v>275</v>
      </c>
      <c r="B10" s="3318">
        <v>15</v>
      </c>
      <c r="C10" s="3316"/>
      <c r="D10" s="3320"/>
      <c r="E10" s="261" t="s">
        <v>276</v>
      </c>
      <c r="F10" s="262"/>
      <c r="G10" s="262"/>
      <c r="H10" s="262"/>
      <c r="I10" s="263"/>
      <c r="J10" s="2029"/>
      <c r="K10" s="2028"/>
      <c r="L10" s="2028"/>
      <c r="M10" s="2028"/>
      <c r="N10" s="2028"/>
      <c r="O10" s="2028"/>
      <c r="P10" s="2028"/>
      <c r="Q10" s="2028"/>
      <c r="R10" s="2028"/>
      <c r="S10" s="2028"/>
      <c r="T10" s="2028"/>
      <c r="U10" s="2028"/>
      <c r="V10" s="2028"/>
    </row>
    <row r="11" spans="1:22" ht="14.25">
      <c r="A11" s="3292"/>
      <c r="B11" s="3318"/>
      <c r="C11" s="3317"/>
      <c r="D11" s="3320"/>
      <c r="E11" s="261" t="s">
        <v>277</v>
      </c>
      <c r="F11" s="262"/>
      <c r="G11" s="262"/>
      <c r="H11" s="262"/>
      <c r="I11" s="263"/>
      <c r="J11" s="2029"/>
      <c r="K11" s="2028"/>
      <c r="L11" s="2028"/>
      <c r="M11" s="2028"/>
      <c r="N11" s="2028"/>
      <c r="O11" s="2028"/>
      <c r="P11" s="2028"/>
      <c r="Q11" s="2028"/>
      <c r="R11" s="2028"/>
      <c r="S11" s="2028"/>
      <c r="T11" s="2028"/>
      <c r="U11" s="2028"/>
      <c r="V11" s="2028"/>
    </row>
    <row r="12" spans="1:22" ht="14.25">
      <c r="A12" s="3292" t="s">
        <v>278</v>
      </c>
      <c r="B12" s="3318">
        <v>15</v>
      </c>
      <c r="C12" s="3316"/>
      <c r="D12" s="3320"/>
      <c r="E12" s="261" t="s">
        <v>279</v>
      </c>
      <c r="F12" s="262"/>
      <c r="G12" s="262"/>
      <c r="H12" s="262"/>
      <c r="I12" s="263"/>
      <c r="J12" s="2029"/>
      <c r="K12" s="2028"/>
      <c r="L12" s="2028"/>
      <c r="M12" s="2028"/>
      <c r="N12" s="2028"/>
      <c r="O12" s="2028"/>
      <c r="P12" s="2028"/>
      <c r="Q12" s="2028"/>
      <c r="R12" s="2028"/>
      <c r="S12" s="2028"/>
      <c r="T12" s="2028"/>
      <c r="U12" s="2028"/>
      <c r="V12" s="2028"/>
    </row>
    <row r="13" spans="1:22" ht="14.25">
      <c r="A13" s="3292"/>
      <c r="B13" s="3318"/>
      <c r="C13" s="3317"/>
      <c r="D13" s="3320"/>
      <c r="E13" s="261" t="s">
        <v>280</v>
      </c>
      <c r="F13" s="262"/>
      <c r="G13" s="262"/>
      <c r="H13" s="262"/>
      <c r="I13" s="263"/>
      <c r="J13" s="2029"/>
      <c r="K13" s="2028"/>
      <c r="L13" s="2028"/>
      <c r="M13" s="2028"/>
      <c r="N13" s="2028"/>
      <c r="O13" s="2028"/>
      <c r="P13" s="2028"/>
      <c r="Q13" s="2028"/>
      <c r="R13" s="2028"/>
      <c r="S13" s="2028"/>
      <c r="T13" s="2028"/>
      <c r="U13" s="2028"/>
      <c r="V13" s="2028"/>
    </row>
    <row r="14" spans="1:22" ht="14.25">
      <c r="A14" s="3292" t="s">
        <v>281</v>
      </c>
      <c r="B14" s="3318">
        <v>30</v>
      </c>
      <c r="C14" s="3316">
        <v>6</v>
      </c>
      <c r="D14" s="3320">
        <v>4</v>
      </c>
      <c r="E14" s="261" t="s">
        <v>282</v>
      </c>
      <c r="F14" s="262"/>
      <c r="G14" s="262"/>
      <c r="H14" s="262"/>
      <c r="I14" s="263"/>
      <c r="J14" s="2029"/>
      <c r="K14" s="2028"/>
      <c r="L14" s="2028"/>
      <c r="M14" s="2028"/>
      <c r="N14" s="2028"/>
      <c r="O14" s="2028"/>
      <c r="P14" s="2028"/>
      <c r="Q14" s="2028"/>
      <c r="R14" s="2028"/>
      <c r="S14" s="2028"/>
      <c r="T14" s="2028"/>
      <c r="U14" s="2028"/>
      <c r="V14" s="2028"/>
    </row>
    <row r="15" spans="1:22" ht="14.25">
      <c r="A15" s="3292"/>
      <c r="B15" s="3318"/>
      <c r="C15" s="3319"/>
      <c r="D15" s="3320"/>
      <c r="E15" s="261" t="s">
        <v>283</v>
      </c>
      <c r="F15" s="262"/>
      <c r="G15" s="262"/>
      <c r="H15" s="262"/>
      <c r="I15" s="263"/>
      <c r="J15" s="2029"/>
      <c r="K15" s="2028"/>
      <c r="L15" s="2028"/>
      <c r="M15" s="2028"/>
      <c r="N15" s="2028"/>
      <c r="O15" s="2028"/>
      <c r="P15" s="2028"/>
      <c r="Q15" s="2028"/>
      <c r="R15" s="2028"/>
      <c r="S15" s="2028"/>
      <c r="T15" s="2028"/>
      <c r="U15" s="2028"/>
      <c r="V15" s="2028"/>
    </row>
    <row r="16" spans="1:22" ht="14.25">
      <c r="A16" s="3292"/>
      <c r="B16" s="3318"/>
      <c r="C16" s="3317"/>
      <c r="D16" s="3320"/>
      <c r="E16" s="261" t="s">
        <v>284</v>
      </c>
      <c r="F16" s="262"/>
      <c r="G16" s="262"/>
      <c r="H16" s="262"/>
      <c r="I16" s="263"/>
      <c r="J16" s="2029"/>
      <c r="K16" s="2028"/>
      <c r="L16" s="2028"/>
      <c r="M16" s="2028"/>
      <c r="N16" s="2028"/>
      <c r="O16" s="2028"/>
      <c r="P16" s="2028"/>
      <c r="Q16" s="2028"/>
      <c r="R16" s="2028"/>
      <c r="S16" s="2028"/>
      <c r="T16" s="2028"/>
      <c r="U16" s="2028"/>
      <c r="V16" s="2028"/>
    </row>
    <row r="17" spans="1:26" ht="15">
      <c r="A17" s="264" t="s">
        <v>285</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286</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287</v>
      </c>
      <c r="B19" s="269" t="s">
        <v>288</v>
      </c>
      <c r="C19" s="270">
        <f ca="1">SUMIF(INDIRECT("'"&amp;C4&amp;"'"&amp;"!A:A"),结果表!B19,INDIRECT("'"&amp;C4&amp;"'"&amp;"!B:B"))</f>
        <v>42756</v>
      </c>
      <c r="D19" s="271">
        <f ca="1">SUMIF(INDIRECT("'"&amp;D4&amp;"'"&amp;"!A:A"),结果表!B19,INDIRECT("'"&amp;D4&amp;"'"&amp;"!B:B"))</f>
        <v>58951</v>
      </c>
      <c r="E19" s="268" t="s">
        <v>289</v>
      </c>
      <c r="F19" s="269" t="s">
        <v>288</v>
      </c>
      <c r="G19" s="272">
        <f ca="1">ROUND(C19*$C$18+D19*$D$18,0)</f>
        <v>49234</v>
      </c>
      <c r="H19" s="273" t="s">
        <v>290</v>
      </c>
      <c r="I19" s="311"/>
      <c r="J19" s="2028"/>
      <c r="K19" s="2028"/>
      <c r="L19" s="2028"/>
      <c r="M19" s="2028"/>
      <c r="N19" s="2028"/>
      <c r="O19" s="2028"/>
      <c r="P19" s="2028"/>
      <c r="Q19" s="2028"/>
      <c r="R19" s="2028"/>
      <c r="S19" s="2028"/>
      <c r="T19" s="2028"/>
      <c r="U19" s="2028"/>
      <c r="V19" s="2028"/>
    </row>
    <row r="20" spans="1:26" ht="15">
      <c r="A20" s="274"/>
      <c r="B20" s="275" t="s">
        <v>291</v>
      </c>
      <c r="C20" s="276">
        <f ca="1">SUMIF(INDIRECT("'"&amp;C4&amp;"'"&amp;"!A:A"),结果表!B20,INDIRECT("'"&amp;C4&amp;"'"&amp;"!B:B"))</f>
        <v>3875</v>
      </c>
      <c r="D20" s="277">
        <f ca="1">SUMIF(INDIRECT("'"&amp;D4&amp;"'"&amp;"!A:A"),结果表!B20,INDIRECT("'"&amp;D4&amp;"'"&amp;"!B:B"))</f>
        <v>5343</v>
      </c>
      <c r="E20" s="274"/>
      <c r="F20" s="275" t="s">
        <v>291</v>
      </c>
      <c r="G20" s="278">
        <f ca="1">ROUND(C20*$C$18+D20*$D$18,0)</f>
        <v>4462</v>
      </c>
      <c r="H20" s="279" t="s">
        <v>292</v>
      </c>
      <c r="I20" s="311"/>
      <c r="J20" s="2028"/>
      <c r="K20" s="2028"/>
      <c r="L20" s="2028"/>
      <c r="M20" s="2028"/>
      <c r="N20" s="2028"/>
      <c r="O20" s="2028"/>
      <c r="P20" s="2028"/>
      <c r="Q20" s="2028"/>
      <c r="R20" s="2028"/>
      <c r="S20" s="2028"/>
      <c r="T20" s="2028"/>
      <c r="U20" s="2028"/>
      <c r="V20" s="2028"/>
    </row>
    <row r="21" spans="1:26" ht="15" customHeight="1">
      <c r="A21" s="274"/>
      <c r="B21" s="280" t="s">
        <v>293</v>
      </c>
      <c r="C21" s="281">
        <f ca="1">SUMIF(INDIRECT("'"&amp;C4&amp;"'"&amp;"!A:A"),结果表!B21,INDIRECT("'"&amp;C4&amp;"'"&amp;"!B:B"))</f>
        <v>18600</v>
      </c>
      <c r="D21" s="151">
        <f ca="1">SUMIF(INDIRECT("'"&amp;D4&amp;"'"&amp;"!A:A"),结果表!B21,INDIRECT("'"&amp;D4&amp;"'"&amp;"!B:B"))</f>
        <v>25645</v>
      </c>
      <c r="E21" s="274"/>
      <c r="F21" s="280" t="s">
        <v>293</v>
      </c>
      <c r="G21" s="282">
        <f ca="1">ROUND(C21*$C$18+D21*$D$18,0)</f>
        <v>21418</v>
      </c>
      <c r="H21" s="1250" t="s">
        <v>292</v>
      </c>
      <c r="I21" s="311"/>
      <c r="J21" s="2028"/>
      <c r="K21" s="2028"/>
      <c r="L21" s="2028"/>
      <c r="M21" s="2028"/>
      <c r="N21" s="2028"/>
      <c r="O21" s="2028"/>
      <c r="P21" s="2028"/>
      <c r="Q21" s="2028"/>
      <c r="R21" s="2028"/>
      <c r="S21" s="2028"/>
      <c r="T21" s="2028"/>
      <c r="U21" s="2028"/>
      <c r="V21" s="2028"/>
    </row>
    <row r="22" spans="1:26" ht="15.75" thickBot="1">
      <c r="A22" s="126" t="s">
        <v>294</v>
      </c>
      <c r="B22" s="1251"/>
      <c r="C22" s="1252"/>
      <c r="D22" s="283">
        <f ca="1">IF(C19&lt;D19,D19/C19-1,C19/D19-1)</f>
        <v>0.37877724763775844</v>
      </c>
      <c r="E22" s="284"/>
      <c r="F22" s="285"/>
      <c r="G22" s="286">
        <f ca="1">ROUND(G19/('数据-汇总表'!D3/666.67),0)</f>
        <v>1428</v>
      </c>
      <c r="H22" s="287" t="s">
        <v>295</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8" t="s">
        <v>296</v>
      </c>
      <c r="B24" s="269" t="s">
        <v>288</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9"/>
      <c r="B25" s="1320" t="s">
        <v>297</v>
      </c>
      <c r="C25" s="290">
        <f>IF(B30=0,0,C30)</f>
        <v>0</v>
      </c>
      <c r="D25" s="291"/>
      <c r="E25" s="311"/>
      <c r="F25" s="311"/>
      <c r="G25" s="311"/>
      <c r="H25" s="311"/>
      <c r="I25" s="311"/>
      <c r="J25" s="2028"/>
      <c r="K25" s="1254" t="str">
        <f ca="1">项目基本情况!B16&amp;"国有建设用地使用权价格："&amp;O38&amp;"万元"</f>
        <v>出让国有建设用地使用权价格：49234万元</v>
      </c>
      <c r="L25" s="1255"/>
      <c r="M25" s="1255"/>
      <c r="N25" s="1255"/>
      <c r="O25" s="1256"/>
      <c r="P25" s="2028"/>
      <c r="Q25" s="2028"/>
      <c r="R25" s="2028"/>
      <c r="S25" s="2028"/>
      <c r="T25" s="2028"/>
      <c r="U25" s="2028"/>
      <c r="V25" s="2028"/>
    </row>
    <row r="26" spans="1:26" s="1253" customFormat="1" ht="18">
      <c r="A26" s="293" t="s">
        <v>298</v>
      </c>
      <c r="B26" s="294" t="s">
        <v>299</v>
      </c>
      <c r="C26" s="294" t="s">
        <v>300</v>
      </c>
      <c r="D26" s="295" t="s">
        <v>301</v>
      </c>
      <c r="E26" s="311"/>
      <c r="F26" s="311"/>
      <c r="G26" s="311"/>
      <c r="H26" s="311"/>
      <c r="I26" s="311"/>
      <c r="J26" s="2028"/>
      <c r="K26" s="1257" t="str">
        <f ca="1">"大写金额：人民币"&amp;NUMBERSTRING(INT(O38*10000),2)&amp;"元整"</f>
        <v>大写金额：人民币肆亿玖仟贰佰叁拾肆万元整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单位面积地价：21418元/平方米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楼面地价：4462元/平方米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抵押价格：49234万元</v>
      </c>
      <c r="L29" s="1251"/>
      <c r="M29" s="1251"/>
      <c r="N29" s="1251"/>
      <c r="O29" s="1250"/>
      <c r="P29" s="2028"/>
      <c r="V29" s="2028"/>
    </row>
    <row r="30" spans="1:26" ht="18.75" thickBot="1">
      <c r="A30" s="3129" t="s">
        <v>302</v>
      </c>
      <c r="B30" s="309"/>
      <c r="C30" s="309"/>
      <c r="D30" s="310"/>
      <c r="E30" s="3130" t="s">
        <v>2925</v>
      </c>
      <c r="F30" s="311"/>
      <c r="G30" s="311"/>
      <c r="H30" s="311"/>
      <c r="I30" s="311"/>
      <c r="J30" s="2028"/>
      <c r="K30" s="1257" t="str">
        <f ca="1">IF(K29="——","——","大写金额：人民币"&amp;NUMBERSTRING(INT(O39*10000),2)&amp;"元整")</f>
        <v>大写金额：人民币肆亿玖仟贰佰叁拾肆万元整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303</v>
      </c>
      <c r="B32" s="1380" t="s">
        <v>1651</v>
      </c>
      <c r="C32" s="1381">
        <f ca="1">G19-C24</f>
        <v>49234</v>
      </c>
      <c r="D32" s="1382" t="s">
        <v>1652</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306</v>
      </c>
      <c r="B33" s="1383" t="s">
        <v>1653</v>
      </c>
      <c r="C33" s="264">
        <f ca="1">ROUND(C32*10000/'数据-汇总表'!E3,0)</f>
        <v>4462</v>
      </c>
      <c r="D33" s="1384" t="s">
        <v>1654</v>
      </c>
      <c r="E33" s="3298" t="s">
        <v>304</v>
      </c>
      <c r="F33" s="296" t="s">
        <v>305</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1655</v>
      </c>
      <c r="C34" s="264">
        <f ca="1">ROUND(C32*10000/'数据-汇总表'!D3,0)</f>
        <v>21418</v>
      </c>
      <c r="D34" s="1386" t="s">
        <v>1654</v>
      </c>
      <c r="E34" s="3339"/>
      <c r="F34" s="127" t="s">
        <v>307</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1428</v>
      </c>
      <c r="D35" s="1389" t="s">
        <v>1656</v>
      </c>
      <c r="E35" s="3340"/>
      <c r="F35" s="301" t="s">
        <v>308</v>
      </c>
      <c r="G35" s="981"/>
      <c r="H35" s="980" t="s">
        <v>309</v>
      </c>
      <c r="I35" s="311"/>
      <c r="J35" s="2028"/>
      <c r="K35" s="3313" t="s">
        <v>316</v>
      </c>
      <c r="L35" s="3313" t="s">
        <v>317</v>
      </c>
      <c r="M35" s="1263" t="s">
        <v>318</v>
      </c>
      <c r="N35" s="3313" t="s">
        <v>319</v>
      </c>
      <c r="O35" s="3313" t="s">
        <v>320</v>
      </c>
      <c r="P35" s="2028"/>
      <c r="V35" s="2028"/>
    </row>
    <row r="36" spans="1:26" ht="16.5" customHeight="1">
      <c r="A36" s="303" t="s">
        <v>310</v>
      </c>
      <c r="B36" s="304" t="s">
        <v>299</v>
      </c>
      <c r="C36" s="305" t="s">
        <v>311</v>
      </c>
      <c r="D36" s="305" t="s">
        <v>312</v>
      </c>
      <c r="E36" s="306" t="s">
        <v>313</v>
      </c>
      <c r="F36" s="311"/>
      <c r="G36" s="311"/>
      <c r="H36" s="311"/>
      <c r="I36" s="311"/>
      <c r="J36" s="2030"/>
      <c r="K36" s="3314"/>
      <c r="L36" s="3314"/>
      <c r="M36" s="1265" t="s">
        <v>321</v>
      </c>
      <c r="N36" s="3314"/>
      <c r="O36" s="3314"/>
      <c r="P36" s="2028"/>
      <c r="V36" s="2028"/>
    </row>
    <row r="37" spans="1:26" ht="16.5" customHeight="1" thickBot="1">
      <c r="A37" s="1259" t="s">
        <v>314</v>
      </c>
      <c r="B37" s="307"/>
      <c r="C37" s="294"/>
      <c r="D37" s="294"/>
      <c r="E37" s="295"/>
      <c r="F37" s="311"/>
      <c r="G37" s="311"/>
      <c r="H37" s="311"/>
      <c r="I37" s="311"/>
      <c r="J37" s="2030"/>
      <c r="K37" s="3315"/>
      <c r="L37" s="3315"/>
      <c r="M37" s="1266"/>
      <c r="N37" s="3315"/>
      <c r="O37" s="3315"/>
      <c r="P37" s="2028"/>
      <c r="V37" s="2028"/>
    </row>
    <row r="38" spans="1:26" ht="16.5" customHeight="1" thickBot="1">
      <c r="A38" s="1259" t="s">
        <v>315</v>
      </c>
      <c r="B38" s="307"/>
      <c r="C38" s="294"/>
      <c r="D38" s="294"/>
      <c r="E38" s="295"/>
      <c r="F38" s="311"/>
      <c r="G38" s="311"/>
      <c r="H38" s="311"/>
      <c r="I38" s="311"/>
      <c r="J38" s="2030"/>
      <c r="K38" s="1267">
        <f>'数据-汇总表'!D3</f>
        <v>22987.21</v>
      </c>
      <c r="L38" s="1268">
        <f>'数据-汇总表'!E3</f>
        <v>110338.60799999999</v>
      </c>
      <c r="M38" s="1268">
        <f ca="1">C34</f>
        <v>21418</v>
      </c>
      <c r="N38" s="1268">
        <f ca="1">C33</f>
        <v>4462</v>
      </c>
      <c r="O38" s="1269">
        <f ca="1">C32</f>
        <v>49234</v>
      </c>
      <c r="P38" s="2028"/>
      <c r="V38" s="2028"/>
    </row>
    <row r="39" spans="1:26" ht="16.5" customHeight="1" thickBot="1">
      <c r="A39" s="1264"/>
      <c r="B39" s="308"/>
      <c r="C39" s="309"/>
      <c r="D39" s="309"/>
      <c r="E39" s="310"/>
      <c r="F39" s="311"/>
      <c r="G39" s="311"/>
      <c r="H39" s="311"/>
      <c r="I39" s="311"/>
      <c r="J39" s="2030"/>
      <c r="K39" s="3358" t="str">
        <f>MID(A44,3,LEN(A44)-2)</f>
        <v>抵押价格</v>
      </c>
      <c r="L39" s="3359"/>
      <c r="M39" s="3359"/>
      <c r="N39" s="3360"/>
      <c r="O39" s="1391">
        <f ca="1">C44</f>
        <v>49234</v>
      </c>
      <c r="P39" s="2028"/>
      <c r="V39" s="2028"/>
    </row>
    <row r="40" spans="1:26" ht="19.5" thickBot="1">
      <c r="A40" s="104" t="s">
        <v>839</v>
      </c>
      <c r="B40" s="311"/>
      <c r="C40" s="311"/>
      <c r="D40" s="311"/>
      <c r="E40" s="311"/>
      <c r="F40" s="311"/>
      <c r="G40" s="311"/>
      <c r="H40" s="311"/>
      <c r="I40" s="311"/>
      <c r="J40" s="2030"/>
      <c r="K40" s="3358" t="str">
        <f t="shared" ref="K40:K41" si="0">MID(A45,3,LEN(A45)-2)</f>
        <v/>
      </c>
      <c r="L40" s="3359"/>
      <c r="M40" s="3359"/>
      <c r="N40" s="3360"/>
      <c r="O40" s="1391" t="str">
        <f>C45</f>
        <v>——</v>
      </c>
      <c r="P40" s="2028"/>
      <c r="V40" s="2028"/>
    </row>
    <row r="41" spans="1:26" ht="16.5" thickBot="1">
      <c r="A41" s="312" t="s">
        <v>322</v>
      </c>
      <c r="B41" s="313"/>
      <c r="C41" s="314" t="s">
        <v>323</v>
      </c>
      <c r="D41" s="315" t="s">
        <v>324</v>
      </c>
      <c r="E41" s="315" t="s">
        <v>325</v>
      </c>
      <c r="F41" s="316" t="s">
        <v>326</v>
      </c>
      <c r="G41" s="311"/>
      <c r="H41" s="311"/>
      <c r="I41" s="311"/>
      <c r="J41" s="2030"/>
      <c r="K41" s="3358" t="str">
        <f t="shared" si="0"/>
        <v/>
      </c>
      <c r="L41" s="3359"/>
      <c r="M41" s="3359"/>
      <c r="N41" s="3360"/>
      <c r="O41" s="1391" t="str">
        <f>C46</f>
        <v>——</v>
      </c>
      <c r="P41" s="2028"/>
      <c r="V41" s="2028"/>
    </row>
    <row r="42" spans="1:26" ht="29.25">
      <c r="A42" s="3300" t="s">
        <v>2030</v>
      </c>
      <c r="B42" s="3301"/>
      <c r="C42" s="264">
        <f ca="1">C32</f>
        <v>49234</v>
      </c>
      <c r="D42" s="317">
        <f ca="1">C33</f>
        <v>4462</v>
      </c>
      <c r="E42" s="317">
        <f ca="1">C34</f>
        <v>21418</v>
      </c>
      <c r="F42" s="318">
        <f ca="1">C35</f>
        <v>1428</v>
      </c>
      <c r="G42" s="311"/>
      <c r="H42" s="311"/>
      <c r="I42" s="319"/>
      <c r="J42" s="2030"/>
      <c r="K42" s="1270" t="s">
        <v>327</v>
      </c>
      <c r="L42" s="2047" t="s">
        <v>328</v>
      </c>
      <c r="M42" s="1271" t="s">
        <v>329</v>
      </c>
      <c r="N42" s="2048" t="s">
        <v>330</v>
      </c>
      <c r="O42" s="2049" t="s">
        <v>331</v>
      </c>
      <c r="P42" s="2028"/>
      <c r="V42" s="2028"/>
    </row>
    <row r="43" spans="1:26" ht="30">
      <c r="A43" s="3311" t="s">
        <v>2692</v>
      </c>
      <c r="B43" s="3312"/>
      <c r="C43" s="264">
        <f>IF(H33="正常操作",G33+G34+G35,G34+G35)</f>
        <v>0</v>
      </c>
      <c r="D43" s="317" t="s">
        <v>42</v>
      </c>
      <c r="E43" s="317" t="s">
        <v>43</v>
      </c>
      <c r="F43" s="318" t="s">
        <v>43</v>
      </c>
      <c r="G43" s="2866" t="s">
        <v>918</v>
      </c>
      <c r="H43" s="311"/>
      <c r="I43" s="319"/>
      <c r="J43" s="2030"/>
      <c r="K43" s="1272" t="str">
        <f>C4</f>
        <v>比较法-住宅、综合</v>
      </c>
      <c r="L43" s="1273">
        <f ca="1">IF(L42="估价结果/万元",C19,C20)</f>
        <v>42756</v>
      </c>
      <c r="M43" s="1274">
        <f>C18</f>
        <v>0.6</v>
      </c>
      <c r="N43" s="1275">
        <f ca="1">IF(N42="测算结果/万元",G19,G20)</f>
        <v>49234</v>
      </c>
      <c r="O43" s="1276">
        <f ca="1">IF(O42="最终结果/万元",C32,C33)</f>
        <v>49234</v>
      </c>
      <c r="P43" s="2028"/>
      <c r="V43" s="2028"/>
    </row>
    <row r="44" spans="1:26" ht="30.75" thickBot="1">
      <c r="A44" s="3300" t="str">
        <f>IF(OR(项目基本情况!E8="抵押价格",项目基本情况!E8="已注销及未注销"),"3.抵押价格","——")</f>
        <v>3.抵押价格</v>
      </c>
      <c r="B44" s="3301"/>
      <c r="C44" s="264">
        <f ca="1">IF(A44="——","——",C42-C43)</f>
        <v>49234</v>
      </c>
      <c r="D44" s="317">
        <f ca="1">ROUND(C44*10000/'数据-汇总表'!E3,0)</f>
        <v>4462</v>
      </c>
      <c r="E44" s="317">
        <f ca="1">ROUND(C44*10000/'数据-汇总表'!D3,0)</f>
        <v>21418</v>
      </c>
      <c r="F44" s="318">
        <f ca="1">ROUND(C44/('数据-汇总表'!D3/666.67),0)</f>
        <v>1428</v>
      </c>
      <c r="G44" s="311"/>
      <c r="H44" s="311"/>
      <c r="I44" s="319"/>
      <c r="J44" s="2030"/>
      <c r="K44" s="1277" t="str">
        <f>D4</f>
        <v>剩余法-待开发</v>
      </c>
      <c r="L44" s="1278">
        <f ca="1">IF(L42="估价结果/万元",D19,D20)</f>
        <v>58951</v>
      </c>
      <c r="M44" s="1279">
        <f>D18</f>
        <v>0.4</v>
      </c>
      <c r="N44" s="1280"/>
      <c r="O44" s="1281"/>
      <c r="P44" s="2028"/>
      <c r="V44" s="2028"/>
    </row>
    <row r="45" spans="1:26" ht="15">
      <c r="A45" s="3306" t="str">
        <f>IF(项目基本情况!E8="已注销及未注销","4.抵押担保权已注销时的抵押价格",IF(项目基本情况!E8="已注销","3.抵押担保权已注销时的抵押价格","——"))</f>
        <v>——</v>
      </c>
      <c r="B45" s="330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332</v>
      </c>
      <c r="B47" s="1282"/>
      <c r="C47" s="322" t="s">
        <v>333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334</v>
      </c>
      <c r="G53" s="337"/>
      <c r="H53" s="337"/>
      <c r="I53" s="338" t="s">
        <v>335</v>
      </c>
      <c r="J53" s="2031"/>
      <c r="K53" s="2028"/>
      <c r="L53" s="2028"/>
      <c r="M53" s="2028"/>
      <c r="N53" s="2028"/>
      <c r="O53" s="2028"/>
      <c r="P53" s="2028"/>
      <c r="Q53" s="2028"/>
      <c r="R53" s="2028"/>
      <c r="S53" s="2028"/>
      <c r="T53" s="2028"/>
      <c r="U53" s="2028"/>
      <c r="V53" s="2028"/>
    </row>
    <row r="54" spans="1:22" ht="12.75">
      <c r="A54" s="257"/>
      <c r="B54" s="339" t="s">
        <v>336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337</v>
      </c>
      <c r="J56" s="2031"/>
      <c r="K56" s="2028"/>
      <c r="L56" s="2028"/>
      <c r="M56" s="2028"/>
      <c r="N56" s="2028"/>
      <c r="O56" s="2028"/>
      <c r="P56" s="2028"/>
      <c r="Q56" s="2028"/>
      <c r="R56" s="2028"/>
      <c r="S56" s="2028"/>
      <c r="T56" s="2028"/>
      <c r="U56" s="2028"/>
      <c r="V56" s="2028"/>
    </row>
    <row r="57" spans="1:22" ht="12.75">
      <c r="A57" s="257"/>
      <c r="B57" s="339" t="s">
        <v>338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7" t="s">
        <v>340</v>
      </c>
      <c r="B63" s="3348"/>
      <c r="C63" s="3349"/>
      <c r="D63" s="341">
        <f ca="1">ROUND(C42*F63,0)</f>
        <v>29540</v>
      </c>
      <c r="E63" s="302" t="s">
        <v>341</v>
      </c>
      <c r="F63" s="342">
        <v>0.6</v>
      </c>
      <c r="G63" s="343" t="s">
        <v>342</v>
      </c>
      <c r="H63" s="311"/>
      <c r="I63" s="311"/>
      <c r="J63" s="2028"/>
      <c r="K63" s="2028"/>
      <c r="L63" s="2028"/>
      <c r="M63" s="2028"/>
      <c r="N63" s="2028"/>
      <c r="O63" s="2028"/>
      <c r="P63" s="311"/>
      <c r="Q63" s="2028"/>
      <c r="R63" s="2028"/>
      <c r="S63" s="2028"/>
      <c r="T63" s="2028"/>
      <c r="U63" s="2028"/>
      <c r="V63" s="2028"/>
    </row>
    <row r="64" spans="1:22" ht="14.25" customHeight="1">
      <c r="A64" s="3308" t="s">
        <v>344</v>
      </c>
      <c r="B64" s="3309"/>
      <c r="C64" s="3309"/>
      <c r="D64" s="3309"/>
      <c r="E64" s="3309"/>
      <c r="F64" s="3309"/>
      <c r="G64" s="3310"/>
      <c r="H64" s="1287"/>
      <c r="I64" s="947"/>
      <c r="J64" s="1990"/>
      <c r="K64" s="1560" t="s">
        <v>343</v>
      </c>
      <c r="L64" s="11"/>
      <c r="M64" s="11"/>
      <c r="N64" s="11"/>
      <c r="O64" s="11"/>
      <c r="P64" s="311"/>
      <c r="Q64" s="2028"/>
      <c r="R64" s="2028"/>
      <c r="S64" s="2028"/>
      <c r="T64" s="2028"/>
      <c r="U64" s="2028"/>
      <c r="V64" s="2028"/>
    </row>
    <row r="65" spans="1:22" ht="12" customHeight="1">
      <c r="A65" s="344" t="s">
        <v>346</v>
      </c>
      <c r="B65" s="345"/>
      <c r="C65" s="346"/>
      <c r="D65" s="347" t="s">
        <v>347</v>
      </c>
      <c r="E65" s="53" t="s">
        <v>348</v>
      </c>
      <c r="F65" s="348" t="s">
        <v>349</v>
      </c>
      <c r="G65" s="349" t="s">
        <v>350</v>
      </c>
      <c r="H65" s="1287"/>
      <c r="I65" s="947"/>
      <c r="J65" s="1990"/>
      <c r="K65" s="1288"/>
      <c r="L65" s="1289"/>
      <c r="M65" s="1289"/>
      <c r="N65" s="1321" t="s">
        <v>345</v>
      </c>
      <c r="O65" s="1322"/>
      <c r="P65" s="1323"/>
      <c r="Q65" s="2028"/>
      <c r="R65" s="2028"/>
      <c r="S65" s="2028"/>
      <c r="T65" s="2028"/>
      <c r="U65" s="2028"/>
      <c r="V65" s="2028"/>
    </row>
    <row r="66" spans="1:22" ht="25.5">
      <c r="A66" s="3304" t="s">
        <v>352</v>
      </c>
      <c r="B66" s="3305"/>
      <c r="C66" s="3305"/>
      <c r="D66" s="261">
        <f ca="1">IF(H66="情况1",0,IF(H66="情况2",D70,IF(H66="情况3",D71,IF(H66="情况4",D72))))</f>
        <v>1575</v>
      </c>
      <c r="E66" s="992" t="str">
        <f>IF(H66="情况4","(销售额-原购置价)×税（费）率","销售额×税（费）率")</f>
        <v>销售额×税（费）率</v>
      </c>
      <c r="F66" s="350">
        <f>IF(H66="情况1","免征",'数据-取费表'!B41)</f>
        <v>5.6000000000000001E-2</v>
      </c>
      <c r="G66" s="351" t="s">
        <v>353</v>
      </c>
      <c r="H66" s="191" t="s">
        <v>354</v>
      </c>
      <c r="I66" s="1287"/>
      <c r="J66" s="2034"/>
      <c r="K66" s="1290">
        <v>1</v>
      </c>
      <c r="L66" s="3362" t="s">
        <v>351</v>
      </c>
      <c r="M66" s="3363"/>
      <c r="N66" s="2458"/>
      <c r="O66" s="2459"/>
      <c r="P66" s="2460"/>
      <c r="Q66" s="2028"/>
      <c r="R66" s="2028"/>
      <c r="S66" s="2028"/>
      <c r="T66" s="2028"/>
      <c r="U66" s="2028"/>
      <c r="V66" s="2028"/>
    </row>
    <row r="67" spans="1:22" ht="25.5" customHeight="1">
      <c r="A67" s="352" t="s">
        <v>356</v>
      </c>
      <c r="B67" s="3295" t="s">
        <v>357</v>
      </c>
      <c r="C67" s="3295"/>
      <c r="D67" s="353">
        <v>0</v>
      </c>
      <c r="E67" s="41" t="s">
        <v>358</v>
      </c>
      <c r="F67" s="62" t="s">
        <v>20</v>
      </c>
      <c r="G67" s="3350"/>
      <c r="H67" s="311"/>
      <c r="I67" s="1291"/>
      <c r="J67" s="2035"/>
      <c r="K67" s="1976">
        <v>2</v>
      </c>
      <c r="L67" s="3361" t="s">
        <v>355</v>
      </c>
      <c r="M67" s="3361"/>
      <c r="N67" s="1324">
        <f>'数据-取费表'!B2</f>
        <v>43360</v>
      </c>
      <c r="O67" s="1324"/>
      <c r="P67" s="1324"/>
      <c r="Q67" s="2028"/>
      <c r="R67" s="2028"/>
      <c r="S67" s="2028"/>
      <c r="T67" s="2028"/>
      <c r="U67" s="2028"/>
      <c r="V67" s="2028"/>
    </row>
    <row r="68" spans="1:22" ht="25.5" customHeight="1">
      <c r="A68" s="354"/>
      <c r="B68" s="3295" t="s">
        <v>360</v>
      </c>
      <c r="C68" s="3295"/>
      <c r="D68" s="355"/>
      <c r="E68" s="77"/>
      <c r="F68" s="356"/>
      <c r="G68" s="3351"/>
      <c r="H68" s="311"/>
      <c r="I68" s="1291"/>
      <c r="J68" s="2035"/>
      <c r="K68" s="1976">
        <v>3</v>
      </c>
      <c r="L68" s="3361" t="s">
        <v>359</v>
      </c>
      <c r="M68" s="3361"/>
      <c r="N68" s="1292">
        <f ca="1">C42</f>
        <v>49234</v>
      </c>
      <c r="O68" s="1292"/>
      <c r="P68" s="1292"/>
      <c r="Q68" s="2028"/>
      <c r="R68" s="2028"/>
      <c r="S68" s="2028"/>
      <c r="T68" s="2028"/>
      <c r="U68" s="2028"/>
      <c r="V68" s="2028"/>
    </row>
    <row r="69" spans="1:22" ht="12" customHeight="1">
      <c r="A69" s="357"/>
      <c r="B69" s="3295" t="s">
        <v>361</v>
      </c>
      <c r="C69" s="3295"/>
      <c r="D69" s="358"/>
      <c r="E69" s="73"/>
      <c r="F69" s="356"/>
      <c r="G69" s="3352"/>
      <c r="H69" s="311"/>
      <c r="I69" s="1291"/>
      <c r="J69" s="2035"/>
      <c r="K69" s="1293">
        <v>4</v>
      </c>
      <c r="L69" s="3366" t="s">
        <v>2845</v>
      </c>
      <c r="M69" s="3367"/>
      <c r="N69" s="1294">
        <f ca="1">C44</f>
        <v>49234</v>
      </c>
      <c r="O69" s="1294"/>
      <c r="P69" s="1294"/>
      <c r="Q69" s="2028"/>
      <c r="R69" s="2028"/>
      <c r="S69" s="2028"/>
      <c r="T69" s="2028"/>
      <c r="U69" s="2028"/>
      <c r="V69" s="2028"/>
    </row>
    <row r="70" spans="1:22" ht="24" customHeight="1">
      <c r="A70" s="359" t="s">
        <v>362</v>
      </c>
      <c r="B70" s="3295" t="s">
        <v>363</v>
      </c>
      <c r="C70" s="3295"/>
      <c r="D70" s="358">
        <f ca="1">ROUND(D63*'数据-取费表'!B41/(1+'数据-取费表'!C42),0)</f>
        <v>1575</v>
      </c>
      <c r="E70" s="17" t="s">
        <v>364</v>
      </c>
      <c r="F70" s="360">
        <f>'数据-取费表'!B41</f>
        <v>5.6000000000000001E-2</v>
      </c>
      <c r="G70" s="361"/>
      <c r="H70" s="311"/>
      <c r="I70" s="1291"/>
      <c r="J70" s="2035"/>
      <c r="K70" s="3062"/>
      <c r="L70" s="3063"/>
      <c r="M70" s="3063"/>
      <c r="N70" s="3064" t="s">
        <v>2850</v>
      </c>
      <c r="O70" s="3063"/>
      <c r="P70" s="3065"/>
      <c r="Q70" s="2028"/>
      <c r="R70" s="2028"/>
      <c r="S70" s="2028"/>
      <c r="T70" s="2028"/>
      <c r="U70" s="2028"/>
      <c r="V70" s="2028"/>
    </row>
    <row r="71" spans="1:22" ht="12" customHeight="1">
      <c r="A71" s="359" t="s">
        <v>370</v>
      </c>
      <c r="B71" s="3296" t="s">
        <v>371</v>
      </c>
      <c r="C71" s="3297"/>
      <c r="D71" s="358">
        <f ca="1">ROUND(D63*'数据-取费表'!B41/(1+'数据-取费表'!C42),0)</f>
        <v>1575</v>
      </c>
      <c r="E71" s="17" t="s">
        <v>364</v>
      </c>
      <c r="F71" s="360">
        <f>'数据-取费表'!B41</f>
        <v>5.6000000000000001E-2</v>
      </c>
      <c r="G71" s="361"/>
      <c r="H71" s="311"/>
      <c r="I71" s="1291"/>
      <c r="J71" s="2035"/>
      <c r="K71" s="3061" t="s">
        <v>365</v>
      </c>
      <c r="L71" s="3368" t="s">
        <v>366</v>
      </c>
      <c r="M71" s="3368"/>
      <c r="N71" s="3061" t="s">
        <v>367</v>
      </c>
      <c r="O71" s="3061" t="s">
        <v>368</v>
      </c>
      <c r="P71" s="3061" t="s">
        <v>369</v>
      </c>
      <c r="Q71" s="2028"/>
      <c r="R71" s="2028"/>
      <c r="S71" s="2028"/>
      <c r="T71" s="2028"/>
      <c r="U71" s="2028"/>
      <c r="V71" s="2028"/>
    </row>
    <row r="72" spans="1:22" ht="12" customHeight="1">
      <c r="A72" s="359" t="s">
        <v>373</v>
      </c>
      <c r="B72" s="3296" t="s">
        <v>374</v>
      </c>
      <c r="C72" s="3297"/>
      <c r="D72" s="358">
        <f ca="1">C86</f>
        <v>1463</v>
      </c>
      <c r="E72" s="73" t="s">
        <v>375</v>
      </c>
      <c r="F72" s="360">
        <f>'数据-取费表'!B41</f>
        <v>5.6000000000000001E-2</v>
      </c>
      <c r="G72" s="361"/>
      <c r="H72" s="1297"/>
      <c r="I72" s="1291"/>
      <c r="J72" s="2035"/>
      <c r="K72" s="1976">
        <v>1</v>
      </c>
      <c r="L72" s="3343" t="s">
        <v>372</v>
      </c>
      <c r="M72" s="3343"/>
      <c r="N72" s="1295">
        <f ca="1">D66</f>
        <v>1575</v>
      </c>
      <c r="O72" s="1859" t="str">
        <f>E66</f>
        <v>销售额×税（费）率</v>
      </c>
      <c r="P72" s="1296">
        <f>F66</f>
        <v>5.6000000000000001E-2</v>
      </c>
      <c r="Q72" s="2028"/>
      <c r="R72" s="2028"/>
      <c r="S72" s="2028"/>
      <c r="T72" s="2028"/>
      <c r="U72" s="2028"/>
      <c r="V72" s="2028"/>
    </row>
    <row r="73" spans="1:22" ht="24" customHeight="1">
      <c r="A73" s="3337" t="s">
        <v>377</v>
      </c>
      <c r="B73" s="3305"/>
      <c r="C73" s="3305"/>
      <c r="D73" s="362">
        <f>IF(H73="个人住宅",0,ROUND(D63*I73,0))</f>
        <v>0</v>
      </c>
      <c r="E73" s="17" t="s">
        <v>378</v>
      </c>
      <c r="F73" s="360" t="str">
        <f>IF(H73="正常",I73,"免征")</f>
        <v>免征</v>
      </c>
      <c r="G73" s="361"/>
      <c r="H73" s="191" t="s">
        <v>2418</v>
      </c>
      <c r="I73" s="360">
        <f>'数据-取费表'!B49</f>
        <v>5.0000000000000001E-4</v>
      </c>
      <c r="J73" s="2035"/>
      <c r="K73" s="1976">
        <v>2</v>
      </c>
      <c r="L73" s="3343" t="s">
        <v>376</v>
      </c>
      <c r="M73" s="3343"/>
      <c r="N73" s="1295">
        <f t="shared" ref="N73:P74" si="1">D73</f>
        <v>0</v>
      </c>
      <c r="O73" s="1859" t="str">
        <f t="shared" si="1"/>
        <v>销售额×税（费）率</v>
      </c>
      <c r="P73" s="1296" t="str">
        <f t="shared" si="1"/>
        <v>免征</v>
      </c>
      <c r="Q73" s="2028"/>
      <c r="R73" s="2028"/>
      <c r="S73" s="2028"/>
      <c r="T73" s="2028"/>
      <c r="U73" s="2028"/>
      <c r="V73" s="2028"/>
    </row>
    <row r="74" spans="1:22" ht="24.75">
      <c r="A74" s="3337" t="s">
        <v>381</v>
      </c>
      <c r="B74" s="3305"/>
      <c r="C74" s="3305"/>
      <c r="D74" s="362">
        <f ca="1">IF(H74="个人住宅",D75,D76)</f>
        <v>16064</v>
      </c>
      <c r="E74" s="17" t="s">
        <v>382</v>
      </c>
      <c r="F74" s="360" t="str">
        <f>IF(H74="正常",F76,"免征")</f>
        <v>——</v>
      </c>
      <c r="G74" s="982" t="s">
        <v>383</v>
      </c>
      <c r="H74" s="363" t="s">
        <v>379</v>
      </c>
      <c r="I74" s="42"/>
      <c r="J74" s="2035"/>
      <c r="K74" s="1976">
        <v>3</v>
      </c>
      <c r="L74" s="3343" t="s">
        <v>380</v>
      </c>
      <c r="M74" s="3343"/>
      <c r="N74" s="1295">
        <f t="shared" ca="1" si="1"/>
        <v>16064</v>
      </c>
      <c r="O74" s="1859" t="str">
        <f t="shared" si="1"/>
        <v>增值额×税（费）率</v>
      </c>
      <c r="P74" s="1298" t="str">
        <f t="shared" si="1"/>
        <v>——</v>
      </c>
      <c r="Q74" s="2028"/>
      <c r="R74" s="2028"/>
      <c r="S74" s="2028"/>
      <c r="T74" s="2028"/>
      <c r="U74" s="2028"/>
      <c r="V74" s="2028"/>
    </row>
    <row r="75" spans="1:22" ht="24">
      <c r="A75" s="359" t="s">
        <v>384</v>
      </c>
      <c r="B75" s="3293" t="s">
        <v>385</v>
      </c>
      <c r="C75" s="3323"/>
      <c r="D75" s="364">
        <v>0</v>
      </c>
      <c r="E75" s="41" t="s">
        <v>386</v>
      </c>
      <c r="F75" s="365"/>
      <c r="G75" s="361"/>
      <c r="H75" s="42"/>
      <c r="I75" s="42"/>
      <c r="J75" s="2035"/>
      <c r="K75" s="3054">
        <f>IF(H77="非个人房产","",4)</f>
        <v>4</v>
      </c>
      <c r="L75" s="3343" t="str">
        <f>IF(H77="非个人房产","——","个人所得税")</f>
        <v>个人所得税</v>
      </c>
      <c r="M75" s="3343"/>
      <c r="N75" s="1299">
        <f ca="1">D77</f>
        <v>295</v>
      </c>
      <c r="O75" s="1872" t="str">
        <f>E77</f>
        <v>销售额×税（费）率</v>
      </c>
      <c r="P75" s="1300">
        <f>F77</f>
        <v>0.01</v>
      </c>
      <c r="Q75" s="2028"/>
      <c r="R75" s="2028"/>
      <c r="S75" s="2028"/>
      <c r="T75" s="2028"/>
      <c r="U75" s="2028"/>
      <c r="V75" s="2028"/>
    </row>
    <row r="76" spans="1:22" ht="24.75">
      <c r="A76" s="359" t="s">
        <v>362</v>
      </c>
      <c r="B76" s="3293" t="s">
        <v>388</v>
      </c>
      <c r="C76" s="3294"/>
      <c r="D76" s="362">
        <f ca="1">IF(H76="转让取得",C99,C115)</f>
        <v>16064</v>
      </c>
      <c r="E76" s="17" t="s">
        <v>389</v>
      </c>
      <c r="F76" s="53" t="s">
        <v>20</v>
      </c>
      <c r="G76" s="361"/>
      <c r="H76" s="363" t="s">
        <v>390</v>
      </c>
      <c r="I76" s="42"/>
      <c r="J76" s="2035"/>
      <c r="K76" s="3054" t="str">
        <f>IF(项目基本情况!K6="上海银行",IF(K75="",4,K75+1),"")</f>
        <v/>
      </c>
      <c r="L76" s="3354" t="str">
        <f>IF(项目基本情况!K6="上海银行","其他处置费用","")</f>
        <v/>
      </c>
      <c r="M76" s="3355"/>
      <c r="N76" s="1295" t="str">
        <f>IF(项目基本情况!K6="上海银行",N89,"")</f>
        <v/>
      </c>
      <c r="O76" s="3356" t="str">
        <f>IF(项目基本情况!K6="上海银行","包含处置中涉及的律师、诉讼、拍卖、评估等费用","")</f>
        <v/>
      </c>
      <c r="P76" s="3357"/>
      <c r="Q76" s="2028"/>
      <c r="R76" s="2028"/>
      <c r="S76" s="2028"/>
      <c r="T76" s="2028"/>
      <c r="U76" s="2028"/>
      <c r="V76" s="2028"/>
    </row>
    <row r="77" spans="1:22" ht="26.25" thickBot="1">
      <c r="A77" s="3345" t="s">
        <v>392</v>
      </c>
      <c r="B77" s="3346"/>
      <c r="C77" s="3346"/>
      <c r="D77" s="366">
        <f ca="1">IF(H77="非个人房产","——",IF(H77="个人住宅",0,ROUND(D63*I77,0)))</f>
        <v>295</v>
      </c>
      <c r="E77" s="367" t="str">
        <f>IF(H77="非个人房产","——","销售额×税（费）率")</f>
        <v>销售额×税（费）率</v>
      </c>
      <c r="F77" s="368">
        <f>IF(H77="非个人房产","——",IF(H77="个人住宅","免征",I77))</f>
        <v>0.01</v>
      </c>
      <c r="G77" s="983" t="s">
        <v>383</v>
      </c>
      <c r="H77" s="363" t="s">
        <v>2846</v>
      </c>
      <c r="I77" s="369">
        <v>0.01</v>
      </c>
      <c r="J77" s="2035"/>
      <c r="K77" s="3344">
        <f>IF(AND(K75="",K76=""),4,IF(项目基本情况!K6="上海银行",K76+1,K75+1))</f>
        <v>5</v>
      </c>
      <c r="L77" s="3343" t="s">
        <v>2847</v>
      </c>
      <c r="M77" s="3060" t="s">
        <v>387</v>
      </c>
      <c r="N77" s="1301"/>
      <c r="O77" s="1302">
        <f ca="1">SUMIF(N72:N76,"&lt;9e307")</f>
        <v>17934</v>
      </c>
      <c r="P77" s="1303"/>
      <c r="Q77" s="3058">
        <f ca="1">O77/N69</f>
        <v>0.36426047040662957</v>
      </c>
      <c r="R77" s="2028"/>
      <c r="S77" s="2028"/>
      <c r="T77" s="2028"/>
      <c r="U77" s="2028"/>
      <c r="V77" s="2028"/>
    </row>
    <row r="78" spans="1:22" ht="12" customHeight="1">
      <c r="A78" s="1304"/>
      <c r="B78" s="311"/>
      <c r="C78" s="311"/>
      <c r="D78" s="311"/>
      <c r="E78" s="42"/>
      <c r="F78" s="42"/>
      <c r="G78" s="42"/>
      <c r="H78" s="1002"/>
      <c r="I78" s="311"/>
      <c r="J78" s="2035"/>
      <c r="K78" s="3344"/>
      <c r="L78" s="3343"/>
      <c r="M78" s="3060" t="s">
        <v>391</v>
      </c>
      <c r="N78" s="1301"/>
      <c r="O78" s="1302" t="str">
        <f ca="1">NUMBERSTRING(INT(O77*10000),2)&amp;"元整"</f>
        <v>壹亿柒仟玖佰叁拾肆万元整</v>
      </c>
      <c r="P78" s="1303"/>
      <c r="Q78" s="2028"/>
      <c r="R78" s="2028"/>
      <c r="S78" s="2028"/>
      <c r="T78" s="2028"/>
      <c r="U78" s="2028"/>
      <c r="V78" s="2028"/>
    </row>
    <row r="79" spans="1:22" ht="13.5" thickBot="1">
      <c r="A79" s="3338" t="s">
        <v>393</v>
      </c>
      <c r="B79" s="3338"/>
      <c r="C79" s="3338"/>
      <c r="D79" s="3338"/>
      <c r="E79" s="3338"/>
      <c r="F79" s="42"/>
      <c r="G79" s="42"/>
      <c r="H79" s="1002"/>
      <c r="I79" s="311"/>
      <c r="J79" s="2035"/>
      <c r="K79" s="3364">
        <f>K77+1</f>
        <v>6</v>
      </c>
      <c r="L79" s="3343" t="s">
        <v>2848</v>
      </c>
      <c r="M79" s="3060" t="s">
        <v>387</v>
      </c>
      <c r="N79" s="1301"/>
      <c r="O79" s="1302">
        <f ca="1">N69-O77</f>
        <v>31300</v>
      </c>
      <c r="P79" s="1303"/>
      <c r="Q79" s="2028"/>
      <c r="R79" s="2028"/>
      <c r="S79" s="2028"/>
      <c r="T79" s="2028"/>
      <c r="U79" s="2028"/>
      <c r="V79" s="2028"/>
    </row>
    <row r="80" spans="1:22" ht="25.5">
      <c r="A80" s="3333" t="s">
        <v>394</v>
      </c>
      <c r="B80" s="3334"/>
      <c r="C80" s="993"/>
      <c r="D80" s="993" t="s">
        <v>395</v>
      </c>
      <c r="E80" s="370" t="s">
        <v>396</v>
      </c>
      <c r="F80" s="42"/>
      <c r="G80" s="42"/>
      <c r="H80" s="1002"/>
      <c r="I80" s="311"/>
      <c r="J80" s="2028"/>
      <c r="K80" s="3365"/>
      <c r="L80" s="3343"/>
      <c r="M80" s="3060" t="s">
        <v>391</v>
      </c>
      <c r="N80" s="1301"/>
      <c r="O80" s="1302" t="str">
        <f ca="1">NUMBERSTRING(INT(O79*10000),2)&amp;"元整"</f>
        <v>叁亿壹仟叁佰万元整</v>
      </c>
      <c r="P80" s="1303"/>
      <c r="Q80" s="2028"/>
      <c r="R80" s="2028"/>
      <c r="S80" s="2028"/>
      <c r="T80" s="2028"/>
      <c r="U80" s="2028"/>
      <c r="V80" s="2028"/>
    </row>
    <row r="81" spans="1:26" ht="13.5" thickBot="1">
      <c r="A81" s="381" t="s">
        <v>1786</v>
      </c>
      <c r="B81" s="371" t="s">
        <v>397</v>
      </c>
      <c r="C81" s="372">
        <f ca="1">ROUND((C82+C83)/(1+'数据-取费表'!C42),0)</f>
        <v>28133</v>
      </c>
      <c r="D81" s="373"/>
      <c r="E81" s="374"/>
      <c r="F81" s="42"/>
      <c r="G81" s="42"/>
      <c r="H81" s="1002"/>
      <c r="I81" s="311"/>
      <c r="J81" s="2028"/>
      <c r="K81" s="3054">
        <f>K79+1</f>
        <v>7</v>
      </c>
      <c r="L81" s="3341" t="s">
        <v>2849</v>
      </c>
      <c r="M81" s="3342"/>
      <c r="N81" s="1305"/>
      <c r="O81" s="1306">
        <f ca="1">ROUND(O79*10000/'数据-汇总表'!E3,0)</f>
        <v>2837</v>
      </c>
      <c r="P81" s="1307"/>
      <c r="Q81" s="2028"/>
      <c r="R81" s="2028"/>
      <c r="S81" s="2028"/>
      <c r="T81" s="2028"/>
      <c r="U81" s="2028"/>
      <c r="V81" s="2028"/>
    </row>
    <row r="82" spans="1:26" ht="13.5" thickTop="1">
      <c r="A82" s="375" t="s">
        <v>1787</v>
      </c>
      <c r="B82" s="376" t="s">
        <v>398</v>
      </c>
      <c r="C82" s="377">
        <f ca="1">D63</f>
        <v>29540</v>
      </c>
      <c r="D82" s="378" t="s">
        <v>18</v>
      </c>
      <c r="E82" s="379"/>
      <c r="F82" s="42"/>
      <c r="G82" s="42"/>
      <c r="H82" s="1002"/>
      <c r="I82" s="311"/>
      <c r="J82" s="2028"/>
      <c r="K82" s="2028"/>
      <c r="L82" s="2028"/>
      <c r="M82" s="2028"/>
      <c r="N82" s="2028"/>
      <c r="O82" s="2028"/>
      <c r="P82" s="2028"/>
      <c r="Q82" s="2028"/>
      <c r="R82" s="2028"/>
      <c r="S82" s="2028"/>
      <c r="T82" s="2028"/>
      <c r="U82" s="2028"/>
      <c r="V82" s="2028"/>
    </row>
    <row r="83" spans="1:26" ht="12.75">
      <c r="A83" s="375" t="s">
        <v>1788</v>
      </c>
      <c r="B83" s="376" t="s">
        <v>399</v>
      </c>
      <c r="C83" s="380">
        <v>0</v>
      </c>
      <c r="D83" s="378"/>
      <c r="E83" s="379"/>
      <c r="F83" s="42"/>
      <c r="G83" s="42"/>
      <c r="H83" s="1002"/>
      <c r="I83" s="311"/>
      <c r="J83" s="2028"/>
      <c r="K83" s="3353" t="s">
        <v>2836</v>
      </c>
      <c r="L83" s="3066" t="s">
        <v>2837</v>
      </c>
      <c r="M83" s="3056">
        <f ca="1">IF(N69&gt;10000,N69*0.5%,IF(AND(N69&gt;1000,N69&lt;=10000),N69*1%,IF(AND(N69&gt;100,N69&lt;=1000),N69*3%,IF(AND(N69&gt;10,N69&lt;=100),N69*5%,N69*8%))))</f>
        <v>246.17000000000002</v>
      </c>
      <c r="N83" s="53">
        <f ca="1">ROUND(M83,1)</f>
        <v>246.2</v>
      </c>
      <c r="O83" s="3059"/>
      <c r="P83" s="2028"/>
      <c r="Q83" s="2028"/>
      <c r="R83" s="2028"/>
      <c r="S83" s="2028"/>
      <c r="T83" s="2028"/>
      <c r="U83" s="2028"/>
      <c r="V83" s="2028"/>
    </row>
    <row r="84" spans="1:26" ht="12.75">
      <c r="A84" s="381" t="s">
        <v>1789</v>
      </c>
      <c r="B84" s="382" t="s">
        <v>400</v>
      </c>
      <c r="C84" s="383">
        <v>2000</v>
      </c>
      <c r="D84" s="384" t="s">
        <v>18</v>
      </c>
      <c r="E84" s="3100" t="s">
        <v>2899</v>
      </c>
      <c r="F84" s="42"/>
      <c r="G84" s="42"/>
      <c r="H84" s="1002"/>
      <c r="I84" s="311"/>
      <c r="J84" s="2028"/>
      <c r="K84" s="3353"/>
      <c r="L84" s="3066" t="s">
        <v>2838</v>
      </c>
      <c r="M84" s="3056">
        <f ca="1">IF(N69&gt;2000,N69*0.5%,IF(AND(N69&gt;1000,N69&lt;=2000),N69*0.6%,IF(AND(N69&gt;500,N69&lt;=1000),N69*0.7%,IF(AND(N69&gt;200,N69&lt;=500),N69*0.8%,IF(AND(N69&gt;100,N69&lt;=200),N69*0.9%,IF(AND(N69&gt;50,N69&lt;=100),N69*1%,IF(AND(N69&gt;20,N69&lt;=50),N69*1.5%,IF(AND(N69&gt;10,N69&lt;=20),N69*2%,IF(AND(N69&gt;1,N69&lt;=10),N69*2.5%)))))))))</f>
        <v>246.17000000000002</v>
      </c>
      <c r="N84" s="53">
        <f t="shared" ref="N84:N85" ca="1" si="2">ROUND(M84,1)</f>
        <v>246.2</v>
      </c>
      <c r="O84" s="2028" t="s">
        <v>2839</v>
      </c>
      <c r="P84" s="2028"/>
      <c r="Q84" s="2028"/>
      <c r="R84" s="2028"/>
      <c r="S84" s="2028"/>
      <c r="T84" s="2028"/>
      <c r="U84" s="2028"/>
      <c r="V84" s="2028"/>
    </row>
    <row r="85" spans="1:26" ht="12.75">
      <c r="A85" s="381" t="s">
        <v>1790</v>
      </c>
      <c r="B85" s="382" t="s">
        <v>401</v>
      </c>
      <c r="C85" s="385">
        <f ca="1">C81-C84</f>
        <v>26133</v>
      </c>
      <c r="D85" s="378" t="s">
        <v>18</v>
      </c>
      <c r="E85" s="379"/>
      <c r="F85" s="42"/>
      <c r="G85" s="42"/>
      <c r="H85" s="1002"/>
      <c r="I85" s="311"/>
      <c r="J85" s="2028"/>
      <c r="K85" s="3353"/>
      <c r="L85" s="3066" t="s">
        <v>2840</v>
      </c>
      <c r="M85" s="3056">
        <f ca="1">IF(N69&gt;1000,N69*0.1%,IF(AND(N69&gt;500,N69&lt;=1000),N69*0.5%,IF(AND(N69&gt;50,N69&lt;=500),N69*1%,IF(AND(N69&gt;1,N69&lt;=50),N69*1.5%))))</f>
        <v>49.234000000000002</v>
      </c>
      <c r="N85" s="53">
        <f t="shared" ca="1" si="2"/>
        <v>49.2</v>
      </c>
      <c r="O85" s="2028" t="s">
        <v>2839</v>
      </c>
      <c r="P85" s="2028"/>
      <c r="Q85" s="2028"/>
      <c r="R85" s="2028"/>
      <c r="S85" s="2028"/>
      <c r="T85" s="2028"/>
      <c r="U85" s="2028"/>
      <c r="V85" s="2028"/>
    </row>
    <row r="86" spans="1:26" ht="13.5" thickBot="1">
      <c r="A86" s="386" t="s">
        <v>1791</v>
      </c>
      <c r="B86" s="387" t="s">
        <v>402</v>
      </c>
      <c r="C86" s="388">
        <f ca="1">IF(C85&lt;=0,0,ROUND(C85*D86,0))</f>
        <v>1463</v>
      </c>
      <c r="D86" s="389">
        <f>'数据-取费表'!B41</f>
        <v>5.6000000000000001E-2</v>
      </c>
      <c r="E86" s="390"/>
      <c r="F86" s="42"/>
      <c r="G86" s="42"/>
      <c r="H86" s="1002"/>
      <c r="I86" s="311"/>
      <c r="J86" s="2028"/>
      <c r="K86" s="3353"/>
      <c r="L86" s="3066" t="s">
        <v>2841</v>
      </c>
      <c r="M86" s="3056">
        <f ca="1">N69*0.5%</f>
        <v>246.17000000000002</v>
      </c>
      <c r="N86" s="53">
        <f ca="1">IF(M86&gt;0.5,0.5,ROUND(M86,0))</f>
        <v>0.5</v>
      </c>
      <c r="O86" s="2028" t="s">
        <v>2842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3"/>
      <c r="L87" s="3066" t="s">
        <v>2843</v>
      </c>
      <c r="M87" s="3056">
        <f ca="1">IF(N69&gt;=10000,(8.25+(N69-10000)*0.01%),IF(AND(N69&gt;=8000,N69&lt;10000),(7.85+(N69-8000)*0.02%),IF(AND(N69&gt;=5000,N69&lt;8000),(6.65+(N69-5000)*0.04%),IF(AND(N69&gt;=2000,N69&lt;5000),(4.25+(PN69-2000)*0.08%),IF(AND(N69&gt;=1000,N69&lt;2000),(2.75+(N69-1000)*0.15%),IF(AND(N69&gt;=100,N69&lt;1000),(0.5+(N69-100)*0.25%),IF(AND(N69&gt;0,N69&lt;100),N69*0.5%)))))))</f>
        <v>12.173400000000001</v>
      </c>
      <c r="N87" s="53">
        <f ca="1">ROUND(M87*0.9,1)</f>
        <v>11</v>
      </c>
      <c r="O87" s="3059"/>
      <c r="P87" s="311"/>
      <c r="Q87" s="2028"/>
      <c r="R87" s="2028"/>
      <c r="S87" s="2028"/>
      <c r="T87" s="2028"/>
      <c r="U87" s="2028"/>
      <c r="V87" s="2028"/>
      <c r="W87" s="292"/>
      <c r="X87" s="292"/>
      <c r="Y87" s="292"/>
      <c r="Z87" s="292"/>
    </row>
    <row r="88" spans="1:26" s="1313" customFormat="1" ht="15" thickBot="1">
      <c r="A88" s="3335" t="s">
        <v>403</v>
      </c>
      <c r="B88" s="3336"/>
      <c r="C88" s="3336"/>
      <c r="D88" s="3336"/>
      <c r="E88" s="3336"/>
      <c r="F88" s="3336"/>
      <c r="G88" s="3336"/>
      <c r="H88" s="3336"/>
      <c r="I88" s="1314"/>
      <c r="J88" s="2036"/>
      <c r="K88" s="3353"/>
      <c r="L88" s="3066" t="s">
        <v>2844</v>
      </c>
      <c r="M88" s="3056">
        <f ca="1">IF(N69&gt;10000,N69*0.5%,IF(AND(N69&gt;5000,N69&lt;=10000),N69*1%,IF(AND(N69&gt;1000,N69&lt;=5000),N69*2%,IF(AND(N69&gt;200,N69&lt;=1000),N69*3%,N69*5%))))</f>
        <v>246.17000000000002</v>
      </c>
      <c r="N88" s="53">
        <f ca="1">ROUND(M88,1)</f>
        <v>246.2</v>
      </c>
      <c r="O88" s="3059"/>
      <c r="P88" s="11"/>
      <c r="Q88" s="2033"/>
      <c r="R88" s="2033"/>
      <c r="S88" s="2033"/>
      <c r="T88" s="2033"/>
      <c r="U88" s="2033"/>
      <c r="V88" s="2033"/>
      <c r="W88" s="2037"/>
      <c r="X88" s="2037"/>
      <c r="Y88" s="2037"/>
      <c r="Z88" s="2037"/>
    </row>
    <row r="89" spans="1:26" s="1313" customFormat="1" ht="14.25">
      <c r="A89" s="3333" t="s">
        <v>394</v>
      </c>
      <c r="B89" s="3334"/>
      <c r="C89" s="993"/>
      <c r="D89" s="993" t="s">
        <v>395</v>
      </c>
      <c r="E89" s="391" t="s">
        <v>404</v>
      </c>
      <c r="F89" s="392"/>
      <c r="G89" s="392"/>
      <c r="H89" s="393"/>
      <c r="I89" s="1315"/>
      <c r="J89" s="2038"/>
      <c r="K89" s="3353"/>
      <c r="L89" s="3066" t="s">
        <v>26</v>
      </c>
      <c r="M89" s="3057"/>
      <c r="N89" s="53">
        <f ca="1">ROUND(SUM(N83:N88),0)</f>
        <v>799</v>
      </c>
      <c r="O89" s="3067">
        <f ca="1">N89/N69</f>
        <v>1.6228622496648658E-2</v>
      </c>
      <c r="P89" s="2033"/>
      <c r="Q89" s="2033"/>
      <c r="R89" s="2033"/>
      <c r="S89" s="2033"/>
      <c r="T89" s="2033"/>
      <c r="U89" s="2033"/>
      <c r="V89" s="2033"/>
      <c r="W89" s="2037"/>
      <c r="X89" s="2037"/>
      <c r="Y89" s="2037"/>
      <c r="Z89" s="2037"/>
    </row>
    <row r="90" spans="1:26" s="1313" customFormat="1" ht="14.25">
      <c r="A90" s="381" t="s">
        <v>1786</v>
      </c>
      <c r="B90" s="382" t="s">
        <v>405</v>
      </c>
      <c r="C90" s="385">
        <f ca="1">ROUND(D63/(1+'数据-取费表'!C42),0)</f>
        <v>28133</v>
      </c>
      <c r="D90" s="378" t="s">
        <v>18</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1792</v>
      </c>
      <c r="B91" s="348" t="s">
        <v>406</v>
      </c>
      <c r="C91" s="385">
        <f ca="1">C92+C96</f>
        <v>2730</v>
      </c>
      <c r="D91" s="378" t="s">
        <v>18</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1793</v>
      </c>
      <c r="B92" s="376" t="s">
        <v>407</v>
      </c>
      <c r="C92" s="378">
        <f>ROUND(IF(G95="2016年5月1日后购买",C93/(1+'数据-取费表'!C30)+C94+C95,C93+C94+C95),0)</f>
        <v>2561</v>
      </c>
      <c r="D92" s="378" t="s">
        <v>18</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1794</v>
      </c>
      <c r="B93" s="376" t="s">
        <v>408</v>
      </c>
      <c r="C93" s="396">
        <v>2000</v>
      </c>
      <c r="D93" s="378" t="s">
        <v>18</v>
      </c>
      <c r="E93" s="397" t="s">
        <v>409</v>
      </c>
      <c r="F93" s="398" t="s">
        <v>410</v>
      </c>
      <c r="G93" s="397" t="s">
        <v>411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1795</v>
      </c>
      <c r="B94" s="400" t="s">
        <v>412</v>
      </c>
      <c r="C94" s="378">
        <f>IF(F93="购房发票",ROUND(C93*H93*5%,0),0)</f>
        <v>500</v>
      </c>
      <c r="D94" s="401">
        <v>0.05</v>
      </c>
      <c r="E94" s="3296" t="s">
        <v>413</v>
      </c>
      <c r="F94" s="3295"/>
      <c r="G94" s="3295"/>
      <c r="H94" s="33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1796</v>
      </c>
      <c r="B95" s="376" t="s">
        <v>414</v>
      </c>
      <c r="C95" s="378">
        <f>ROUND(IF(G95="个人买卖住房",0,IF(G95="2016年5月1日前购买",C93*D95,C93*D95/(1+'数据-取费表'!C42))),0)</f>
        <v>61</v>
      </c>
      <c r="D95" s="402">
        <f>'数据-取费表'!B48+'数据-取费表'!B49</f>
        <v>3.0499999999999999E-2</v>
      </c>
      <c r="E95" s="26" t="s">
        <v>415</v>
      </c>
      <c r="F95" s="403"/>
      <c r="G95" s="404" t="s">
        <v>2392</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1797</v>
      </c>
      <c r="B96" s="376" t="s">
        <v>416</v>
      </c>
      <c r="C96" s="405">
        <f ca="1">ROUND(D63*D96/(1+'数据-取费表'!C42),0)</f>
        <v>169</v>
      </c>
      <c r="D96" s="406">
        <f>'数据-取费表'!B43</f>
        <v>6.000000000000001E-3</v>
      </c>
      <c r="E96" s="3324" t="s">
        <v>2391</v>
      </c>
      <c r="F96" s="3325"/>
      <c r="G96" s="3325"/>
      <c r="H96" s="33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1798</v>
      </c>
      <c r="B97" s="382" t="s">
        <v>417</v>
      </c>
      <c r="C97" s="385">
        <f ca="1">C90-C91</f>
        <v>25403</v>
      </c>
      <c r="D97" s="378" t="s">
        <v>18</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1799</v>
      </c>
      <c r="B98" s="382" t="s">
        <v>418</v>
      </c>
      <c r="C98" s="407">
        <f ca="1">IF(C97&lt;=0,0,C97/C91)</f>
        <v>9.3051282051282058</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1800</v>
      </c>
      <c r="B99" s="387" t="s">
        <v>419</v>
      </c>
      <c r="C99" s="408">
        <f ca="1">ROUND(IF(C97&lt;=0,0,IF(C98&gt;=200%,C97*60%-C91*35%,IF(C98&gt;=100%,C97*50%-C91*15%,IF(C98&gt;=50%,C97*40%-C91*5%,IF(C98&lt;50%,C97*30%,0))))),0)</f>
        <v>14286</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420</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3" t="s">
        <v>394</v>
      </c>
      <c r="B102" s="3334"/>
      <c r="C102" s="993"/>
      <c r="D102" s="993" t="s">
        <v>395</v>
      </c>
      <c r="E102" s="391" t="s">
        <v>404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1786</v>
      </c>
      <c r="B103" s="382" t="s">
        <v>405</v>
      </c>
      <c r="C103" s="385">
        <f ca="1">ROUND(D63/(1+'数据-取费表'!C42),0)</f>
        <v>28133</v>
      </c>
      <c r="D103" s="378" t="s">
        <v>18</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1792</v>
      </c>
      <c r="B104" s="348" t="s">
        <v>406</v>
      </c>
      <c r="C104" s="385">
        <f ca="1">IF(H106="仅含出让金",C105+C108+C109+C110+C111+C112,C105+C109+C110+C111+C112)</f>
        <v>859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1793</v>
      </c>
      <c r="B105" s="376" t="s">
        <v>421</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1794</v>
      </c>
      <c r="B106" s="376" t="s">
        <v>422</v>
      </c>
      <c r="C106" s="416">
        <v>555</v>
      </c>
      <c r="D106" s="406"/>
      <c r="E106" s="417" t="s">
        <v>423</v>
      </c>
      <c r="F106" s="985"/>
      <c r="G106" s="418" t="s">
        <v>424</v>
      </c>
      <c r="H106" s="419" t="s">
        <v>2402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1795</v>
      </c>
      <c r="B107" s="376" t="s">
        <v>414</v>
      </c>
      <c r="C107" s="405">
        <f>ROUND(C106*D107,0)</f>
        <v>17</v>
      </c>
      <c r="D107" s="406">
        <f>'数据-取费表'!B48+'数据-取费表'!B49</f>
        <v>3.0499999999999999E-2</v>
      </c>
      <c r="E107" s="417"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1797</v>
      </c>
      <c r="B108" s="376" t="s">
        <v>426</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1801</v>
      </c>
      <c r="B109" s="376" t="s">
        <v>427</v>
      </c>
      <c r="C109" s="405">
        <f>IF(H109="——",IF(F1="现房",'剩余法-现房'!C18,'剩余法-待开发'!C18),I109)</f>
        <v>55</v>
      </c>
      <c r="D109" s="406"/>
      <c r="E109" s="3327" t="s">
        <v>428</v>
      </c>
      <c r="F109" s="3325"/>
      <c r="G109" s="3325"/>
      <c r="H109" s="1941" t="s">
        <v>2242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1802</v>
      </c>
      <c r="B110" s="376" t="s">
        <v>429</v>
      </c>
      <c r="C110" s="405">
        <f>ROUND((C105+C108+C109)*D110,0)</f>
        <v>63</v>
      </c>
      <c r="D110" s="406">
        <v>0.1</v>
      </c>
      <c r="E110" s="3327" t="s">
        <v>430</v>
      </c>
      <c r="F110" s="3325"/>
      <c r="G110" s="3325"/>
      <c r="H110" s="332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1803</v>
      </c>
      <c r="B111" s="376" t="s">
        <v>416</v>
      </c>
      <c r="C111" s="405">
        <f ca="1">ROUND(D63*D111/(1+'数据-取费表'!C42),0)</f>
        <v>169</v>
      </c>
      <c r="D111" s="406">
        <f>'数据-取费表'!B43</f>
        <v>6.000000000000001E-3</v>
      </c>
      <c r="E111" s="3324" t="s">
        <v>2391</v>
      </c>
      <c r="F111" s="3325"/>
      <c r="G111" s="3325"/>
      <c r="H111" s="332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1804</v>
      </c>
      <c r="B112" s="376" t="s">
        <v>431</v>
      </c>
      <c r="C112" s="405">
        <f>ROUND(C108*D112,0)</f>
        <v>0</v>
      </c>
      <c r="D112" s="406">
        <v>0.2</v>
      </c>
      <c r="E112" s="3327" t="s">
        <v>2416</v>
      </c>
      <c r="F112" s="3325"/>
      <c r="G112" s="3325"/>
      <c r="H112" s="332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1798</v>
      </c>
      <c r="B113" s="382" t="s">
        <v>417</v>
      </c>
      <c r="C113" s="385">
        <f ca="1">ROUND(C103-C104,0)</f>
        <v>27274</v>
      </c>
      <c r="D113" s="378" t="s">
        <v>18</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1799</v>
      </c>
      <c r="B114" s="382" t="s">
        <v>418</v>
      </c>
      <c r="C114" s="407">
        <f ca="1">IF(C113&lt;=0,0,C113/C104)</f>
        <v>31.750873108265424</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1800</v>
      </c>
      <c r="B115" s="387" t="s">
        <v>419</v>
      </c>
      <c r="C115" s="408">
        <f ca="1">ROUND(IF(C113&lt;=0,0,IF(C114&gt;=200%,C113*60%-C104*35%,IF(C114&gt;=100%,C113*50%-C104*15%,IF(C114&gt;=50%,C113*40%-C104*5%,IF(C114&lt;50%,C113*30%,0))))),0)</f>
        <v>16064</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14" sqref="N1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482</v>
      </c>
      <c r="B1" s="503"/>
      <c r="C1" s="504" t="s">
        <v>483</v>
      </c>
      <c r="D1" s="505" t="s">
        <v>484</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433</v>
      </c>
      <c r="B2" s="508">
        <f>F68</f>
        <v>42756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1647</v>
      </c>
      <c r="B3" s="510">
        <f>ROUND(B2*10000/'数据-汇总表'!E3,0)</f>
        <v>3875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486</v>
      </c>
      <c r="B4" s="427">
        <f>IF(B48="单位面积地价",C50,ROUND(B2*10000/'数据-汇总表'!D3,0))</f>
        <v>18600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1240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487</v>
      </c>
      <c r="B6" s="513"/>
      <c r="C6" s="3378" t="s">
        <v>488</v>
      </c>
      <c r="D6" s="3379"/>
      <c r="E6" s="3378" t="s">
        <v>489</v>
      </c>
      <c r="F6" s="3379"/>
      <c r="G6" s="3378" t="s">
        <v>490</v>
      </c>
      <c r="H6" s="3379"/>
      <c r="I6" s="3378" t="s">
        <v>491</v>
      </c>
      <c r="J6" s="3379"/>
      <c r="K6" s="514" t="s">
        <v>492</v>
      </c>
      <c r="L6" s="2133"/>
      <c r="M6" s="2132"/>
      <c r="N6" s="2132"/>
      <c r="O6" s="2134"/>
      <c r="P6" s="3380" t="s">
        <v>493</v>
      </c>
      <c r="Q6" s="3381"/>
      <c r="R6" s="3386" t="s">
        <v>489</v>
      </c>
      <c r="S6" s="3387"/>
      <c r="T6" s="3386" t="s">
        <v>490</v>
      </c>
      <c r="U6" s="3387"/>
      <c r="V6" s="3373" t="s">
        <v>491</v>
      </c>
      <c r="W6" s="3373"/>
      <c r="X6" s="1566"/>
      <c r="Y6" s="3386" t="s">
        <v>493</v>
      </c>
      <c r="Z6" s="3387"/>
      <c r="AA6" s="3375" t="s">
        <v>489</v>
      </c>
      <c r="AB6" s="3376" t="s">
        <v>490</v>
      </c>
      <c r="AC6" s="3375" t="s">
        <v>491</v>
      </c>
    </row>
    <row r="7" spans="1:30" ht="26.25" customHeight="1">
      <c r="A7" s="515"/>
      <c r="B7" s="516"/>
      <c r="C7" s="3396" t="str">
        <f>项目基本情况!F10</f>
        <v>新区中央商务区CR0504-A(A-01地块）</v>
      </c>
      <c r="D7" s="3395"/>
      <c r="E7" s="3394" t="s">
        <v>3048</v>
      </c>
      <c r="F7" s="3395"/>
      <c r="G7" s="3394" t="s">
        <v>3542</v>
      </c>
      <c r="H7" s="3395"/>
      <c r="I7" s="3394" t="s">
        <v>3541</v>
      </c>
      <c r="J7" s="3395"/>
      <c r="K7" s="514"/>
      <c r="L7" s="2133"/>
      <c r="M7" s="2132"/>
      <c r="N7" s="2132"/>
      <c r="O7" s="2134"/>
      <c r="P7" s="3382"/>
      <c r="Q7" s="3383"/>
      <c r="R7" s="3388"/>
      <c r="S7" s="3389"/>
      <c r="T7" s="3388"/>
      <c r="U7" s="3389"/>
      <c r="V7" s="3373"/>
      <c r="W7" s="3373"/>
      <c r="X7" s="1566"/>
      <c r="Y7" s="3388"/>
      <c r="Z7" s="3389"/>
      <c r="AA7" s="3376"/>
      <c r="AB7" s="3376"/>
      <c r="AC7" s="3376"/>
    </row>
    <row r="8" spans="1:30" ht="21" thickBot="1">
      <c r="A8" s="515"/>
      <c r="B8" s="516"/>
      <c r="C8" s="3397" t="s">
        <v>2890</v>
      </c>
      <c r="D8" s="3398"/>
      <c r="E8" s="3397" t="s">
        <v>2890</v>
      </c>
      <c r="F8" s="3398"/>
      <c r="G8" s="3392" t="s">
        <v>2890</v>
      </c>
      <c r="H8" s="3393"/>
      <c r="I8" s="3392" t="s">
        <v>2890</v>
      </c>
      <c r="J8" s="3393"/>
      <c r="K8" s="514" t="s">
        <v>494</v>
      </c>
      <c r="L8" s="2133"/>
      <c r="M8" s="2132"/>
      <c r="N8" s="2132"/>
      <c r="O8" s="2134"/>
      <c r="P8" s="3384"/>
      <c r="Q8" s="3385"/>
      <c r="R8" s="3388"/>
      <c r="S8" s="3389"/>
      <c r="T8" s="3390"/>
      <c r="U8" s="3391"/>
      <c r="V8" s="3373"/>
      <c r="W8" s="3373"/>
      <c r="X8" s="1566"/>
      <c r="Y8" s="3390"/>
      <c r="Z8" s="3391"/>
      <c r="AA8" s="3377"/>
      <c r="AB8" s="3377"/>
      <c r="AC8" s="3377"/>
    </row>
    <row r="9" spans="1:30" s="1219" customFormat="1" ht="21" thickBot="1">
      <c r="A9" s="2912"/>
      <c r="B9" s="2919" t="s">
        <v>495</v>
      </c>
      <c r="C9" s="2911">
        <f>'数据-取费表'!B2</f>
        <v>43360</v>
      </c>
      <c r="D9" s="520">
        <v>100</v>
      </c>
      <c r="E9" s="521">
        <v>43025</v>
      </c>
      <c r="F9" s="522">
        <f>SUMIF(72:72,YEAR(E9)&amp;"-"&amp;INT((MONTH(E9)+2)/3),73:73)</f>
        <v>97</v>
      </c>
      <c r="G9" s="523">
        <v>43343</v>
      </c>
      <c r="H9" s="520">
        <f>SUMIF(72:72,YEAR(G9)&amp;"-"&amp;INT((MONTH(G9)+2)/3),73:73)</f>
        <v>100</v>
      </c>
      <c r="I9" s="523">
        <v>43311</v>
      </c>
      <c r="J9" s="520">
        <f>SUMIF(72:72,YEAR(I9)&amp;"-"&amp;INT((MONTH(I9)+2)/3),73:73)</f>
        <v>100</v>
      </c>
      <c r="K9" s="524"/>
      <c r="L9" s="2135"/>
      <c r="M9" s="2132"/>
      <c r="N9" s="2132"/>
      <c r="O9" s="2136"/>
      <c r="P9" s="3404" t="s">
        <v>496</v>
      </c>
      <c r="Q9" s="3406"/>
      <c r="R9" s="1567" t="s">
        <v>8</v>
      </c>
      <c r="S9" s="1568">
        <f t="shared" ref="S9:S17" si="0">F9</f>
        <v>97</v>
      </c>
      <c r="T9" s="1567" t="s">
        <v>8</v>
      </c>
      <c r="U9" s="1568">
        <f t="shared" ref="U9:U17" si="1">H9</f>
        <v>100</v>
      </c>
      <c r="V9" s="1567" t="s">
        <v>8</v>
      </c>
      <c r="W9" s="1568">
        <f t="shared" ref="W9:W17" si="2">J9</f>
        <v>100</v>
      </c>
      <c r="X9" s="1569"/>
      <c r="Y9" s="3404" t="s">
        <v>496</v>
      </c>
      <c r="Z9" s="3405"/>
      <c r="AA9" s="1570">
        <f>D9/F9</f>
        <v>1.0309278350515463</v>
      </c>
      <c r="AB9" s="1570">
        <f>D9/H9</f>
        <v>1</v>
      </c>
      <c r="AC9" s="1570">
        <f>D9/J9</f>
        <v>1</v>
      </c>
    </row>
    <row r="10" spans="1:30" s="1219" customFormat="1" ht="21" thickBot="1">
      <c r="A10" s="2913"/>
      <c r="B10" s="2920" t="s">
        <v>497</v>
      </c>
      <c r="C10" s="855" t="s">
        <v>498</v>
      </c>
      <c r="D10" s="520">
        <v>100</v>
      </c>
      <c r="E10" s="855" t="s">
        <v>498</v>
      </c>
      <c r="F10" s="522">
        <f>SUMIF(75:75,E10,76:76)-SUMIF(75:75,C10,76:76)+100</f>
        <v>100</v>
      </c>
      <c r="G10" s="855" t="s">
        <v>498</v>
      </c>
      <c r="H10" s="520">
        <f>SUMIF(75:75,G10,76:76)-SUMIF(75:75,C10,76:76)+100</f>
        <v>100</v>
      </c>
      <c r="I10" s="855" t="s">
        <v>498</v>
      </c>
      <c r="J10" s="520">
        <f>SUMIF(75:75,I10,76:76)-SUMIF(75:75,C10,76:76)+100</f>
        <v>100</v>
      </c>
      <c r="K10" s="524"/>
      <c r="L10" s="2135"/>
      <c r="M10" s="2132"/>
      <c r="N10" s="2132"/>
      <c r="O10" s="2136"/>
      <c r="P10" s="3404" t="s">
        <v>499</v>
      </c>
      <c r="Q10" s="3405"/>
      <c r="R10" s="1567" t="s">
        <v>8</v>
      </c>
      <c r="S10" s="1568">
        <f t="shared" si="0"/>
        <v>100</v>
      </c>
      <c r="T10" s="1567" t="s">
        <v>8</v>
      </c>
      <c r="U10" s="1568">
        <f t="shared" si="1"/>
        <v>100</v>
      </c>
      <c r="V10" s="1567" t="s">
        <v>8</v>
      </c>
      <c r="W10" s="1568">
        <f t="shared" si="2"/>
        <v>100</v>
      </c>
      <c r="X10" s="1569"/>
      <c r="Y10" s="3404" t="s">
        <v>499</v>
      </c>
      <c r="Z10" s="3405"/>
      <c r="AA10" s="1570">
        <f t="shared" ref="AA10:AA47" si="3">D10/F10</f>
        <v>1</v>
      </c>
      <c r="AB10" s="1570">
        <f t="shared" ref="AB10:AB47" si="4">D10/H10</f>
        <v>1</v>
      </c>
      <c r="AC10" s="1570">
        <f t="shared" ref="AC10:AC47" si="5">D10/J10</f>
        <v>1</v>
      </c>
    </row>
    <row r="11" spans="1:30" s="1219" customFormat="1" ht="20.25">
      <c r="A11" s="2914"/>
      <c r="B11" s="2921" t="s">
        <v>2718</v>
      </c>
      <c r="C11" s="2908" t="s">
        <v>3673</v>
      </c>
      <c r="D11" s="254">
        <v>100</v>
      </c>
      <c r="E11" s="526" t="s">
        <v>3675</v>
      </c>
      <c r="F11" s="254">
        <f>SUMIF(77:77,E11,78:78)-SUMIF(77:77,C11,78:78)+100</f>
        <v>108</v>
      </c>
      <c r="G11" s="526" t="s">
        <v>3675</v>
      </c>
      <c r="H11" s="254">
        <f>SUMIF(77:77,G11,78:78)-SUMIF(77:77,C11,78:78)+100</f>
        <v>108</v>
      </c>
      <c r="I11" s="526" t="s">
        <v>3675</v>
      </c>
      <c r="J11" s="254">
        <f>SUMIF(77:77,I11,78:78)-SUMIF(77:77,C11,78:78)+100</f>
        <v>108</v>
      </c>
      <c r="K11" s="524"/>
      <c r="L11" s="2135"/>
      <c r="M11" s="2132"/>
      <c r="N11" s="2132"/>
      <c r="O11" s="2137"/>
      <c r="P11" s="3372" t="s">
        <v>501</v>
      </c>
      <c r="Q11" s="1150" t="str">
        <f t="shared" ref="Q11:Q17" si="6">B11</f>
        <v>用途</v>
      </c>
      <c r="R11" s="1567" t="s">
        <v>8</v>
      </c>
      <c r="S11" s="1568">
        <f t="shared" si="0"/>
        <v>108</v>
      </c>
      <c r="T11" s="1567" t="s">
        <v>8</v>
      </c>
      <c r="U11" s="1568">
        <f t="shared" si="1"/>
        <v>108</v>
      </c>
      <c r="V11" s="1567" t="s">
        <v>8</v>
      </c>
      <c r="W11" s="1568">
        <f t="shared" si="2"/>
        <v>108</v>
      </c>
      <c r="X11" s="1569"/>
      <c r="Y11" s="3318" t="s">
        <v>502</v>
      </c>
      <c r="Z11" s="1149" t="str">
        <f t="shared" ref="Z11:Z17" si="7">Q11</f>
        <v>用途</v>
      </c>
      <c r="AA11" s="1570">
        <f t="shared" si="3"/>
        <v>0.92592592592592593</v>
      </c>
      <c r="AB11" s="1570">
        <f t="shared" si="4"/>
        <v>0.92592592592592593</v>
      </c>
      <c r="AC11" s="1570">
        <f t="shared" si="5"/>
        <v>0.92592592592592593</v>
      </c>
    </row>
    <row r="12" spans="1:30" s="1337" customFormat="1" ht="27">
      <c r="A12" s="2915"/>
      <c r="B12" s="2920" t="s">
        <v>2719</v>
      </c>
      <c r="C12" s="909">
        <f>项目基本情况!F19</f>
        <v>36.56</v>
      </c>
      <c r="D12" s="255">
        <v>100</v>
      </c>
      <c r="E12" s="529" t="s">
        <v>3543</v>
      </c>
      <c r="F12" s="255">
        <f>ROUND(100/'数据-取费表'!G16,0)</f>
        <v>110</v>
      </c>
      <c r="G12" s="529" t="s">
        <v>3543</v>
      </c>
      <c r="H12" s="255">
        <f>ROUND(100/'数据-取费表'!G16,0)</f>
        <v>110</v>
      </c>
      <c r="I12" s="529" t="s">
        <v>3543</v>
      </c>
      <c r="J12" s="255">
        <f>ROUND(100/'数据-取费表'!G16,0)</f>
        <v>110</v>
      </c>
      <c r="K12" s="530"/>
      <c r="L12" s="2138"/>
      <c r="M12" s="2132"/>
      <c r="N12" s="2132"/>
      <c r="O12" s="2139"/>
      <c r="P12" s="3372"/>
      <c r="Q12" s="1150" t="str">
        <f t="shared" si="6"/>
        <v>土地使用年限（年）</v>
      </c>
      <c r="R12" s="1567" t="s">
        <v>8</v>
      </c>
      <c r="S12" s="1568">
        <f t="shared" si="0"/>
        <v>110</v>
      </c>
      <c r="T12" s="1567" t="s">
        <v>8</v>
      </c>
      <c r="U12" s="1568">
        <f t="shared" si="1"/>
        <v>110</v>
      </c>
      <c r="V12" s="1567" t="s">
        <v>8</v>
      </c>
      <c r="W12" s="1568">
        <f t="shared" si="2"/>
        <v>110</v>
      </c>
      <c r="X12" s="1569"/>
      <c r="Y12" s="3318"/>
      <c r="Z12" s="1149" t="str">
        <f t="shared" si="7"/>
        <v>土地使用年限（年）</v>
      </c>
      <c r="AA12" s="1570">
        <f t="shared" si="3"/>
        <v>0.90909090909090906</v>
      </c>
      <c r="AB12" s="1570">
        <f t="shared" si="4"/>
        <v>0.90909090909090906</v>
      </c>
      <c r="AC12" s="1570">
        <f t="shared" si="5"/>
        <v>0.90909090909090906</v>
      </c>
    </row>
    <row r="13" spans="1:30" ht="20.25">
      <c r="A13" s="2916"/>
      <c r="B13" s="2920" t="s">
        <v>2720</v>
      </c>
      <c r="C13" s="533">
        <f>'数据-汇总表'!I4</f>
        <v>4.8</v>
      </c>
      <c r="D13" s="255">
        <v>100</v>
      </c>
      <c r="E13" s="532">
        <v>2.13</v>
      </c>
      <c r="F13" s="255">
        <f>LOOKUP(E13,82:82,83:83)-LOOKUP(C13,82:82,83:83)+100</f>
        <v>102</v>
      </c>
      <c r="G13" s="533">
        <v>1.7</v>
      </c>
      <c r="H13" s="255">
        <f>LOOKUP(G13,82:82,83:83)-LOOKUP(C13,82:82,83:83)+100</f>
        <v>103</v>
      </c>
      <c r="I13" s="532">
        <v>1.4</v>
      </c>
      <c r="J13" s="255">
        <f>LOOKUP(I13,82:82,83:83)-LOOKUP(C13,82:82,83:83)+100</f>
        <v>103</v>
      </c>
      <c r="K13" s="534">
        <v>1</v>
      </c>
      <c r="L13" s="2140"/>
      <c r="M13" s="2132"/>
      <c r="N13" s="2132"/>
      <c r="O13" s="2141"/>
      <c r="P13" s="3372"/>
      <c r="Q13" s="1150" t="str">
        <f t="shared" si="6"/>
        <v>容积率</v>
      </c>
      <c r="R13" s="1567" t="s">
        <v>8</v>
      </c>
      <c r="S13" s="1568">
        <f t="shared" si="0"/>
        <v>102</v>
      </c>
      <c r="T13" s="1567" t="s">
        <v>8</v>
      </c>
      <c r="U13" s="1568">
        <f t="shared" si="1"/>
        <v>103</v>
      </c>
      <c r="V13" s="1567" t="s">
        <v>8</v>
      </c>
      <c r="W13" s="1568">
        <f t="shared" si="2"/>
        <v>103</v>
      </c>
      <c r="X13" s="1569"/>
      <c r="Y13" s="3318"/>
      <c r="Z13" s="1149" t="str">
        <f t="shared" si="7"/>
        <v>容积率</v>
      </c>
      <c r="AA13" s="1570">
        <f t="shared" si="3"/>
        <v>0.98039215686274506</v>
      </c>
      <c r="AB13" s="1570">
        <f t="shared" si="4"/>
        <v>0.970873786407767</v>
      </c>
      <c r="AC13" s="1570">
        <f t="shared" si="5"/>
        <v>0.970873786407767</v>
      </c>
    </row>
    <row r="14" spans="1:30" s="1219" customFormat="1" ht="20.25">
      <c r="A14" s="2913"/>
      <c r="B14" s="2922" t="s">
        <v>2721</v>
      </c>
      <c r="C14" s="2909" t="s">
        <v>3044</v>
      </c>
      <c r="D14" s="537">
        <v>100</v>
      </c>
      <c r="E14" s="2909" t="s">
        <v>3044</v>
      </c>
      <c r="F14" s="255">
        <f>SUMIF(84:84,E14,85:85)-SUMIF(84:84,C14,85:85)+100</f>
        <v>100</v>
      </c>
      <c r="G14" s="2909" t="s">
        <v>3044</v>
      </c>
      <c r="H14" s="255">
        <f>SUMIF(84:84,G14,85:85)-SUMIF(84:84,C14,85:85)+100</f>
        <v>100</v>
      </c>
      <c r="I14" s="2909" t="s">
        <v>3044</v>
      </c>
      <c r="J14" s="255">
        <f>SUMIF(84:84,I14,85:85)-SUMIF(84:84,C14,85:85)+100</f>
        <v>100</v>
      </c>
      <c r="K14" s="530"/>
      <c r="L14" s="2135"/>
      <c r="M14" s="2132"/>
      <c r="N14" s="2132"/>
      <c r="O14" s="2137"/>
      <c r="P14" s="3372"/>
      <c r="Q14" s="1150" t="str">
        <f t="shared" si="6"/>
        <v>配建</v>
      </c>
      <c r="R14" s="1567" t="s">
        <v>8</v>
      </c>
      <c r="S14" s="1568">
        <f t="shared" si="0"/>
        <v>100</v>
      </c>
      <c r="T14" s="1567" t="s">
        <v>8</v>
      </c>
      <c r="U14" s="1568">
        <f t="shared" si="1"/>
        <v>100</v>
      </c>
      <c r="V14" s="1567" t="s">
        <v>8</v>
      </c>
      <c r="W14" s="1568">
        <f t="shared" si="2"/>
        <v>100</v>
      </c>
      <c r="X14" s="1569"/>
      <c r="Y14" s="3318"/>
      <c r="Z14" s="1149" t="str">
        <f t="shared" si="7"/>
        <v>配建</v>
      </c>
      <c r="AA14" s="1570">
        <f>D14/F14</f>
        <v>1</v>
      </c>
      <c r="AB14" s="1570">
        <f>D14/H14</f>
        <v>1</v>
      </c>
      <c r="AC14" s="1570">
        <f>D14/J14</f>
        <v>1</v>
      </c>
    </row>
    <row r="15" spans="1:30" ht="20.25">
      <c r="A15" s="2917"/>
      <c r="B15" s="2923"/>
      <c r="C15" s="911"/>
      <c r="D15" s="539">
        <v>100</v>
      </c>
      <c r="E15" s="540"/>
      <c r="F15" s="255">
        <f>SUMIF(86:86,E15,87:87)-SUMIF(86:86,C15,87:87)+100</f>
        <v>100</v>
      </c>
      <c r="G15" s="541"/>
      <c r="H15" s="539">
        <f>SUMIF(86:86,G15,87:87)-SUMIF(86:86,C15,87:87)+100</f>
        <v>100</v>
      </c>
      <c r="I15" s="541"/>
      <c r="J15" s="539">
        <f>SUMIF(86:86,I15,87:87)-SUMIF(86:86,C15,87:87)+100</f>
        <v>100</v>
      </c>
      <c r="K15" s="530"/>
      <c r="L15" s="2142"/>
      <c r="M15" s="2132"/>
      <c r="N15" s="2132"/>
      <c r="O15" s="2141"/>
      <c r="P15" s="3372"/>
      <c r="Q15" s="1150">
        <f t="shared" si="6"/>
        <v>0</v>
      </c>
      <c r="R15" s="1567" t="s">
        <v>8</v>
      </c>
      <c r="S15" s="1568">
        <f t="shared" si="0"/>
        <v>100</v>
      </c>
      <c r="T15" s="1567" t="s">
        <v>8</v>
      </c>
      <c r="U15" s="1568">
        <f t="shared" si="1"/>
        <v>100</v>
      </c>
      <c r="V15" s="1567" t="s">
        <v>8</v>
      </c>
      <c r="W15" s="1568">
        <f t="shared" si="2"/>
        <v>100</v>
      </c>
      <c r="X15" s="1569"/>
      <c r="Y15" s="3318"/>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2"/>
      <c r="Q16" s="1150">
        <f t="shared" si="6"/>
        <v>0</v>
      </c>
      <c r="R16" s="1567" t="s">
        <v>8</v>
      </c>
      <c r="S16" s="1568">
        <f t="shared" si="0"/>
        <v>100</v>
      </c>
      <c r="T16" s="1567" t="s">
        <v>8</v>
      </c>
      <c r="U16" s="1568">
        <f t="shared" si="1"/>
        <v>100</v>
      </c>
      <c r="V16" s="1567" t="s">
        <v>8</v>
      </c>
      <c r="W16" s="1568">
        <f t="shared" si="2"/>
        <v>100</v>
      </c>
      <c r="X16" s="1569"/>
      <c r="Y16" s="3318"/>
      <c r="Z16" s="1149">
        <f t="shared" si="7"/>
        <v>0</v>
      </c>
      <c r="AA16" s="1570">
        <f>D16/F16</f>
        <v>1</v>
      </c>
      <c r="AB16" s="1570">
        <f>D16/H16</f>
        <v>1</v>
      </c>
      <c r="AC16" s="1570">
        <f>D16/J16</f>
        <v>1</v>
      </c>
    </row>
    <row r="17" spans="1:29" ht="56.25" customHeight="1">
      <c r="A17" s="2910" t="s">
        <v>2716</v>
      </c>
      <c r="B17" s="577" t="s">
        <v>261</v>
      </c>
      <c r="C17" s="547" t="str">
        <f>估价对象房地状况!C15</f>
        <v>估价对象周边居住用地比例较好、周边有恒隆国际公寓等项目、居住小区规模和社区发展完善程度较好，综合评价居住社区成熟度较好</v>
      </c>
      <c r="D17" s="550">
        <v>100</v>
      </c>
      <c r="E17" s="3198" t="s">
        <v>3549</v>
      </c>
      <c r="F17" s="548">
        <f>SUMIF(90:90,E18,91:91)-SUMIF(90:90,C18,91:91)+100</f>
        <v>100</v>
      </c>
      <c r="G17" s="3198" t="s">
        <v>3549</v>
      </c>
      <c r="H17" s="548">
        <f>SUMIF(90:90,G18,91:91)-SUMIF(90:90,C18,91:91)+100</f>
        <v>100</v>
      </c>
      <c r="I17" s="3198" t="s">
        <v>3550</v>
      </c>
      <c r="J17" s="548">
        <f>SUMIF(90:90,I18,91:91)-SUMIF(90:90,C18,91:91)+100</f>
        <v>100</v>
      </c>
      <c r="K17" s="534">
        <v>0</v>
      </c>
      <c r="L17" s="2142"/>
      <c r="M17" s="2132"/>
      <c r="N17" s="2132"/>
      <c r="O17" s="2141"/>
      <c r="P17" s="3407" t="s">
        <v>506</v>
      </c>
      <c r="Q17" s="1571" t="str">
        <f t="shared" si="6"/>
        <v>居住社区成熟度</v>
      </c>
      <c r="R17" s="1572" t="s">
        <v>8</v>
      </c>
      <c r="S17" s="1573">
        <f t="shared" si="0"/>
        <v>100</v>
      </c>
      <c r="T17" s="1572" t="s">
        <v>8</v>
      </c>
      <c r="U17" s="1573">
        <f t="shared" si="1"/>
        <v>100</v>
      </c>
      <c r="V17" s="1572" t="s">
        <v>8</v>
      </c>
      <c r="W17" s="1573">
        <f t="shared" si="2"/>
        <v>100</v>
      </c>
      <c r="X17" s="1566"/>
      <c r="Y17" s="3407" t="s">
        <v>506</v>
      </c>
      <c r="Z17" s="1574" t="str">
        <f t="shared" si="7"/>
        <v>居住社区成熟度</v>
      </c>
      <c r="AA17" s="1575">
        <f t="shared" si="3"/>
        <v>1</v>
      </c>
      <c r="AB17" s="1575">
        <f t="shared" si="4"/>
        <v>1</v>
      </c>
      <c r="AC17" s="1575">
        <f t="shared" si="5"/>
        <v>1</v>
      </c>
    </row>
    <row r="18" spans="1:29" ht="20.25">
      <c r="A18" s="531"/>
      <c r="B18" s="552"/>
      <c r="C18" s="553"/>
      <c r="D18" s="556"/>
      <c r="E18" s="557"/>
      <c r="F18" s="554"/>
      <c r="G18" s="557"/>
      <c r="H18" s="558"/>
      <c r="I18" s="557"/>
      <c r="J18" s="554"/>
      <c r="K18" s="530"/>
      <c r="L18" s="2142"/>
      <c r="M18" s="2132"/>
      <c r="N18" s="2132"/>
      <c r="O18" s="2141"/>
      <c r="P18" s="3408"/>
      <c r="Q18" s="1571"/>
      <c r="R18" s="1572"/>
      <c r="S18" s="1573"/>
      <c r="T18" s="1572"/>
      <c r="U18" s="1573"/>
      <c r="V18" s="1572"/>
      <c r="W18" s="1573"/>
      <c r="X18" s="1566"/>
      <c r="Y18" s="3408"/>
      <c r="Z18" s="1574"/>
      <c r="AA18" s="1575">
        <v>1</v>
      </c>
      <c r="AB18" s="1575">
        <v>1</v>
      </c>
      <c r="AC18" s="1575">
        <v>1</v>
      </c>
    </row>
    <row r="19" spans="1:29" ht="71.25">
      <c r="A19" s="531"/>
      <c r="B19" s="559" t="s">
        <v>507</v>
      </c>
      <c r="C19" s="560" t="str">
        <f>估价对象房地状况!C16</f>
        <v>估价对象位于中央商务区，周边商业氛围成熟，人流量较大，商业繁华度较好</v>
      </c>
      <c r="D19" s="562">
        <v>100</v>
      </c>
      <c r="E19" s="3199" t="s">
        <v>3551</v>
      </c>
      <c r="F19" s="558">
        <f>SUMIF(92:92,E20,93:93)-SUMIF(92:92,C20,93:93)+100</f>
        <v>97</v>
      </c>
      <c r="G19" s="3199" t="s">
        <v>3551</v>
      </c>
      <c r="H19" s="564">
        <f>SUMIF(92:92,G20,93:93)-SUMIF(92:92,C20,93:93)+100</f>
        <v>97</v>
      </c>
      <c r="I19" s="3199" t="s">
        <v>3552</v>
      </c>
      <c r="J19" s="564">
        <f>SUMIF(92:92,I20,93:93)-SUMIF(92:92,C20,93:93)+100</f>
        <v>94</v>
      </c>
      <c r="K19" s="534">
        <v>3</v>
      </c>
      <c r="L19" s="2142"/>
      <c r="M19" s="2132"/>
      <c r="N19" s="2132"/>
      <c r="O19" s="2141"/>
      <c r="P19" s="3408"/>
      <c r="Q19" s="1571" t="str">
        <f>B19</f>
        <v>商业繁华度</v>
      </c>
      <c r="R19" s="1572" t="s">
        <v>8</v>
      </c>
      <c r="S19" s="1573">
        <f>F19</f>
        <v>97</v>
      </c>
      <c r="T19" s="1572" t="s">
        <v>8</v>
      </c>
      <c r="U19" s="1573">
        <f>H19</f>
        <v>97</v>
      </c>
      <c r="V19" s="1572" t="s">
        <v>8</v>
      </c>
      <c r="W19" s="1573">
        <f>J19</f>
        <v>94</v>
      </c>
      <c r="X19" s="1566"/>
      <c r="Y19" s="3408"/>
      <c r="Z19" s="1574" t="str">
        <f>Q19</f>
        <v>商业繁华度</v>
      </c>
      <c r="AA19" s="1575">
        <f t="shared" si="3"/>
        <v>1.0309278350515463</v>
      </c>
      <c r="AB19" s="1575">
        <f t="shared" si="4"/>
        <v>1.0309278350515463</v>
      </c>
      <c r="AC19" s="1575">
        <f t="shared" si="5"/>
        <v>1.0638297872340425</v>
      </c>
    </row>
    <row r="20" spans="1:29" ht="20.25">
      <c r="A20" s="531"/>
      <c r="B20" s="565"/>
      <c r="C20" s="566" t="s">
        <v>3015</v>
      </c>
      <c r="D20" s="562"/>
      <c r="E20" s="568" t="s">
        <v>3545</v>
      </c>
      <c r="F20" s="558"/>
      <c r="G20" s="568" t="s">
        <v>3545</v>
      </c>
      <c r="H20" s="554"/>
      <c r="I20" s="568" t="s">
        <v>3548</v>
      </c>
      <c r="J20" s="554"/>
      <c r="K20" s="530"/>
      <c r="L20" s="2142"/>
      <c r="M20" s="2132"/>
      <c r="N20" s="2132"/>
      <c r="O20" s="2141"/>
      <c r="P20" s="3408"/>
      <c r="Q20" s="1571"/>
      <c r="R20" s="1572"/>
      <c r="S20" s="1573"/>
      <c r="T20" s="1572"/>
      <c r="U20" s="1573"/>
      <c r="V20" s="1572"/>
      <c r="W20" s="1573"/>
      <c r="X20" s="1566"/>
      <c r="Y20" s="3408"/>
      <c r="Z20" s="1574"/>
      <c r="AA20" s="1575">
        <v>1</v>
      </c>
      <c r="AB20" s="1575">
        <v>1</v>
      </c>
      <c r="AC20" s="1575">
        <v>1</v>
      </c>
    </row>
    <row r="21" spans="1:29" ht="20.25">
      <c r="A21" s="531"/>
      <c r="B21" s="559" t="s">
        <v>508</v>
      </c>
      <c r="C21" s="560">
        <f>估价对象房地状况!C17</f>
        <v>0</v>
      </c>
      <c r="D21" s="570">
        <v>100</v>
      </c>
      <c r="E21" s="571" t="s">
        <v>3046</v>
      </c>
      <c r="F21" s="564">
        <f>SUMIF(94:94,E22,95:95)-SUMIF(94:94,C22,95:95)+100</f>
        <v>100</v>
      </c>
      <c r="G21" s="569" t="s">
        <v>3046</v>
      </c>
      <c r="H21" s="558">
        <f>SUMIF(94:94,G22,95:95)-SUMIF(94:94,C22,95:95)+100</f>
        <v>100</v>
      </c>
      <c r="I21" s="571" t="s">
        <v>3046</v>
      </c>
      <c r="J21" s="558">
        <f>SUMIF(94:94,I22,95:95)-SUMIF(94:94,C22,95:95)+100</f>
        <v>100</v>
      </c>
      <c r="K21" s="534">
        <v>1</v>
      </c>
      <c r="L21" s="2142"/>
      <c r="M21" s="2132"/>
      <c r="N21" s="2132"/>
      <c r="O21" s="2141"/>
      <c r="P21" s="3408"/>
      <c r="Q21" s="1571" t="str">
        <f>B21</f>
        <v>办公集聚程度</v>
      </c>
      <c r="R21" s="1572" t="s">
        <v>8</v>
      </c>
      <c r="S21" s="1573">
        <f>F21</f>
        <v>100</v>
      </c>
      <c r="T21" s="1572" t="s">
        <v>8</v>
      </c>
      <c r="U21" s="1573">
        <f>H21</f>
        <v>100</v>
      </c>
      <c r="V21" s="1572" t="s">
        <v>8</v>
      </c>
      <c r="W21" s="1573">
        <f>J21</f>
        <v>100</v>
      </c>
      <c r="X21" s="1566"/>
      <c r="Y21" s="3408"/>
      <c r="Z21" s="1574" t="str">
        <f>Q21</f>
        <v>办公集聚程度</v>
      </c>
      <c r="AA21" s="1575">
        <f t="shared" si="3"/>
        <v>1</v>
      </c>
      <c r="AB21" s="1575">
        <f t="shared" si="4"/>
        <v>1</v>
      </c>
      <c r="AC21" s="1575">
        <f t="shared" si="5"/>
        <v>1</v>
      </c>
    </row>
    <row r="22" spans="1:29" ht="20.25">
      <c r="A22" s="531"/>
      <c r="B22" s="565"/>
      <c r="C22" s="553" t="s">
        <v>3045</v>
      </c>
      <c r="D22" s="556"/>
      <c r="E22" s="553" t="s">
        <v>3045</v>
      </c>
      <c r="F22" s="554"/>
      <c r="G22" s="553" t="s">
        <v>3045</v>
      </c>
      <c r="H22" s="554"/>
      <c r="I22" s="553" t="s">
        <v>3045</v>
      </c>
      <c r="J22" s="554"/>
      <c r="K22" s="530"/>
      <c r="L22" s="2142"/>
      <c r="M22" s="2132"/>
      <c r="N22" s="2132"/>
      <c r="O22" s="2141"/>
      <c r="P22" s="3408"/>
      <c r="Q22" s="1571"/>
      <c r="R22" s="1572"/>
      <c r="S22" s="1573"/>
      <c r="T22" s="1572"/>
      <c r="U22" s="1573"/>
      <c r="V22" s="1572"/>
      <c r="W22" s="1573"/>
      <c r="X22" s="1566"/>
      <c r="Y22" s="3408"/>
      <c r="Z22" s="1574"/>
      <c r="AA22" s="1575">
        <v>1</v>
      </c>
      <c r="AB22" s="1575">
        <v>1</v>
      </c>
      <c r="AC22" s="1575">
        <v>1</v>
      </c>
    </row>
    <row r="23" spans="1:29" ht="128.25">
      <c r="A23" s="531"/>
      <c r="B23" s="559" t="s">
        <v>509</v>
      </c>
      <c r="C23" s="572" t="str">
        <f>估价对象房地状况!C18</f>
        <v>估价对象周边道路状况较好、公共交通通达情况较好、周边有11/13/22路等公交线路、停车便捷程度较好，综合评价交通便捷度较好</v>
      </c>
      <c r="D23" s="562">
        <v>100</v>
      </c>
      <c r="E23" s="563" t="s">
        <v>3544</v>
      </c>
      <c r="F23" s="564">
        <f>SUMIF(96:96,E24,97:97)-SUMIF(96:96,C24,97:97)+100</f>
        <v>100</v>
      </c>
      <c r="G23" s="563" t="s">
        <v>3546</v>
      </c>
      <c r="H23" s="558">
        <f>SUMIF(96:96,G24,97:97)-SUMIF(96:96,C24,97:97)+100</f>
        <v>98</v>
      </c>
      <c r="I23" s="563" t="s">
        <v>3547</v>
      </c>
      <c r="J23" s="558">
        <f>SUMIF(96:96,I24,97:97)-SUMIF(96:96,C24,97:97)+100</f>
        <v>96</v>
      </c>
      <c r="K23" s="534">
        <v>2</v>
      </c>
      <c r="L23" s="2142"/>
      <c r="M23" s="2132"/>
      <c r="N23" s="2132"/>
      <c r="O23" s="2141"/>
      <c r="P23" s="3408"/>
      <c r="Q23" s="1571" t="str">
        <f>B23</f>
        <v>交通便捷度</v>
      </c>
      <c r="R23" s="1572" t="s">
        <v>8</v>
      </c>
      <c r="S23" s="1573">
        <f>F23</f>
        <v>100</v>
      </c>
      <c r="T23" s="1572" t="s">
        <v>8</v>
      </c>
      <c r="U23" s="1573">
        <f>H23</f>
        <v>98</v>
      </c>
      <c r="V23" s="1572" t="s">
        <v>8</v>
      </c>
      <c r="W23" s="1573">
        <f>J23</f>
        <v>96</v>
      </c>
      <c r="X23" s="1566"/>
      <c r="Y23" s="3408"/>
      <c r="Z23" s="1574" t="str">
        <f>Q23</f>
        <v>交通便捷度</v>
      </c>
      <c r="AA23" s="1575">
        <f t="shared" si="3"/>
        <v>1</v>
      </c>
      <c r="AB23" s="1575">
        <f t="shared" si="4"/>
        <v>1.0204081632653061</v>
      </c>
      <c r="AC23" s="1575">
        <f t="shared" si="5"/>
        <v>1.0416666666666667</v>
      </c>
    </row>
    <row r="24" spans="1:29" ht="20.25">
      <c r="A24" s="531"/>
      <c r="B24" s="577"/>
      <c r="C24" s="553" t="s">
        <v>3015</v>
      </c>
      <c r="D24" s="556"/>
      <c r="E24" s="557" t="s">
        <v>3015</v>
      </c>
      <c r="F24" s="554"/>
      <c r="G24" s="555" t="s">
        <v>3545</v>
      </c>
      <c r="H24" s="554"/>
      <c r="I24" s="557" t="s">
        <v>3548</v>
      </c>
      <c r="J24" s="554"/>
      <c r="K24" s="530"/>
      <c r="L24" s="2142"/>
      <c r="M24" s="2132"/>
      <c r="N24" s="2132"/>
      <c r="O24" s="2141"/>
      <c r="P24" s="3408"/>
      <c r="Q24" s="1571"/>
      <c r="R24" s="1572"/>
      <c r="S24" s="1573"/>
      <c r="T24" s="1572"/>
      <c r="U24" s="1573"/>
      <c r="V24" s="1572"/>
      <c r="W24" s="1573"/>
      <c r="X24" s="1566"/>
      <c r="Y24" s="3408"/>
      <c r="Z24" s="1574"/>
      <c r="AA24" s="1575">
        <v>1</v>
      </c>
      <c r="AB24" s="1575">
        <v>1</v>
      </c>
      <c r="AC24" s="1575">
        <v>1</v>
      </c>
    </row>
    <row r="25" spans="1:29" ht="27">
      <c r="A25" s="515"/>
      <c r="B25" s="259" t="s">
        <v>510</v>
      </c>
      <c r="C25" s="572" t="str">
        <f>估价对象房地状况!C19</f>
        <v>较一致</v>
      </c>
      <c r="D25" s="562">
        <v>100</v>
      </c>
      <c r="E25" s="563" t="s">
        <v>2967</v>
      </c>
      <c r="F25" s="564">
        <f>SUMIF(98:98,E26,99:99)-SUMIF(98:98,C26,99:99)+100</f>
        <v>100</v>
      </c>
      <c r="G25" s="563" t="s">
        <v>2967</v>
      </c>
      <c r="H25" s="558">
        <f>SUMIF(98:98,G26,99:99)-SUMIF(98:98,C26,99:99)+100</f>
        <v>100</v>
      </c>
      <c r="I25" s="563" t="s">
        <v>2967</v>
      </c>
      <c r="J25" s="558">
        <f>SUMIF(98:98,I26,99:99)-SUMIF(98:98,C26,99:99)+100</f>
        <v>100</v>
      </c>
      <c r="K25" s="534">
        <v>1</v>
      </c>
      <c r="L25" s="2142"/>
      <c r="M25" s="2132"/>
      <c r="N25" s="2132"/>
      <c r="O25" s="2141"/>
      <c r="P25" s="3408"/>
      <c r="Q25" s="1571" t="str">
        <f t="shared" ref="Q25:Q39" si="8">B25</f>
        <v>区域土地利用方向</v>
      </c>
      <c r="R25" s="1572" t="s">
        <v>8</v>
      </c>
      <c r="S25" s="1573">
        <f>F25</f>
        <v>100</v>
      </c>
      <c r="T25" s="1572" t="s">
        <v>8</v>
      </c>
      <c r="U25" s="1573">
        <f>H25</f>
        <v>100</v>
      </c>
      <c r="V25" s="1572" t="s">
        <v>8</v>
      </c>
      <c r="W25" s="1573">
        <f>J25</f>
        <v>100</v>
      </c>
      <c r="X25" s="1566"/>
      <c r="Y25" s="3408"/>
      <c r="Z25" s="1574" t="str">
        <f>Q25</f>
        <v>区域土地利用方向</v>
      </c>
      <c r="AA25" s="1575">
        <f t="shared" si="3"/>
        <v>1</v>
      </c>
      <c r="AB25" s="1575">
        <f t="shared" si="4"/>
        <v>1</v>
      </c>
      <c r="AC25" s="1575">
        <f t="shared" si="5"/>
        <v>1</v>
      </c>
    </row>
    <row r="26" spans="1:29" ht="20.25">
      <c r="A26" s="515"/>
      <c r="B26" s="1006"/>
      <c r="C26" s="553" t="s">
        <v>3015</v>
      </c>
      <c r="D26" s="556"/>
      <c r="E26" s="557" t="s">
        <v>3015</v>
      </c>
      <c r="F26" s="554"/>
      <c r="G26" s="557" t="s">
        <v>3015</v>
      </c>
      <c r="H26" s="554"/>
      <c r="I26" s="557" t="s">
        <v>3015</v>
      </c>
      <c r="J26" s="554"/>
      <c r="K26" s="530"/>
      <c r="L26" s="2142"/>
      <c r="M26" s="2132"/>
      <c r="N26" s="2132"/>
      <c r="O26" s="2141"/>
      <c r="P26" s="3408"/>
      <c r="Q26" s="1571"/>
      <c r="R26" s="1572"/>
      <c r="S26" s="1573"/>
      <c r="T26" s="1572"/>
      <c r="U26" s="1573"/>
      <c r="V26" s="1572"/>
      <c r="W26" s="1573"/>
      <c r="X26" s="1566"/>
      <c r="Y26" s="3408"/>
      <c r="Z26" s="1574"/>
      <c r="AA26" s="1575"/>
      <c r="AB26" s="1575"/>
      <c r="AC26" s="1575"/>
    </row>
    <row r="27" spans="1:29" ht="71.25">
      <c r="A27" s="515"/>
      <c r="B27" s="577" t="s">
        <v>511</v>
      </c>
      <c r="C27" s="560" t="str">
        <f>估价对象房地状况!C20</f>
        <v>区域自然环境及人文环境较好，周边有南通中央公园等；综合评价环境状况较好</v>
      </c>
      <c r="D27" s="562">
        <v>100</v>
      </c>
      <c r="E27" s="3199" t="s">
        <v>3554</v>
      </c>
      <c r="F27" s="558">
        <f>SUMIF(100:100,E28,101:101)-SUMIF(100:100,C28,101:101)+100</f>
        <v>98</v>
      </c>
      <c r="G27" s="3199" t="s">
        <v>3554</v>
      </c>
      <c r="H27" s="558">
        <f>SUMIF(100:100,G28,101:101)-SUMIF(100:100,C28,101:101)+100</f>
        <v>98</v>
      </c>
      <c r="I27" s="3199" t="s">
        <v>3554</v>
      </c>
      <c r="J27" s="558">
        <f>SUMIF(100:100,I28,101:101)-SUMIF(100:100,C28,101:101)+100</f>
        <v>98</v>
      </c>
      <c r="K27" s="534">
        <v>2</v>
      </c>
      <c r="L27" s="2142"/>
      <c r="M27" s="2132"/>
      <c r="N27" s="2132"/>
      <c r="O27" s="2141"/>
      <c r="P27" s="3408"/>
      <c r="Q27" s="1571" t="str">
        <f t="shared" si="8"/>
        <v>自然及人文环境状况</v>
      </c>
      <c r="R27" s="1572" t="s">
        <v>8</v>
      </c>
      <c r="S27" s="1573">
        <f>F27</f>
        <v>98</v>
      </c>
      <c r="T27" s="1572" t="s">
        <v>8</v>
      </c>
      <c r="U27" s="1573">
        <f>H27</f>
        <v>98</v>
      </c>
      <c r="V27" s="1572" t="s">
        <v>8</v>
      </c>
      <c r="W27" s="1573">
        <f>J27</f>
        <v>98</v>
      </c>
      <c r="X27" s="1566"/>
      <c r="Y27" s="3408"/>
      <c r="Z27" s="1574" t="str">
        <f>Q27</f>
        <v>自然及人文环境状况</v>
      </c>
      <c r="AA27" s="1575">
        <f t="shared" si="3"/>
        <v>1.0204081632653061</v>
      </c>
      <c r="AB27" s="1575">
        <f t="shared" si="4"/>
        <v>1.0204081632653061</v>
      </c>
      <c r="AC27" s="1575">
        <f t="shared" si="5"/>
        <v>1.0204081632653061</v>
      </c>
    </row>
    <row r="28" spans="1:29" ht="20.25">
      <c r="A28" s="515"/>
      <c r="B28" s="565"/>
      <c r="C28" s="553" t="s">
        <v>3015</v>
      </c>
      <c r="D28" s="556"/>
      <c r="E28" s="575" t="s">
        <v>3545</v>
      </c>
      <c r="F28" s="554"/>
      <c r="G28" s="575" t="s">
        <v>3545</v>
      </c>
      <c r="H28" s="554"/>
      <c r="I28" s="575" t="s">
        <v>3545</v>
      </c>
      <c r="J28" s="554"/>
      <c r="K28" s="530"/>
      <c r="L28" s="2142"/>
      <c r="M28" s="2132"/>
      <c r="N28" s="2132"/>
      <c r="O28" s="2141"/>
      <c r="P28" s="3408"/>
      <c r="Q28" s="1571"/>
      <c r="R28" s="1572"/>
      <c r="S28" s="1573"/>
      <c r="T28" s="1572"/>
      <c r="U28" s="1573"/>
      <c r="V28" s="1572"/>
      <c r="W28" s="1573"/>
      <c r="X28" s="1566"/>
      <c r="Y28" s="3408"/>
      <c r="Z28" s="1574"/>
      <c r="AA28" s="1575">
        <v>1</v>
      </c>
      <c r="AB28" s="1575">
        <v>1</v>
      </c>
      <c r="AC28" s="1575">
        <v>1</v>
      </c>
    </row>
    <row r="29" spans="1:29" s="1219" customFormat="1" ht="42.75">
      <c r="A29" s="576"/>
      <c r="B29" s="2591" t="s">
        <v>2511</v>
      </c>
      <c r="C29" s="572" t="str">
        <f>估价对象房地状况!C21</f>
        <v>估价对象所在区域公共配套设施齐备情况较好</v>
      </c>
      <c r="D29" s="562">
        <v>100</v>
      </c>
      <c r="E29" s="563" t="s">
        <v>3008</v>
      </c>
      <c r="F29" s="558">
        <f>SUMIF(102:102,E30,103:103)-SUMIF(102:102,C30,103:103)+100</f>
        <v>100</v>
      </c>
      <c r="G29" s="563" t="s">
        <v>3008</v>
      </c>
      <c r="H29" s="558">
        <f>SUMIF(102:102,G30,103:103)-SUMIF(102:102,C30,103:103)+100</f>
        <v>100</v>
      </c>
      <c r="I29" s="3199" t="s">
        <v>3553</v>
      </c>
      <c r="J29" s="558">
        <f>SUMIF(102:102,I30,103:103)-SUMIF(102:102,C30,103:103)+100</f>
        <v>98</v>
      </c>
      <c r="K29" s="534">
        <v>2</v>
      </c>
      <c r="L29" s="2135"/>
      <c r="M29" s="2132"/>
      <c r="N29" s="2132"/>
      <c r="O29" s="2137"/>
      <c r="P29" s="3408"/>
      <c r="Q29" s="1150" t="str">
        <f t="shared" si="8"/>
        <v>公共配套设施</v>
      </c>
      <c r="R29" s="1567" t="s">
        <v>8</v>
      </c>
      <c r="S29" s="1568">
        <f>F29</f>
        <v>100</v>
      </c>
      <c r="T29" s="1567" t="s">
        <v>8</v>
      </c>
      <c r="U29" s="1568">
        <f>H29</f>
        <v>100</v>
      </c>
      <c r="V29" s="1567" t="s">
        <v>8</v>
      </c>
      <c r="W29" s="1568">
        <f>J29</f>
        <v>98</v>
      </c>
      <c r="X29" s="1569"/>
      <c r="Y29" s="3408"/>
      <c r="Z29" s="1149" t="str">
        <f>Q29</f>
        <v>公共配套设施</v>
      </c>
      <c r="AA29" s="1575">
        <f>D29/F29</f>
        <v>1</v>
      </c>
      <c r="AB29" s="1575">
        <f>D29/H29</f>
        <v>1</v>
      </c>
      <c r="AC29" s="1575">
        <f>D29/J29</f>
        <v>1.0204081632653061</v>
      </c>
    </row>
    <row r="30" spans="1:29" s="1219" customFormat="1" ht="20.25">
      <c r="A30" s="576"/>
      <c r="B30" s="565"/>
      <c r="C30" s="578" t="s">
        <v>3015</v>
      </c>
      <c r="D30" s="556"/>
      <c r="E30" s="575" t="s">
        <v>3015</v>
      </c>
      <c r="F30" s="554"/>
      <c r="G30" s="575" t="s">
        <v>3015</v>
      </c>
      <c r="H30" s="554"/>
      <c r="I30" s="575" t="s">
        <v>3545</v>
      </c>
      <c r="J30" s="554"/>
      <c r="K30" s="530"/>
      <c r="L30" s="2135"/>
      <c r="M30" s="2132"/>
      <c r="N30" s="2132"/>
      <c r="O30" s="2137"/>
      <c r="P30" s="3408"/>
      <c r="Q30" s="1150"/>
      <c r="R30" s="1567"/>
      <c r="S30" s="1568"/>
      <c r="T30" s="1567"/>
      <c r="U30" s="1568"/>
      <c r="V30" s="1567"/>
      <c r="W30" s="1568"/>
      <c r="X30" s="1569"/>
      <c r="Y30" s="3408"/>
      <c r="Z30" s="1149"/>
      <c r="AA30" s="1575">
        <v>1</v>
      </c>
      <c r="AB30" s="1575">
        <v>1</v>
      </c>
      <c r="AC30" s="1575">
        <v>1</v>
      </c>
    </row>
    <row r="31" spans="1:29" s="1219" customFormat="1" ht="42.75">
      <c r="A31" s="576"/>
      <c r="B31" s="2591" t="s">
        <v>2512</v>
      </c>
      <c r="C31" s="572" t="str">
        <f>估价对象房地状况!C22</f>
        <v>估价对象所在区域基础设施水平较好</v>
      </c>
      <c r="D31" s="562">
        <v>100</v>
      </c>
      <c r="E31" s="563" t="s">
        <v>3010</v>
      </c>
      <c r="F31" s="558">
        <f>SUMIF(104:104,E32,105:105)-SUMIF(104:104,C32,105:105)+100</f>
        <v>100</v>
      </c>
      <c r="G31" s="563" t="s">
        <v>3010</v>
      </c>
      <c r="H31" s="558">
        <f>SUMIF(104:104,G32,105:105)-SUMIF(104:104,C32,105:105)+100</f>
        <v>100</v>
      </c>
      <c r="I31" s="563" t="s">
        <v>3010</v>
      </c>
      <c r="J31" s="558">
        <f>SUMIF(104:104,I32,105:105)-SUMIF(104:104,C32,105:105)+100</f>
        <v>100</v>
      </c>
      <c r="K31" s="534">
        <v>1</v>
      </c>
      <c r="L31" s="2135"/>
      <c r="M31" s="2132"/>
      <c r="N31" s="2132"/>
      <c r="O31" s="2137"/>
      <c r="P31" s="3408"/>
      <c r="Q31" s="2578" t="str">
        <f t="shared" ref="Q31" si="9">B31</f>
        <v>基础设施水平</v>
      </c>
      <c r="R31" s="1567" t="s">
        <v>8</v>
      </c>
      <c r="S31" s="1568">
        <f>F31</f>
        <v>100</v>
      </c>
      <c r="T31" s="1567" t="s">
        <v>8</v>
      </c>
      <c r="U31" s="1568">
        <f>H31</f>
        <v>100</v>
      </c>
      <c r="V31" s="1567" t="s">
        <v>8</v>
      </c>
      <c r="W31" s="1568">
        <f>J31</f>
        <v>100</v>
      </c>
      <c r="X31" s="1569"/>
      <c r="Y31" s="3408"/>
      <c r="Z31" s="2575" t="str">
        <f>Q31</f>
        <v>基础设施水平</v>
      </c>
      <c r="AA31" s="1575">
        <f>D31/F31</f>
        <v>1</v>
      </c>
      <c r="AB31" s="1575">
        <f>D31/H31</f>
        <v>1</v>
      </c>
      <c r="AC31" s="1575">
        <f>D31/J31</f>
        <v>1</v>
      </c>
    </row>
    <row r="32" spans="1:29" s="1219" customFormat="1" ht="20.25">
      <c r="A32" s="576"/>
      <c r="B32" s="565"/>
      <c r="C32" s="578" t="s">
        <v>2998</v>
      </c>
      <c r="D32" s="556"/>
      <c r="E32" s="2592" t="s">
        <v>2998</v>
      </c>
      <c r="F32" s="554"/>
      <c r="G32" s="2592" t="s">
        <v>2998</v>
      </c>
      <c r="H32" s="554"/>
      <c r="I32" s="2592" t="s">
        <v>2998</v>
      </c>
      <c r="J32" s="554"/>
      <c r="K32" s="530"/>
      <c r="L32" s="2135"/>
      <c r="M32" s="2132"/>
      <c r="N32" s="2132"/>
      <c r="O32" s="2137"/>
      <c r="P32" s="3408"/>
      <c r="Q32" s="2578"/>
      <c r="R32" s="1567"/>
      <c r="S32" s="1568"/>
      <c r="T32" s="1567"/>
      <c r="U32" s="1568"/>
      <c r="V32" s="1567"/>
      <c r="W32" s="1568"/>
      <c r="X32" s="1569"/>
      <c r="Y32" s="3408"/>
      <c r="Z32" s="2575"/>
      <c r="AA32" s="1575">
        <v>1</v>
      </c>
      <c r="AB32" s="1575">
        <v>1</v>
      </c>
      <c r="AC32" s="1575">
        <v>1</v>
      </c>
    </row>
    <row r="33" spans="1:29" ht="20.25">
      <c r="A33" s="531"/>
      <c r="B33" s="565" t="s">
        <v>513</v>
      </c>
      <c r="C33" s="579" t="s">
        <v>2969</v>
      </c>
      <c r="D33" s="574">
        <v>100</v>
      </c>
      <c r="E33" s="582" t="s">
        <v>2969</v>
      </c>
      <c r="F33" s="539">
        <f>SUMIF(106:106,E33,107:107)-SUMIF(106:106,C33,107:107)+100</f>
        <v>100</v>
      </c>
      <c r="G33" s="582" t="s">
        <v>2969</v>
      </c>
      <c r="H33" s="539">
        <f>SUMIF(106:106,G33,107:107)-SUMIF(106:106,C33,107:107)+100</f>
        <v>100</v>
      </c>
      <c r="I33" s="582" t="s">
        <v>2969</v>
      </c>
      <c r="J33" s="539">
        <f>SUMIF(106:106,I33,107:107)-SUMIF(106:106,C33,107:107)+100</f>
        <v>100</v>
      </c>
      <c r="K33" s="534">
        <v>1</v>
      </c>
      <c r="L33" s="2142"/>
      <c r="M33" s="2132"/>
      <c r="N33" s="2132"/>
      <c r="O33" s="2141"/>
      <c r="P33" s="340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8"/>
      <c r="Z33" s="1574" t="str">
        <f t="shared" ref="Z33:Z47" si="13">Q33</f>
        <v>临街状况</v>
      </c>
      <c r="AA33" s="1575">
        <f t="shared" si="3"/>
        <v>1</v>
      </c>
      <c r="AB33" s="1575">
        <f t="shared" si="4"/>
        <v>1</v>
      </c>
      <c r="AC33" s="1575">
        <f t="shared" si="5"/>
        <v>1</v>
      </c>
    </row>
    <row r="34" spans="1:29" ht="28.5">
      <c r="A34" s="531"/>
      <c r="B34" s="577" t="s">
        <v>514</v>
      </c>
      <c r="C34" s="3194" t="str">
        <f>估价对象房地状况!C10</f>
        <v>城市次干道-崇川路</v>
      </c>
      <c r="D34" s="562">
        <v>100</v>
      </c>
      <c r="E34" s="563" t="s">
        <v>3555</v>
      </c>
      <c r="F34" s="558">
        <f>SUMIF(108:108,E35,109:109)-SUMIF(108:108,C35,109:109)+100</f>
        <v>100</v>
      </c>
      <c r="G34" s="563" t="s">
        <v>3556</v>
      </c>
      <c r="H34" s="558">
        <f>SUMIF(108:108,G35,109:109)-SUMIF(108:108,C35,109:109)+100</f>
        <v>100</v>
      </c>
      <c r="I34" s="563" t="s">
        <v>3557</v>
      </c>
      <c r="J34" s="558">
        <f>SUMIF(108:108,I35,109:109)-SUMIF(108:108,C35,109:109)+100</f>
        <v>100</v>
      </c>
      <c r="K34" s="534">
        <v>1</v>
      </c>
      <c r="L34" s="2142"/>
      <c r="M34" s="2132"/>
      <c r="N34" s="2132"/>
      <c r="O34" s="2141"/>
      <c r="P34" s="3408"/>
      <c r="Q34" s="1571" t="str">
        <f t="shared" si="8"/>
        <v>毗邻道路的类型与等级</v>
      </c>
      <c r="R34" s="1572" t="s">
        <v>8</v>
      </c>
      <c r="S34" s="1573">
        <f t="shared" si="10"/>
        <v>100</v>
      </c>
      <c r="T34" s="1572" t="s">
        <v>8</v>
      </c>
      <c r="U34" s="1573">
        <f t="shared" si="11"/>
        <v>100</v>
      </c>
      <c r="V34" s="1572" t="s">
        <v>8</v>
      </c>
      <c r="W34" s="1573">
        <f t="shared" si="12"/>
        <v>100</v>
      </c>
      <c r="X34" s="1566"/>
      <c r="Y34" s="3408"/>
      <c r="Z34" s="1574" t="str">
        <f t="shared" si="13"/>
        <v>毗邻道路的类型与等级</v>
      </c>
      <c r="AA34" s="1575">
        <f t="shared" si="3"/>
        <v>1</v>
      </c>
      <c r="AB34" s="1575">
        <f t="shared" si="4"/>
        <v>1</v>
      </c>
      <c r="AC34" s="1575">
        <f t="shared" si="5"/>
        <v>1</v>
      </c>
    </row>
    <row r="35" spans="1:29" ht="20.25">
      <c r="A35" s="531"/>
      <c r="B35" s="565"/>
      <c r="C35" s="553" t="s">
        <v>2970</v>
      </c>
      <c r="D35" s="556"/>
      <c r="E35" s="575" t="s">
        <v>2970</v>
      </c>
      <c r="F35" s="554"/>
      <c r="G35" s="553" t="s">
        <v>2970</v>
      </c>
      <c r="H35" s="554"/>
      <c r="I35" s="575" t="s">
        <v>2970</v>
      </c>
      <c r="J35" s="554"/>
      <c r="K35" s="580"/>
      <c r="L35" s="2142"/>
      <c r="M35" s="2132"/>
      <c r="N35" s="2132"/>
      <c r="O35" s="2141"/>
      <c r="P35" s="3408"/>
      <c r="Q35" s="1571"/>
      <c r="R35" s="1572"/>
      <c r="S35" s="1573"/>
      <c r="T35" s="1572"/>
      <c r="U35" s="1573"/>
      <c r="V35" s="1572"/>
      <c r="W35" s="1573"/>
      <c r="X35" s="1566"/>
      <c r="Y35" s="3408"/>
      <c r="Z35" s="1574"/>
      <c r="AA35" s="1575">
        <v>1</v>
      </c>
      <c r="AB35" s="1575">
        <v>1</v>
      </c>
      <c r="AC35" s="1575">
        <v>1</v>
      </c>
    </row>
    <row r="36" spans="1:29" ht="20.25">
      <c r="A36" s="531"/>
      <c r="B36" s="581" t="s">
        <v>515</v>
      </c>
      <c r="C36" s="579" t="s">
        <v>3040</v>
      </c>
      <c r="D36" s="574">
        <v>100</v>
      </c>
      <c r="E36" s="579" t="s">
        <v>3040</v>
      </c>
      <c r="F36" s="539">
        <f>SUMIF(110:110,E36,111:111)-SUMIF(110:110,C36,111:111)+100</f>
        <v>100</v>
      </c>
      <c r="G36" s="579" t="s">
        <v>3040</v>
      </c>
      <c r="H36" s="539">
        <f>SUMIF(110:110,G36,111:111)-SUMIF(110:110,C36,111:111)+100</f>
        <v>100</v>
      </c>
      <c r="I36" s="579" t="s">
        <v>3040</v>
      </c>
      <c r="J36" s="539">
        <f>SUMIF(110:110,I36,111:111)-SUMIF(110:110,C36,111:111)+100</f>
        <v>100</v>
      </c>
      <c r="K36" s="583">
        <v>1</v>
      </c>
      <c r="L36" s="2142"/>
      <c r="M36" s="2132"/>
      <c r="N36" s="2132"/>
      <c r="O36" s="2141"/>
      <c r="P36" s="3408"/>
      <c r="Q36" s="1571" t="str">
        <f t="shared" si="8"/>
        <v>土地级别</v>
      </c>
      <c r="R36" s="1572" t="s">
        <v>8</v>
      </c>
      <c r="S36" s="1573">
        <f t="shared" si="10"/>
        <v>100</v>
      </c>
      <c r="T36" s="1572" t="s">
        <v>8</v>
      </c>
      <c r="U36" s="1573">
        <f t="shared" si="11"/>
        <v>100</v>
      </c>
      <c r="V36" s="1572" t="s">
        <v>8</v>
      </c>
      <c r="W36" s="1573">
        <f t="shared" si="12"/>
        <v>100</v>
      </c>
      <c r="X36" s="1566"/>
      <c r="Y36" s="3408"/>
      <c r="Z36" s="1574" t="str">
        <f t="shared" si="13"/>
        <v>土地级别</v>
      </c>
      <c r="AA36" s="1575">
        <f t="shared" si="3"/>
        <v>1</v>
      </c>
      <c r="AB36" s="1575">
        <f t="shared" si="4"/>
        <v>1</v>
      </c>
      <c r="AC36" s="1575">
        <f t="shared" si="5"/>
        <v>1</v>
      </c>
    </row>
    <row r="37" spans="1:29" ht="20.25">
      <c r="A37" s="515"/>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8"/>
      <c r="Q37" s="1571">
        <f t="shared" si="8"/>
        <v>0</v>
      </c>
      <c r="R37" s="1572" t="s">
        <v>8</v>
      </c>
      <c r="S37" s="1573">
        <f t="shared" si="10"/>
        <v>100</v>
      </c>
      <c r="T37" s="1572" t="s">
        <v>8</v>
      </c>
      <c r="U37" s="1573">
        <f t="shared" si="11"/>
        <v>100</v>
      </c>
      <c r="V37" s="1572" t="s">
        <v>8</v>
      </c>
      <c r="W37" s="1573">
        <f t="shared" si="12"/>
        <v>100</v>
      </c>
      <c r="X37" s="1566"/>
      <c r="Y37" s="3408"/>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9" t="s">
        <v>516</v>
      </c>
      <c r="Q38" s="1571">
        <f t="shared" si="8"/>
        <v>0</v>
      </c>
      <c r="R38" s="1572" t="s">
        <v>8</v>
      </c>
      <c r="S38" s="1573">
        <f t="shared" si="10"/>
        <v>100</v>
      </c>
      <c r="T38" s="1572" t="s">
        <v>8</v>
      </c>
      <c r="U38" s="1573">
        <f t="shared" si="11"/>
        <v>100</v>
      </c>
      <c r="V38" s="1572" t="s">
        <v>8</v>
      </c>
      <c r="W38" s="1573">
        <f t="shared" si="12"/>
        <v>100</v>
      </c>
      <c r="X38" s="1566"/>
      <c r="Y38" s="3410" t="s">
        <v>516</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0"/>
      <c r="Q39" s="1571">
        <f t="shared" si="8"/>
        <v>0</v>
      </c>
      <c r="R39" s="1576" t="s">
        <v>8</v>
      </c>
      <c r="S39" s="1577">
        <f t="shared" si="10"/>
        <v>100</v>
      </c>
      <c r="T39" s="1576" t="s">
        <v>8</v>
      </c>
      <c r="U39" s="1577">
        <f t="shared" si="11"/>
        <v>100</v>
      </c>
      <c r="V39" s="1576" t="s">
        <v>8</v>
      </c>
      <c r="W39" s="1577">
        <f t="shared" si="12"/>
        <v>100</v>
      </c>
      <c r="X39" s="1578"/>
      <c r="Y39" s="3410"/>
      <c r="Z39" s="1579">
        <f t="shared" si="13"/>
        <v>0</v>
      </c>
      <c r="AA39" s="1575">
        <f t="shared" si="3"/>
        <v>1</v>
      </c>
      <c r="AB39" s="1575">
        <f t="shared" si="4"/>
        <v>1</v>
      </c>
      <c r="AC39" s="1575">
        <f t="shared" si="5"/>
        <v>1</v>
      </c>
    </row>
    <row r="40" spans="1:29" ht="20.25">
      <c r="A40" s="2907" t="s">
        <v>2717</v>
      </c>
      <c r="B40" s="594" t="s">
        <v>518</v>
      </c>
      <c r="C40" s="595">
        <f>'数据-基础表'!A3</f>
        <v>22987.21</v>
      </c>
      <c r="D40" s="596">
        <v>100</v>
      </c>
      <c r="E40" s="595">
        <v>150066.29999999999</v>
      </c>
      <c r="F40" s="596">
        <f>LOOKUP(E40,119:119,120:120)-LOOKUP(C40,119:119,120:120)+100</f>
        <v>102</v>
      </c>
      <c r="G40" s="595">
        <v>71445</v>
      </c>
      <c r="H40" s="596">
        <f>LOOKUP(G40,119:119,120:120)-LOOKUP(C40,119:119,120:120)+100</f>
        <v>100</v>
      </c>
      <c r="I40" s="597">
        <v>58031.38</v>
      </c>
      <c r="J40" s="596">
        <f>LOOKUP(I40,119:119,120:120)-LOOKUP(C40,119:119,120:120)+100</f>
        <v>100</v>
      </c>
      <c r="K40" s="580"/>
      <c r="L40" s="2142"/>
      <c r="M40" s="2132"/>
      <c r="N40" s="2132"/>
      <c r="O40" s="2141"/>
      <c r="P40" s="3410"/>
      <c r="Q40" s="1571" t="str">
        <f>B40</f>
        <v>宗地面积</v>
      </c>
      <c r="R40" s="1572" t="s">
        <v>8</v>
      </c>
      <c r="S40" s="1573">
        <f t="shared" si="10"/>
        <v>102</v>
      </c>
      <c r="T40" s="1572" t="s">
        <v>8</v>
      </c>
      <c r="U40" s="1573">
        <f t="shared" si="11"/>
        <v>100</v>
      </c>
      <c r="V40" s="1572" t="s">
        <v>8</v>
      </c>
      <c r="W40" s="1573">
        <f t="shared" si="12"/>
        <v>100</v>
      </c>
      <c r="X40" s="1566"/>
      <c r="Y40" s="3410"/>
      <c r="Z40" s="1574" t="str">
        <f t="shared" si="13"/>
        <v>宗地面积</v>
      </c>
      <c r="AA40" s="1575">
        <f t="shared" si="3"/>
        <v>0.98039215686274506</v>
      </c>
      <c r="AB40" s="1575">
        <f t="shared" si="4"/>
        <v>1</v>
      </c>
      <c r="AC40" s="1575">
        <f t="shared" si="5"/>
        <v>1</v>
      </c>
    </row>
    <row r="41" spans="1:29" ht="20.25">
      <c r="A41" s="593"/>
      <c r="B41" s="527" t="s">
        <v>519</v>
      </c>
      <c r="C41" s="598" t="s">
        <v>3041</v>
      </c>
      <c r="D41" s="539">
        <v>100</v>
      </c>
      <c r="E41" s="598" t="s">
        <v>3041</v>
      </c>
      <c r="F41" s="539">
        <f>SUMIF(121:121,E41,122:122)-SUMIF(121:121,C41,122:122)+100</f>
        <v>100</v>
      </c>
      <c r="G41" s="598" t="s">
        <v>3041</v>
      </c>
      <c r="H41" s="539">
        <f>SUMIF(121:121,G41,122:122)-SUMIF(121:121,C41,122:122)+100</f>
        <v>100</v>
      </c>
      <c r="I41" s="598" t="s">
        <v>3041</v>
      </c>
      <c r="J41" s="539">
        <f>SUMIF(121:121,I41,122:122)-SUMIF(121:121,C41,122:122)+100</f>
        <v>100</v>
      </c>
      <c r="K41" s="583">
        <v>1</v>
      </c>
      <c r="L41" s="2142"/>
      <c r="M41" s="2132"/>
      <c r="N41" s="2132"/>
      <c r="O41" s="2141"/>
      <c r="P41" s="3410"/>
      <c r="Q41" s="1571" t="str">
        <f t="shared" ref="Q41:Q47" si="14">B41</f>
        <v>宗地形状</v>
      </c>
      <c r="R41" s="1572" t="s">
        <v>8</v>
      </c>
      <c r="S41" s="1573">
        <f t="shared" si="10"/>
        <v>100</v>
      </c>
      <c r="T41" s="1572" t="s">
        <v>8</v>
      </c>
      <c r="U41" s="1573">
        <f t="shared" si="11"/>
        <v>100</v>
      </c>
      <c r="V41" s="1572" t="s">
        <v>8</v>
      </c>
      <c r="W41" s="1573">
        <f t="shared" si="12"/>
        <v>100</v>
      </c>
      <c r="X41" s="1566"/>
      <c r="Y41" s="3410"/>
      <c r="Z41" s="1574" t="str">
        <f t="shared" si="13"/>
        <v>宗地形状</v>
      </c>
      <c r="AA41" s="1575">
        <f t="shared" si="3"/>
        <v>1</v>
      </c>
      <c r="AB41" s="1575">
        <f t="shared" si="4"/>
        <v>1</v>
      </c>
      <c r="AC41" s="1575">
        <f t="shared" si="5"/>
        <v>1</v>
      </c>
    </row>
    <row r="42" spans="1:29" ht="20.25">
      <c r="A42" s="593"/>
      <c r="B42" s="527" t="s">
        <v>520</v>
      </c>
      <c r="C42" s="598" t="s">
        <v>3015</v>
      </c>
      <c r="D42" s="539">
        <v>100</v>
      </c>
      <c r="E42" s="598" t="s">
        <v>3015</v>
      </c>
      <c r="F42" s="539">
        <f>SUMIF(123:123,E42,124:124)-SUMIF(123:123,C42,124:124)+100</f>
        <v>100</v>
      </c>
      <c r="G42" s="598" t="s">
        <v>3015</v>
      </c>
      <c r="H42" s="539">
        <f>SUMIF(123:123,G42,124:124)-SUMIF(123:123,C42,124:124)+100</f>
        <v>100</v>
      </c>
      <c r="I42" s="598" t="s">
        <v>3015</v>
      </c>
      <c r="J42" s="539">
        <f>SUMIF(123:123,I42,124:124)-SUMIF(123:123,C42,124:124)+100</f>
        <v>100</v>
      </c>
      <c r="K42" s="583">
        <v>1</v>
      </c>
      <c r="L42" s="2142"/>
      <c r="M42" s="2132"/>
      <c r="N42" s="2132"/>
      <c r="O42" s="2141"/>
      <c r="P42" s="3410"/>
      <c r="Q42" s="1571" t="str">
        <f t="shared" si="14"/>
        <v>临街宽度及深度</v>
      </c>
      <c r="R42" s="1572" t="s">
        <v>8</v>
      </c>
      <c r="S42" s="1573">
        <f t="shared" si="10"/>
        <v>100</v>
      </c>
      <c r="T42" s="1572" t="s">
        <v>8</v>
      </c>
      <c r="U42" s="1573">
        <f t="shared" si="11"/>
        <v>100</v>
      </c>
      <c r="V42" s="1572" t="s">
        <v>8</v>
      </c>
      <c r="W42" s="1573">
        <f t="shared" si="12"/>
        <v>100</v>
      </c>
      <c r="X42" s="1566"/>
      <c r="Y42" s="3410"/>
      <c r="Z42" s="1574" t="str">
        <f t="shared" si="13"/>
        <v>临街宽度及深度</v>
      </c>
      <c r="AA42" s="1575">
        <f t="shared" si="3"/>
        <v>1</v>
      </c>
      <c r="AB42" s="1575">
        <f t="shared" si="4"/>
        <v>1</v>
      </c>
      <c r="AC42" s="1575">
        <f t="shared" si="5"/>
        <v>1</v>
      </c>
    </row>
    <row r="43" spans="1:29" s="1219" customFormat="1" ht="20.25">
      <c r="A43" s="599"/>
      <c r="B43" s="1895" t="s">
        <v>2387</v>
      </c>
      <c r="C43" s="600" t="s">
        <v>2998</v>
      </c>
      <c r="D43" s="255">
        <v>100</v>
      </c>
      <c r="E43" s="600" t="s">
        <v>2998</v>
      </c>
      <c r="F43" s="539">
        <f>SUMIF(125:125,E43,126:126)-SUMIF(125:125,C43,126:126)+100</f>
        <v>100</v>
      </c>
      <c r="G43" s="600" t="s">
        <v>2998</v>
      </c>
      <c r="H43" s="539">
        <f>SUMIF(125:125,G43,126:126)-SUMIF(125:125,C43,126:126)+100</f>
        <v>100</v>
      </c>
      <c r="I43" s="600" t="s">
        <v>2998</v>
      </c>
      <c r="J43" s="539">
        <f>SUMIF(125:125,I43,126:126)-SUMIF(125:125,C43,126:126)+100</f>
        <v>100</v>
      </c>
      <c r="K43" s="583">
        <v>1</v>
      </c>
      <c r="L43" s="2135"/>
      <c r="M43" s="2132"/>
      <c r="N43" s="2132"/>
      <c r="O43" s="2137"/>
      <c r="P43" s="3410"/>
      <c r="Q43" s="1571" t="str">
        <f t="shared" si="14"/>
        <v>宗地开发程度</v>
      </c>
      <c r="R43" s="1567" t="s">
        <v>8</v>
      </c>
      <c r="S43" s="1568">
        <f t="shared" si="10"/>
        <v>100</v>
      </c>
      <c r="T43" s="1567" t="s">
        <v>8</v>
      </c>
      <c r="U43" s="1568">
        <f t="shared" si="11"/>
        <v>100</v>
      </c>
      <c r="V43" s="1567" t="s">
        <v>8</v>
      </c>
      <c r="W43" s="1568">
        <f t="shared" si="12"/>
        <v>100</v>
      </c>
      <c r="X43" s="1569"/>
      <c r="Y43" s="3410"/>
      <c r="Z43" s="1149" t="str">
        <f t="shared" si="13"/>
        <v>宗地开发程度</v>
      </c>
      <c r="AA43" s="1570">
        <f t="shared" si="3"/>
        <v>1</v>
      </c>
      <c r="AB43" s="1570">
        <f t="shared" si="4"/>
        <v>1</v>
      </c>
      <c r="AC43" s="1570">
        <f t="shared" si="5"/>
        <v>1</v>
      </c>
    </row>
    <row r="44" spans="1:29" ht="20.25">
      <c r="A44" s="593"/>
      <c r="B44" s="527" t="s">
        <v>521</v>
      </c>
      <c r="C44" s="598" t="s">
        <v>3015</v>
      </c>
      <c r="D44" s="539">
        <v>100</v>
      </c>
      <c r="E44" s="598" t="s">
        <v>3015</v>
      </c>
      <c r="F44" s="539">
        <f>SUMIF(127:127,E44,128:128)-SUMIF(127:127,C44,128:128)+100</f>
        <v>100</v>
      </c>
      <c r="G44" s="598" t="s">
        <v>3015</v>
      </c>
      <c r="H44" s="539">
        <f>SUMIF(127:127,G44,128:128)-SUMIF(127:127,C44,128:128)+100</f>
        <v>100</v>
      </c>
      <c r="I44" s="598" t="s">
        <v>3015</v>
      </c>
      <c r="J44" s="539">
        <f>SUMIF(127:127,I44,128:128)-SUMIF(127:127,C44,128:128)+100</f>
        <v>100</v>
      </c>
      <c r="K44" s="583">
        <v>1</v>
      </c>
      <c r="L44" s="2142"/>
      <c r="M44" s="2132"/>
      <c r="N44" s="2132"/>
      <c r="O44" s="2141"/>
      <c r="P44" s="3410" t="s">
        <v>516</v>
      </c>
      <c r="Q44" s="1571" t="str">
        <f t="shared" si="14"/>
        <v>工程地质条件</v>
      </c>
      <c r="R44" s="1572" t="s">
        <v>8</v>
      </c>
      <c r="S44" s="1573">
        <f t="shared" si="10"/>
        <v>100</v>
      </c>
      <c r="T44" s="1572" t="s">
        <v>8</v>
      </c>
      <c r="U44" s="1573">
        <f t="shared" si="11"/>
        <v>100</v>
      </c>
      <c r="V44" s="1572" t="s">
        <v>8</v>
      </c>
      <c r="W44" s="1573">
        <f t="shared" si="12"/>
        <v>100</v>
      </c>
      <c r="X44" s="1566"/>
      <c r="Y44" s="3410" t="s">
        <v>516</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0"/>
      <c r="Q45" s="1571">
        <f t="shared" si="14"/>
        <v>0</v>
      </c>
      <c r="R45" s="1572" t="s">
        <v>8</v>
      </c>
      <c r="S45" s="1573">
        <f t="shared" si="10"/>
        <v>100</v>
      </c>
      <c r="T45" s="1572" t="s">
        <v>8</v>
      </c>
      <c r="U45" s="1573">
        <f t="shared" si="11"/>
        <v>100</v>
      </c>
      <c r="V45" s="1572" t="s">
        <v>8</v>
      </c>
      <c r="W45" s="1573">
        <f t="shared" si="12"/>
        <v>100</v>
      </c>
      <c r="X45" s="1566"/>
      <c r="Y45" s="3410"/>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0"/>
      <c r="Q46" s="1571">
        <f t="shared" si="14"/>
        <v>0</v>
      </c>
      <c r="R46" s="1572" t="s">
        <v>8</v>
      </c>
      <c r="S46" s="1573">
        <f t="shared" si="10"/>
        <v>100</v>
      </c>
      <c r="T46" s="1572" t="s">
        <v>8</v>
      </c>
      <c r="U46" s="1573">
        <f t="shared" si="11"/>
        <v>100</v>
      </c>
      <c r="V46" s="1572" t="s">
        <v>8</v>
      </c>
      <c r="W46" s="1573">
        <f t="shared" si="12"/>
        <v>100</v>
      </c>
      <c r="X46" s="1566"/>
      <c r="Y46" s="3410"/>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0"/>
      <c r="Q47" s="1571">
        <f t="shared" si="14"/>
        <v>0</v>
      </c>
      <c r="R47" s="1576" t="s">
        <v>8</v>
      </c>
      <c r="S47" s="1577">
        <f t="shared" si="10"/>
        <v>100</v>
      </c>
      <c r="T47" s="1576" t="s">
        <v>8</v>
      </c>
      <c r="U47" s="1577">
        <f t="shared" si="11"/>
        <v>100</v>
      </c>
      <c r="V47" s="1576" t="s">
        <v>8</v>
      </c>
      <c r="W47" s="1577">
        <f t="shared" si="12"/>
        <v>100</v>
      </c>
      <c r="X47" s="1578"/>
      <c r="Y47" s="3410"/>
      <c r="Z47" s="1579">
        <f t="shared" si="13"/>
        <v>0</v>
      </c>
      <c r="AA47" s="1575">
        <f t="shared" si="3"/>
        <v>1</v>
      </c>
      <c r="AB47" s="1575">
        <f t="shared" si="4"/>
        <v>1</v>
      </c>
      <c r="AC47" s="1575">
        <f t="shared" si="5"/>
        <v>1</v>
      </c>
    </row>
    <row r="48" spans="1:29" ht="20.25">
      <c r="A48" s="606" t="s">
        <v>522</v>
      </c>
      <c r="B48" s="607" t="s">
        <v>3038</v>
      </c>
      <c r="C48" s="608" t="s">
        <v>1</v>
      </c>
      <c r="D48" s="609"/>
      <c r="E48" s="610">
        <v>4516</v>
      </c>
      <c r="F48" s="611"/>
      <c r="G48" s="612">
        <v>4706</v>
      </c>
      <c r="H48" s="613"/>
      <c r="I48" s="610">
        <v>3750</v>
      </c>
      <c r="J48" s="613"/>
      <c r="K48" s="1339"/>
      <c r="L48" s="2144"/>
      <c r="M48" s="2132"/>
      <c r="N48" s="2132"/>
      <c r="O48" s="2145"/>
      <c r="P48" s="3372" t="str">
        <f>A48</f>
        <v>成交单价</v>
      </c>
      <c r="Q48" s="3372"/>
      <c r="R48" s="3373">
        <f>E48</f>
        <v>4516</v>
      </c>
      <c r="S48" s="3373"/>
      <c r="T48" s="3373">
        <f>G48</f>
        <v>4706</v>
      </c>
      <c r="U48" s="3373"/>
      <c r="V48" s="3373">
        <f>I48</f>
        <v>3750</v>
      </c>
      <c r="W48" s="3373"/>
      <c r="X48" s="1558"/>
      <c r="Y48" s="1580"/>
      <c r="Z48" s="1558"/>
      <c r="AA48" s="1558"/>
      <c r="AB48" s="1558"/>
      <c r="AC48" s="1558"/>
    </row>
    <row r="49" spans="1:29" ht="21" thickBot="1">
      <c r="A49" s="614" t="s">
        <v>2655</v>
      </c>
      <c r="B49" s="615"/>
      <c r="C49" s="616">
        <f>R50</f>
        <v>3875</v>
      </c>
      <c r="D49" s="617"/>
      <c r="E49" s="616">
        <f>R49</f>
        <v>3962</v>
      </c>
      <c r="F49" s="618"/>
      <c r="G49" s="619">
        <f>T49</f>
        <v>4128</v>
      </c>
      <c r="H49" s="617"/>
      <c r="I49" s="616">
        <f>V49</f>
        <v>3536</v>
      </c>
      <c r="J49" s="617"/>
      <c r="K49" s="1340"/>
      <c r="L49" s="2144"/>
      <c r="M49" s="2132"/>
      <c r="N49" s="2132"/>
      <c r="O49" s="2145"/>
      <c r="P49" s="3372" t="str">
        <f>A49</f>
        <v>比较价格（元/平方米）</v>
      </c>
      <c r="Q49" s="3372"/>
      <c r="R49" s="3374">
        <f>ROUND(PRODUCT(R48,AA9:AA47),0)</f>
        <v>3962</v>
      </c>
      <c r="S49" s="3374"/>
      <c r="T49" s="3374">
        <f>ROUND(PRODUCT(T48,AB9:AB47),0)</f>
        <v>4128</v>
      </c>
      <c r="U49" s="3374"/>
      <c r="V49" s="3374">
        <f>ROUND(PRODUCT(V48,AC9:AC47),0)</f>
        <v>3536</v>
      </c>
      <c r="W49" s="3374"/>
      <c r="X49" s="1558"/>
      <c r="Y49" s="1558"/>
      <c r="Z49" s="1558"/>
      <c r="AA49" s="1558"/>
      <c r="AB49" s="1558"/>
      <c r="AC49" s="1558"/>
    </row>
    <row r="50" spans="1:29" ht="21" thickBot="1">
      <c r="A50" s="620" t="s">
        <v>3039</v>
      </c>
      <c r="B50" s="621"/>
      <c r="C50" s="622">
        <f>R50</f>
        <v>3875</v>
      </c>
      <c r="D50" s="622"/>
      <c r="E50" s="622"/>
      <c r="F50" s="622"/>
      <c r="G50" s="622"/>
      <c r="H50" s="622"/>
      <c r="I50" s="622"/>
      <c r="J50" s="622"/>
      <c r="K50" s="1341"/>
      <c r="L50" s="2144"/>
      <c r="M50" s="2132"/>
      <c r="N50" s="2132"/>
      <c r="O50" s="2145"/>
      <c r="P50" s="3369" t="str">
        <f>A50</f>
        <v>估价对象商业用房的比较价格（楼面单价，元/平方米）</v>
      </c>
      <c r="Q50" s="3370"/>
      <c r="R50" s="3371">
        <f>ROUND(AVERAGE(R49:V49),0)</f>
        <v>3875</v>
      </c>
      <c r="S50" s="3371"/>
      <c r="T50" s="3371"/>
      <c r="U50" s="3371"/>
      <c r="V50" s="3371"/>
      <c r="W50" s="337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f>IF(E48&lt;E49,E49/E48-1,E48/E49-1)</f>
        <v>0.13982836951034838</v>
      </c>
      <c r="F53" s="626" t="str">
        <f>IF(OR(E53&gt;=0.3,E53&lt;=-0.3),"超过30%","")</f>
        <v/>
      </c>
      <c r="G53" s="625">
        <f>IF(G48&lt;G49,G49/G48-1,G48/G49-1)</f>
        <v>0.14001937984496116</v>
      </c>
      <c r="H53" s="626" t="str">
        <f>IF(OR(G53&gt;=0.3,G53&lt;=-0.3),"超过30%","")</f>
        <v/>
      </c>
      <c r="I53" s="625">
        <f>IF(I48&lt;I49,I49/I48-1,I48/I49-1)</f>
        <v>6.0520361990950233E-2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f>IF(E49&lt;G49,G49/E49-1,E49/G49-1)</f>
        <v>4.1898031297324501E-2</v>
      </c>
      <c r="F54" s="626" t="str">
        <f>IF(OR(E54&gt;=0.2,E54&lt;=-0.2),"超过20%","")</f>
        <v/>
      </c>
      <c r="G54" s="625">
        <f>IF(G49&lt;I49,I49/G49-1,G49/I49-1)</f>
        <v>0.16742081447963808</v>
      </c>
      <c r="H54" s="626" t="str">
        <f>IF(OR(G54&gt;=0.2,G54&lt;=-0.2),"超过20%","")</f>
        <v/>
      </c>
      <c r="I54" s="625">
        <f>IF(I49&lt;E49,E49/I49-1,I49/E49-1)</f>
        <v>0.12047511312217196</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f>IF(E48&lt;G48,G48/E48-1,E48/G48-1)</f>
        <v>4.2072630646589948E-2</v>
      </c>
      <c r="F55" s="626" t="str">
        <f>IF(OR(E55&gt;=0.3,E55&lt;=-0.3),"超过30%","")</f>
        <v/>
      </c>
      <c r="G55" s="625">
        <f>IF(G48&lt;I48,I48/G48-1,G48/I48-1)</f>
        <v>0.25493333333333323</v>
      </c>
      <c r="H55" s="626" t="str">
        <f>IF(OR(G55&gt;=0.3,G55&lt;=-0.3),"超过30%","")</f>
        <v/>
      </c>
      <c r="I55" s="625">
        <f>IF(I48&lt;E48,E48/I48-1,I48/E48-1)</f>
        <v>0.2042666666666666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526</v>
      </c>
      <c r="B57" s="629" t="s">
        <v>527</v>
      </c>
      <c r="C57" s="1559" t="s">
        <v>1687</v>
      </c>
      <c r="D57" s="2227" t="s">
        <v>2256</v>
      </c>
      <c r="E57" s="630" t="s">
        <v>528</v>
      </c>
      <c r="F57" s="631" t="s">
        <v>529</v>
      </c>
      <c r="G57" s="3399" t="s">
        <v>2244</v>
      </c>
      <c r="H57" s="3400"/>
      <c r="I57" s="1554" t="s">
        <v>1685</v>
      </c>
      <c r="J57" s="1554" t="str">
        <f>项目基本情况!F41</f>
        <v>南通市</v>
      </c>
      <c r="K57" s="2154" t="s">
        <v>1686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530</v>
      </c>
      <c r="B58" s="633">
        <f>C50</f>
        <v>3875</v>
      </c>
      <c r="C58" s="634">
        <v>1</v>
      </c>
      <c r="D58" s="2228">
        <v>1</v>
      </c>
      <c r="E58" s="634">
        <f>'数据-汇总表'!E8+'数据-汇总表'!E9</f>
        <v>110338.60799999999</v>
      </c>
      <c r="F58" s="635">
        <f t="shared" ref="F58:F67" si="15">ROUND(B58*E58/10000,0)</f>
        <v>42756</v>
      </c>
      <c r="G58" s="3401"/>
      <c r="H58" s="340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531</v>
      </c>
      <c r="B59" s="637">
        <f>ROUND($C$50*C59*D59,0)</f>
        <v>0</v>
      </c>
      <c r="C59" s="378">
        <f t="shared" ref="C59:C67" si="16">IF($C$57="北京市系数",I59,J59)</f>
        <v>0</v>
      </c>
      <c r="D59" s="2229">
        <v>0.25</v>
      </c>
      <c r="E59" s="638">
        <v>0</v>
      </c>
      <c r="F59" s="635">
        <f t="shared" si="15"/>
        <v>0</v>
      </c>
      <c r="G59" s="3403" t="s">
        <v>2245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532</v>
      </c>
      <c r="B60" s="637">
        <f t="shared" ref="B60:B67" si="17">ROUND($C$50*C60*D60,0)</f>
        <v>0</v>
      </c>
      <c r="C60" s="378">
        <f t="shared" si="16"/>
        <v>0</v>
      </c>
      <c r="D60" s="2229">
        <v>0.25</v>
      </c>
      <c r="E60" s="638">
        <v>0</v>
      </c>
      <c r="F60" s="635">
        <f t="shared" si="15"/>
        <v>0</v>
      </c>
      <c r="G60" s="340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533</v>
      </c>
      <c r="B61" s="637">
        <f t="shared" si="17"/>
        <v>0</v>
      </c>
      <c r="C61" s="378">
        <f t="shared" si="16"/>
        <v>0</v>
      </c>
      <c r="D61" s="2229">
        <v>0.25</v>
      </c>
      <c r="E61" s="638">
        <v>0</v>
      </c>
      <c r="F61" s="635">
        <f t="shared" si="15"/>
        <v>0</v>
      </c>
      <c r="G61" s="340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534</v>
      </c>
      <c r="B62" s="637">
        <f t="shared" si="17"/>
        <v>0</v>
      </c>
      <c r="C62" s="378">
        <f t="shared" si="16"/>
        <v>0</v>
      </c>
      <c r="D62" s="2229">
        <v>0.25</v>
      </c>
      <c r="E62" s="638">
        <v>0</v>
      </c>
      <c r="F62" s="635">
        <f t="shared" si="15"/>
        <v>0</v>
      </c>
      <c r="G62" s="340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2291</v>
      </c>
      <c r="B63" s="637">
        <f t="shared" si="17"/>
        <v>0</v>
      </c>
      <c r="C63" s="378">
        <f t="shared" si="16"/>
        <v>0</v>
      </c>
      <c r="D63" s="2229">
        <v>0.25</v>
      </c>
      <c r="E63" s="640">
        <f>'数据-汇总表'!E11</f>
        <v>0</v>
      </c>
      <c r="F63" s="635">
        <f t="shared" si="15"/>
        <v>0</v>
      </c>
      <c r="G63" s="1945" t="s">
        <v>2246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535</v>
      </c>
      <c r="B64" s="637">
        <f t="shared" si="17"/>
        <v>0</v>
      </c>
      <c r="C64" s="378">
        <f t="shared" si="16"/>
        <v>0</v>
      </c>
      <c r="D64" s="2229">
        <v>0.25</v>
      </c>
      <c r="E64" s="640">
        <f>'数据-汇总表'!E12</f>
        <v>0</v>
      </c>
      <c r="F64" s="635">
        <f t="shared" si="15"/>
        <v>0</v>
      </c>
      <c r="G64" s="1946" t="s">
        <v>1643</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536</v>
      </c>
      <c r="B65" s="637">
        <f t="shared" si="17"/>
        <v>0</v>
      </c>
      <c r="C65" s="378">
        <f t="shared" si="16"/>
        <v>0</v>
      </c>
      <c r="D65" s="2229">
        <v>0.25</v>
      </c>
      <c r="E65" s="640">
        <f>'数据-汇总表'!E13</f>
        <v>0</v>
      </c>
      <c r="F65" s="635">
        <f t="shared" si="15"/>
        <v>0</v>
      </c>
      <c r="G65" s="1946" t="s">
        <v>889</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537</v>
      </c>
      <c r="B66" s="637">
        <f t="shared" si="17"/>
        <v>0</v>
      </c>
      <c r="C66" s="378">
        <f t="shared" si="16"/>
        <v>0</v>
      </c>
      <c r="D66" s="2229">
        <v>0.25</v>
      </c>
      <c r="E66" s="640">
        <f>'数据-汇总表'!E14</f>
        <v>0</v>
      </c>
      <c r="F66" s="635">
        <f t="shared" si="15"/>
        <v>0</v>
      </c>
      <c r="G66" s="1945" t="s">
        <v>2245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538</v>
      </c>
      <c r="B67" s="637">
        <f t="shared" si="17"/>
        <v>0</v>
      </c>
      <c r="C67" s="378">
        <f t="shared" si="16"/>
        <v>0</v>
      </c>
      <c r="D67" s="2229">
        <v>0.25</v>
      </c>
      <c r="E67" s="640">
        <f>'数据-汇总表'!E15</f>
        <v>0</v>
      </c>
      <c r="F67" s="635">
        <f t="shared" si="15"/>
        <v>0</v>
      </c>
      <c r="G67" s="1947" t="s">
        <v>2246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539</v>
      </c>
      <c r="B68" s="642" t="s">
        <v>16</v>
      </c>
      <c r="C68" s="642" t="s">
        <v>17</v>
      </c>
      <c r="D68" s="642" t="s">
        <v>2257</v>
      </c>
      <c r="E68" s="642">
        <f>IF(B48="楼面地价",SUM(E58:E67),'数据-汇总表'!D3)</f>
        <v>110338.60799999999</v>
      </c>
      <c r="F68" s="643">
        <f>IF(B48="楼面地价",SUM(F58:F67),ROUND(C50*E68/10000,0))</f>
        <v>42756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540</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2495</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2959</v>
      </c>
      <c r="B73" s="479" t="str">
        <f>"北京市平均增长率"&amp;TEXT(SUMIF(基准地价!N21:N25,A73,基准地价!P21:P25),"0.00%")</f>
        <v>北京市平均增长率1.54%</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2609</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497</v>
      </c>
      <c r="B75" s="647"/>
      <c r="C75" s="659" t="s">
        <v>542</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543</v>
      </c>
      <c r="B77" s="664" t="s">
        <v>500</v>
      </c>
      <c r="C77" s="3183" t="s">
        <v>3674</v>
      </c>
      <c r="D77" s="3183" t="s">
        <v>3676</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108</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503</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540">
        <v>10</v>
      </c>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4" t="s">
        <v>3044</v>
      </c>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505</v>
      </c>
      <c r="B90" s="664" t="s">
        <v>544</v>
      </c>
      <c r="C90" s="702" t="s">
        <v>545</v>
      </c>
      <c r="D90" s="702" t="s">
        <v>546</v>
      </c>
      <c r="E90" s="702" t="s">
        <v>547</v>
      </c>
      <c r="F90" s="702" t="s">
        <v>548</v>
      </c>
      <c r="G90" s="702" t="s">
        <v>549</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550</v>
      </c>
      <c r="C92" s="707" t="s">
        <v>545</v>
      </c>
      <c r="D92" s="707" t="s">
        <v>546</v>
      </c>
      <c r="E92" s="707" t="s">
        <v>547</v>
      </c>
      <c r="F92" s="707" t="s">
        <v>548</v>
      </c>
      <c r="G92" s="707" t="s">
        <v>549</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551</v>
      </c>
      <c r="C94" s="707" t="s">
        <v>545</v>
      </c>
      <c r="D94" s="707" t="s">
        <v>546</v>
      </c>
      <c r="E94" s="707" t="s">
        <v>547</v>
      </c>
      <c r="F94" s="707" t="s">
        <v>548</v>
      </c>
      <c r="G94" s="707" t="s">
        <v>549</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552</v>
      </c>
      <c r="C96" s="707" t="s">
        <v>545</v>
      </c>
      <c r="D96" s="707" t="s">
        <v>546</v>
      </c>
      <c r="E96" s="707" t="s">
        <v>547</v>
      </c>
      <c r="F96" s="707" t="s">
        <v>548</v>
      </c>
      <c r="G96" s="707" t="s">
        <v>549</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553</v>
      </c>
      <c r="C98" s="707" t="s">
        <v>545</v>
      </c>
      <c r="D98" s="707" t="s">
        <v>546</v>
      </c>
      <c r="E98" s="707" t="s">
        <v>547</v>
      </c>
      <c r="F98" s="707" t="s">
        <v>548</v>
      </c>
      <c r="G98" s="707" t="s">
        <v>549</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554</v>
      </c>
      <c r="C100" s="702" t="s">
        <v>545</v>
      </c>
      <c r="D100" s="702" t="s">
        <v>546</v>
      </c>
      <c r="E100" s="702" t="s">
        <v>547</v>
      </c>
      <c r="F100" s="702" t="s">
        <v>548</v>
      </c>
      <c r="G100" s="702" t="s">
        <v>549</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2511</v>
      </c>
      <c r="C102" s="702" t="s">
        <v>545</v>
      </c>
      <c r="D102" s="702" t="s">
        <v>546</v>
      </c>
      <c r="E102" s="702" t="s">
        <v>547</v>
      </c>
      <c r="F102" s="702" t="s">
        <v>548</v>
      </c>
      <c r="G102" s="702" t="s">
        <v>549</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2513</v>
      </c>
      <c r="C104" s="2598" t="s">
        <v>2514</v>
      </c>
      <c r="D104" s="2598" t="s">
        <v>2515</v>
      </c>
      <c r="E104" s="2598" t="s">
        <v>2516</v>
      </c>
      <c r="F104" s="2598" t="s">
        <v>2517</v>
      </c>
      <c r="G104" s="2598" t="s">
        <v>2518</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514</v>
      </c>
      <c r="C108" s="687" t="s">
        <v>3022</v>
      </c>
      <c r="D108" s="687" t="s">
        <v>3024</v>
      </c>
      <c r="E108" s="687" t="s">
        <v>3018</v>
      </c>
      <c r="F108" s="687" t="s">
        <v>2970</v>
      </c>
      <c r="G108" s="687" t="s">
        <v>3027</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515</v>
      </c>
      <c r="C110" s="717" t="s">
        <v>3040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517</v>
      </c>
      <c r="B118" s="664" t="s">
        <v>559</v>
      </c>
      <c r="C118" s="703" t="str">
        <f t="shared" ref="C118:L118" si="25">C119&amp;"(含)"&amp;"-"&amp;D119</f>
        <v>0(含)-100000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100000</v>
      </c>
      <c r="E119" s="729">
        <v>200000</v>
      </c>
      <c r="F119" s="729">
        <v>300000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C120+2</f>
        <v>102</v>
      </c>
      <c r="E120" s="699">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560</v>
      </c>
      <c r="C121" s="3185" t="s">
        <v>3042</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561</v>
      </c>
      <c r="C123" s="3184" t="s">
        <v>3043</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2388</v>
      </c>
      <c r="C125" s="1374" t="s">
        <v>2997</v>
      </c>
      <c r="D125" s="1374" t="s">
        <v>2998</v>
      </c>
      <c r="E125" s="1374" t="s">
        <v>2999</v>
      </c>
      <c r="F125" s="1374" t="s">
        <v>3000</v>
      </c>
      <c r="G125" s="1374" t="s">
        <v>3001</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562</v>
      </c>
      <c r="C127" s="3184" t="s">
        <v>3043</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09"/>
      <c r="C1" s="2104"/>
      <c r="D1" s="2104"/>
      <c r="E1" s="2104"/>
      <c r="F1" s="2104"/>
      <c r="G1" s="2104"/>
      <c r="H1" s="2104"/>
      <c r="I1" s="2104"/>
      <c r="J1" s="2104"/>
      <c r="K1" s="422">
        <f>MATCH(B1,'数据-取费表'!A6:A16,0)+5</f>
        <v>7</v>
      </c>
    </row>
    <row r="2" spans="1:31" s="2041" customFormat="1" ht="18" customHeight="1">
      <c r="A2" s="2101" t="s">
        <v>433</v>
      </c>
      <c r="B2" s="2105">
        <f ca="1">C36</f>
        <v>58951</v>
      </c>
      <c r="C2" s="2104"/>
      <c r="D2" s="2104"/>
      <c r="E2" s="2104"/>
      <c r="F2" s="2104"/>
      <c r="G2" s="2104"/>
      <c r="H2" s="2104"/>
      <c r="I2" s="2104"/>
      <c r="J2" s="2104"/>
      <c r="K2" s="2104"/>
    </row>
    <row r="3" spans="1:31" s="2041" customFormat="1" ht="18" customHeight="1">
      <c r="A3" s="2106" t="s">
        <v>1647</v>
      </c>
      <c r="B3" s="2107">
        <f ca="1">ROUND(B2*10000/IF(B1="",'数据-汇总表'!E3,INDIRECT("'数据-取费表'!K"&amp;$K$1)),0)</f>
        <v>5343</v>
      </c>
      <c r="C3" s="2104"/>
      <c r="D3" s="2104"/>
      <c r="E3" s="2104"/>
      <c r="F3" s="2104"/>
      <c r="G3" s="2104"/>
      <c r="H3" s="2104"/>
      <c r="I3" s="2104"/>
      <c r="J3" s="2104"/>
      <c r="K3" s="2104"/>
    </row>
    <row r="4" spans="1:31" s="2041" customFormat="1" ht="18" customHeight="1">
      <c r="A4" s="426" t="s">
        <v>434</v>
      </c>
      <c r="B4" s="427">
        <f ca="1">ROUND(B2*10000/IF(B1="",'数据-汇总表'!D3,INDIRECT("'数据-取费表'!R"&amp;$K$1)),0)</f>
        <v>25645</v>
      </c>
      <c r="C4" s="428"/>
      <c r="D4" s="422"/>
      <c r="E4" s="422"/>
      <c r="F4" s="422"/>
      <c r="G4" s="422"/>
      <c r="H4" s="422"/>
      <c r="I4" s="422"/>
      <c r="J4" s="422"/>
      <c r="K4" s="422"/>
    </row>
    <row r="5" spans="1:31" s="2041" customFormat="1" ht="18" customHeight="1" thickBot="1">
      <c r="A5" s="429"/>
      <c r="B5" s="430">
        <f ca="1">ROUND(B2/(IF(B1="",'数据-汇总表'!D3,INDIRECT("'数据-取费表'!R"&amp;$K$1))/666.67),0)</f>
        <v>1710</v>
      </c>
      <c r="C5" s="431" t="s">
        <v>435</v>
      </c>
      <c r="D5" s="422"/>
      <c r="E5" s="422"/>
      <c r="F5" s="422"/>
      <c r="G5" s="422"/>
      <c r="H5" s="422"/>
      <c r="I5" s="422"/>
      <c r="J5" s="422"/>
      <c r="K5" s="422"/>
    </row>
    <row r="6" spans="1:31" s="2111" customFormat="1" ht="16.5" customHeight="1">
      <c r="A6" s="2828" t="s">
        <v>1805</v>
      </c>
      <c r="B6" s="2829"/>
      <c r="C6" s="2830">
        <f>SUM(C10:K10)</f>
        <v>151329</v>
      </c>
      <c r="D6" s="2829"/>
      <c r="E6" s="2829"/>
      <c r="F6" s="2829"/>
      <c r="G6" s="2829"/>
      <c r="H6" s="2829"/>
      <c r="I6" s="2829"/>
      <c r="J6" s="2829"/>
      <c r="K6" s="2831"/>
    </row>
    <row r="7" spans="1:31" s="2113" customFormat="1" ht="15">
      <c r="A7" s="2832" t="s">
        <v>436</v>
      </c>
      <c r="B7" s="2833" t="s">
        <v>437</v>
      </c>
      <c r="C7" s="436" t="s">
        <v>2939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1808</v>
      </c>
      <c r="B8" s="261" t="s">
        <v>438</v>
      </c>
      <c r="C8" s="2834">
        <f>'不动产比较法-住宅'!B3</f>
        <v>13715</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1809</v>
      </c>
      <c r="B9" s="261" t="s">
        <v>439</v>
      </c>
      <c r="C9" s="441">
        <f>SUMIF('数据-汇总表'!$C19:$C33,'剩余法-待开发'!C7,'数据-汇总表'!$E19:$E33)</f>
        <v>110338.60799999999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1810</v>
      </c>
      <c r="B10" s="2822" t="s">
        <v>440</v>
      </c>
      <c r="C10" s="3029">
        <f>'不动产比较法-住宅'!B2</f>
        <v>151329</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1806</v>
      </c>
      <c r="B11" s="2829"/>
      <c r="C11" s="2829"/>
      <c r="D11" s="2829"/>
      <c r="E11" s="2829"/>
      <c r="F11" s="2829"/>
      <c r="G11" s="2829"/>
      <c r="H11" s="2829"/>
      <c r="I11" s="2829"/>
      <c r="J11" s="2829"/>
      <c r="K11" s="2831"/>
    </row>
    <row r="12" spans="1:31" s="2085" customFormat="1" ht="13.5" customHeight="1">
      <c r="A12" s="2840" t="s">
        <v>436</v>
      </c>
      <c r="B12" s="2812" t="s">
        <v>437</v>
      </c>
      <c r="C12" s="2841" t="s">
        <v>441</v>
      </c>
      <c r="D12" s="2808" t="s">
        <v>442</v>
      </c>
      <c r="E12" s="2808" t="s">
        <v>443</v>
      </c>
      <c r="F12" s="2808" t="s">
        <v>444</v>
      </c>
      <c r="G12" s="2812"/>
      <c r="H12" s="2813"/>
      <c r="I12" s="2813"/>
      <c r="J12" s="2813"/>
      <c r="K12" s="2814"/>
    </row>
    <row r="13" spans="1:31" s="2116" customFormat="1" ht="13.5" customHeight="1">
      <c r="A13" s="2842" t="s">
        <v>1811</v>
      </c>
      <c r="B13" s="2843" t="s">
        <v>445</v>
      </c>
      <c r="C13" s="450">
        <f ca="1">IF(B1="",'数据-取费表'!P16,INDIRECT("'数据-取费表'!p"&amp;$K$1)+INDIRECT("'数据-取费表'!t"&amp;$K$1))</f>
        <v>33102</v>
      </c>
      <c r="D13" s="2844"/>
      <c r="E13" s="2845"/>
      <c r="F13" s="2846"/>
      <c r="G13" s="2812"/>
      <c r="H13" s="2813"/>
      <c r="I13" s="2813"/>
      <c r="J13" s="2813"/>
      <c r="K13" s="2814"/>
    </row>
    <row r="14" spans="1:31" s="2116" customFormat="1" ht="13.5" customHeight="1">
      <c r="A14" s="2842" t="s">
        <v>1812</v>
      </c>
      <c r="B14" s="2843" t="s">
        <v>446</v>
      </c>
      <c r="C14" s="53">
        <f ca="1">ROUND(C13*F14,0)</f>
        <v>1655</v>
      </c>
      <c r="D14" s="2844"/>
      <c r="E14" s="2845"/>
      <c r="F14" s="2847">
        <f>'数据-取费表'!B33</f>
        <v>0.05</v>
      </c>
      <c r="G14" s="2812" t="s">
        <v>447</v>
      </c>
      <c r="H14" s="2813"/>
      <c r="I14" s="2813"/>
      <c r="J14" s="2813"/>
      <c r="K14" s="2814"/>
    </row>
    <row r="15" spans="1:31" s="2116" customFormat="1" ht="13.5" customHeight="1">
      <c r="A15" s="2842" t="s">
        <v>1813</v>
      </c>
      <c r="B15" s="2843" t="s">
        <v>448</v>
      </c>
      <c r="C15" s="53">
        <f ca="1">ROUND(IF(B1="",SUMIF('数据-取费表'!C:C,"住宅",'数据-取费表'!P:P)*F15,IF(INDIRECT("'数据-取费表'!c"&amp;$K$1)="住宅",INDIRECT("'数据-取费表'!P"&amp;$K$1)*F15,0)),0)</f>
        <v>0</v>
      </c>
      <c r="D15" s="2844"/>
      <c r="E15" s="2845"/>
      <c r="F15" s="2847">
        <f>'数据-取费表'!B34</f>
        <v>0</v>
      </c>
      <c r="G15" s="2812" t="s">
        <v>449</v>
      </c>
      <c r="H15" s="2813"/>
      <c r="I15" s="2813"/>
      <c r="J15" s="2813"/>
      <c r="K15" s="2814"/>
    </row>
    <row r="16" spans="1:31" s="2117" customFormat="1" ht="13.5" customHeight="1">
      <c r="A16" s="2842" t="s">
        <v>1814</v>
      </c>
      <c r="B16" s="2843" t="s">
        <v>450</v>
      </c>
      <c r="C16" s="53">
        <f ca="1">ROUND(D16*E16/10000,0)</f>
        <v>2207</v>
      </c>
      <c r="D16" s="2844">
        <f ca="1">IF(B1="",'数据-汇总表'!E3,INDIRECT("'数据-取费表'!K"&amp;$K$1)+INDIRECT("'数据-取费表'!S"&amp;$K$1))</f>
        <v>110338.60799999999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1815</v>
      </c>
      <c r="B17" s="2843" t="s">
        <v>451</v>
      </c>
      <c r="C17" s="2848">
        <f ca="1">ROUND(C13*F17,0)</f>
        <v>497</v>
      </c>
      <c r="D17" s="475"/>
      <c r="E17" s="2848"/>
      <c r="F17" s="2849">
        <f>'数据-取费表'!B36</f>
        <v>1.4999999999999999E-2</v>
      </c>
      <c r="G17" s="261" t="s">
        <v>452</v>
      </c>
      <c r="H17" s="2815"/>
      <c r="I17" s="2815"/>
      <c r="J17" s="2815"/>
      <c r="K17" s="279"/>
    </row>
    <row r="18" spans="1:14" s="2116" customFormat="1" ht="13.5" customHeight="1">
      <c r="A18" s="2850" t="s">
        <v>1816</v>
      </c>
      <c r="B18" s="2851" t="s">
        <v>453</v>
      </c>
      <c r="C18" s="2852">
        <f ca="1">SUM(C13:C17)</f>
        <v>37461</v>
      </c>
      <c r="D18" s="2853"/>
      <c r="E18" s="468"/>
      <c r="F18" s="468"/>
      <c r="G18" s="2816" t="s">
        <v>2393</v>
      </c>
      <c r="H18" s="2817"/>
      <c r="I18" s="2817"/>
      <c r="J18" s="2817"/>
      <c r="K18" s="2818"/>
    </row>
    <row r="19" spans="1:14" s="2116" customFormat="1" ht="13.5" customHeight="1">
      <c r="A19" s="2850" t="s">
        <v>1817</v>
      </c>
      <c r="B19" s="2851" t="s">
        <v>454</v>
      </c>
      <c r="C19" s="2808">
        <f ca="1">ROUND(D19*E19/10000,0)</f>
        <v>0</v>
      </c>
      <c r="D19" s="2854">
        <f ca="1">D16</f>
        <v>110338.60799999999</v>
      </c>
      <c r="E19" s="2808">
        <f>'数据-取费表'!B32</f>
        <v>0</v>
      </c>
      <c r="F19" s="468"/>
      <c r="G19" s="2812" t="s">
        <v>455</v>
      </c>
      <c r="H19" s="2813"/>
      <c r="I19" s="2817"/>
      <c r="J19" s="2817"/>
      <c r="K19" s="2818"/>
    </row>
    <row r="20" spans="1:14" s="2116" customFormat="1" ht="13.5" customHeight="1">
      <c r="A20" s="2850" t="s">
        <v>1818</v>
      </c>
      <c r="B20" s="2851" t="s">
        <v>456</v>
      </c>
      <c r="C20" s="2808">
        <f ca="1">C21+C22-IF(B1="",'数据-取费表'!B29,IF(G20="已全部缴纳",C21+C22,H20))</f>
        <v>993</v>
      </c>
      <c r="D20" s="2854"/>
      <c r="E20" s="2808"/>
      <c r="F20" s="2855"/>
      <c r="G20" s="3088" t="s">
        <v>3032</v>
      </c>
      <c r="H20" s="2810"/>
      <c r="I20" s="2811" t="s">
        <v>2613</v>
      </c>
      <c r="J20" s="2817"/>
      <c r="K20" s="2818"/>
    </row>
    <row r="21" spans="1:14" s="2116" customFormat="1" ht="13.5" customHeight="1">
      <c r="A21" s="2842" t="s">
        <v>1819</v>
      </c>
      <c r="B21" s="2843" t="s">
        <v>457</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6" customFormat="1" ht="13.5" customHeight="1">
      <c r="A22" s="2842" t="s">
        <v>1820</v>
      </c>
      <c r="B22" s="2843" t="s">
        <v>458</v>
      </c>
      <c r="C22" s="53">
        <f ca="1">ROUND(D22*E22/10000,0)</f>
        <v>993</v>
      </c>
      <c r="D22" s="2844">
        <f ca="1">IF(B1="",'数据-汇总表'!E6,IF(INDIRECT("'数据-取费表'!c"&amp;$K$1)="住宅",INDIRECT("'数据-取费表'!s"&amp;$K$1),INDIRECT("'数据-取费表'!k"&amp;$K$1)+INDIRECT("'数据-取费表'!s"&amp;$K$1)))</f>
        <v>110338.60799999999</v>
      </c>
      <c r="E22" s="53">
        <f>'数据-取费表'!B28</f>
        <v>90</v>
      </c>
      <c r="F22" s="2847"/>
      <c r="G22" s="26"/>
      <c r="H22" s="51"/>
      <c r="I22" s="51"/>
      <c r="J22" s="51"/>
      <c r="K22" s="2819"/>
    </row>
    <row r="23" spans="1:14" s="2116" customFormat="1" ht="13.5" customHeight="1">
      <c r="A23" s="2850" t="s">
        <v>1821</v>
      </c>
      <c r="B23" s="3035" t="s">
        <v>2796</v>
      </c>
      <c r="C23" s="2852">
        <f ca="1">ROUND((C18+C19+C20)*F23,0)</f>
        <v>1154</v>
      </c>
      <c r="D23" s="468"/>
      <c r="E23" s="468"/>
      <c r="F23" s="2856">
        <f>'数据-取费表'!B37</f>
        <v>0.03</v>
      </c>
      <c r="G23" s="2812" t="s">
        <v>2394</v>
      </c>
      <c r="H23" s="2813"/>
      <c r="I23" s="2813"/>
      <c r="J23" s="2813"/>
      <c r="K23" s="2814"/>
      <c r="L23" s="2118"/>
      <c r="M23" s="2118"/>
      <c r="N23" s="2118"/>
    </row>
    <row r="24" spans="1:14" s="2116" customFormat="1" ht="13.5" customHeight="1">
      <c r="A24" s="2850" t="s">
        <v>1822</v>
      </c>
      <c r="B24" s="3035" t="s">
        <v>2799</v>
      </c>
      <c r="C24" s="2852">
        <f>ROUND(C6*F24,0)</f>
        <v>4540</v>
      </c>
      <c r="D24" s="475"/>
      <c r="E24" s="473"/>
      <c r="F24" s="2856">
        <f>'数据-取费表'!B38</f>
        <v>0.03</v>
      </c>
      <c r="G24" s="2821" t="s">
        <v>465</v>
      </c>
      <c r="H24" s="2815"/>
      <c r="I24" s="2815"/>
      <c r="J24" s="2815"/>
      <c r="K24" s="279"/>
      <c r="L24" s="2118"/>
      <c r="M24" s="2118"/>
      <c r="N24" s="2118"/>
    </row>
    <row r="25" spans="1:14" s="2119" customFormat="1" ht="13.5" customHeight="1">
      <c r="A25" s="2850" t="s">
        <v>1823</v>
      </c>
      <c r="B25" s="3035" t="s">
        <v>2797</v>
      </c>
      <c r="C25" s="467">
        <f>ROUND(F25/(1+'数据-取费表'!C42),4)</f>
        <v>2.9000000000000001E-2</v>
      </c>
      <c r="D25" s="462" t="s">
        <v>2791</v>
      </c>
      <c r="E25" s="469"/>
      <c r="F25" s="2856">
        <f>'数据-取费表'!B48+'数据-取费表'!B49</f>
        <v>3.0499999999999999E-2</v>
      </c>
      <c r="G25" s="2820" t="s">
        <v>2252</v>
      </c>
      <c r="H25" s="2813"/>
      <c r="I25" s="2813"/>
      <c r="J25" s="2813"/>
      <c r="K25" s="2814"/>
    </row>
    <row r="26" spans="1:14" s="2118" customFormat="1" ht="13.5" customHeight="1">
      <c r="A26" s="2850" t="s">
        <v>1824</v>
      </c>
      <c r="B26" s="3036" t="s">
        <v>2798</v>
      </c>
      <c r="C26" s="2857">
        <f ca="1">C28</f>
        <v>3183</v>
      </c>
      <c r="D26" s="467">
        <f ca="1">C27</f>
        <v>0.1537</v>
      </c>
      <c r="E26" s="469" t="s">
        <v>461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1819</v>
      </c>
      <c r="B27" s="2858" t="s">
        <v>462</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2" t="s">
        <v>1820</v>
      </c>
      <c r="B28" s="2858" t="s">
        <v>2800</v>
      </c>
      <c r="C28" s="2860">
        <f ca="1">ROUND(IF('数据-取费表'!B22&lt;=1,(C18+C19+C20+C23+C24)*F26*'数据-取费表'!B24/2,(C18+C19+C20+C23+C24)*(POWER((1+F26),'数据-取费表'!B24/2)-1)),0)</f>
        <v>3183</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1825</v>
      </c>
      <c r="B29" s="2851" t="s">
        <v>463</v>
      </c>
      <c r="C29" s="2852">
        <f>ROUND(C6*F29/(1+'数据-取费表'!C42),0)</f>
        <v>8071</v>
      </c>
      <c r="D29" s="468"/>
      <c r="E29" s="468"/>
      <c r="F29" s="3037">
        <f>'数据-取费表'!B41</f>
        <v>5.6000000000000001E-2</v>
      </c>
      <c r="G29" s="2821" t="s">
        <v>464</v>
      </c>
      <c r="H29" s="2813"/>
      <c r="I29" s="2813"/>
      <c r="J29" s="2813"/>
      <c r="K29" s="2814"/>
    </row>
    <row r="30" spans="1:14" s="2121" customFormat="1" ht="13.5" customHeight="1">
      <c r="A30" s="1634" t="s">
        <v>1826</v>
      </c>
      <c r="B30" s="2862" t="s">
        <v>466</v>
      </c>
      <c r="C30" s="2857">
        <f ca="1">C31</f>
        <v>55402</v>
      </c>
      <c r="D30" s="477">
        <f ca="1">C32</f>
        <v>0.1827</v>
      </c>
      <c r="E30" s="469" t="s">
        <v>461</v>
      </c>
      <c r="F30" s="471"/>
      <c r="G30" s="2820" t="s">
        <v>2929</v>
      </c>
      <c r="H30" s="2813"/>
      <c r="I30" s="2813"/>
      <c r="J30" s="2813"/>
      <c r="K30" s="2814"/>
    </row>
    <row r="31" spans="1:14" s="2120" customFormat="1" ht="13.5" customHeight="1">
      <c r="A31" s="802" t="s">
        <v>1819</v>
      </c>
      <c r="B31" s="2858"/>
      <c r="C31" s="450">
        <f ca="1">C18+C19+C20+C23+C24+C26+C29</f>
        <v>55402</v>
      </c>
      <c r="D31" s="472"/>
      <c r="E31" s="473"/>
      <c r="F31" s="474"/>
      <c r="G31" s="261"/>
      <c r="H31" s="2815"/>
      <c r="I31" s="2815"/>
      <c r="J31" s="2815"/>
      <c r="K31" s="279"/>
    </row>
    <row r="32" spans="1:14" s="2120" customFormat="1" ht="13.5" customHeight="1">
      <c r="A32" s="802" t="s">
        <v>1820</v>
      </c>
      <c r="B32" s="2858"/>
      <c r="C32" s="53">
        <f ca="1">ROUND(C25+D26,4)</f>
        <v>0.1827</v>
      </c>
      <c r="D32" s="472"/>
      <c r="E32" s="473"/>
      <c r="F32" s="474"/>
      <c r="G32" s="261"/>
      <c r="H32" s="2815"/>
      <c r="I32" s="2815"/>
      <c r="J32" s="2815"/>
      <c r="K32" s="279"/>
    </row>
    <row r="33" spans="1:11" s="2122" customFormat="1" ht="13.5" customHeight="1">
      <c r="A33" s="3034" t="s">
        <v>2795</v>
      </c>
      <c r="B33" s="3032" t="s">
        <v>2793</v>
      </c>
      <c r="C33" s="478">
        <f ca="1">C35</f>
        <v>11037</v>
      </c>
      <c r="D33" s="467">
        <f ca="1">C34</f>
        <v>0.25729999999999997</v>
      </c>
      <c r="E33" s="469" t="s">
        <v>461</v>
      </c>
      <c r="F33" s="479">
        <f ca="1">IF(B1="",'数据-取费表'!Q16,INDIRECT("'数据-取费表'!q"&amp;$K$1))</f>
        <v>0.25</v>
      </c>
      <c r="G33" s="2816"/>
      <c r="H33" s="2817"/>
      <c r="I33" s="2817"/>
      <c r="J33" s="2817"/>
      <c r="K33" s="2818"/>
    </row>
    <row r="34" spans="1:11" s="2123" customFormat="1" ht="13.5" customHeight="1">
      <c r="A34" s="375" t="s">
        <v>1819</v>
      </c>
      <c r="B34" s="2863" t="s">
        <v>467</v>
      </c>
      <c r="C34" s="472">
        <f ca="1">ROUND((1+C25)*F33,4)</f>
        <v>0.25729999999999997</v>
      </c>
      <c r="D34" s="472"/>
      <c r="E34" s="473"/>
      <c r="F34" s="480"/>
      <c r="G34" s="261" t="s">
        <v>2253</v>
      </c>
      <c r="H34" s="2815"/>
      <c r="I34" s="2815"/>
      <c r="J34" s="2815"/>
      <c r="K34" s="279"/>
    </row>
    <row r="35" spans="1:11" s="2123" customFormat="1" ht="13.5" customHeight="1" thickBot="1">
      <c r="A35" s="1635" t="s">
        <v>1820</v>
      </c>
      <c r="B35" s="3033" t="s">
        <v>2801</v>
      </c>
      <c r="C35" s="1627">
        <f ca="1">ROUND((C18+C19+C20+C23+C24)*F33,0)</f>
        <v>11037</v>
      </c>
      <c r="D35" s="1628"/>
      <c r="E35" s="2864"/>
      <c r="F35" s="1629"/>
      <c r="G35" s="2822"/>
      <c r="H35" s="2823"/>
      <c r="I35" s="2823"/>
      <c r="J35" s="2823"/>
      <c r="K35" s="2824"/>
    </row>
    <row r="36" spans="1:11" s="2085" customFormat="1" ht="13.5" customHeight="1" thickBot="1">
      <c r="A36" s="284" t="s">
        <v>1807</v>
      </c>
      <c r="B36" s="2826"/>
      <c r="C36" s="2865">
        <f ca="1">ROUND((C6-C30-C33)/(1+D30+D33),0)</f>
        <v>58951</v>
      </c>
      <c r="D36" s="2826"/>
      <c r="E36" s="2826"/>
      <c r="F36" s="2826"/>
      <c r="G36" s="2825" t="s">
        <v>2802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204" t="str">
        <f>项目基本情况!B1</f>
        <v>南通市新区中央商务区CR0504-A(A-01地块）出让国有建设用地使用权抵押价格预评估</v>
      </c>
      <c r="C37" s="3204"/>
      <c r="D37" s="3204"/>
      <c r="E37" s="3204"/>
      <c r="F37" s="3204"/>
      <c r="G37" s="3204"/>
      <c r="H37" s="3204"/>
      <c r="I37" s="3204"/>
    </row>
    <row r="38" spans="1:9">
      <c r="A38" s="1655"/>
      <c r="B38" s="1655"/>
    </row>
    <row r="39" spans="1:9">
      <c r="A39" s="1653" t="s">
        <v>1864</v>
      </c>
      <c r="B39" s="1653" t="s">
        <v>2009</v>
      </c>
    </row>
    <row r="40" spans="1:9">
      <c r="A40" s="1653"/>
      <c r="B40" s="1653" t="str">
        <f>项目基本情况!B5</f>
        <v>华澳国际信托有限公司</v>
      </c>
    </row>
    <row r="41" spans="1:9">
      <c r="A41" s="1653"/>
      <c r="B41" s="1653"/>
    </row>
    <row r="42" spans="1:9">
      <c r="A42" s="1653" t="s">
        <v>1864</v>
      </c>
      <c r="B42" s="1653" t="s">
        <v>2010</v>
      </c>
    </row>
    <row r="43" spans="1:9">
      <c r="A43" s="1653"/>
      <c r="B43" s="1653" t="s">
        <v>1866</v>
      </c>
    </row>
    <row r="44" spans="1:9">
      <c r="A44" s="1653"/>
      <c r="B44" s="1653"/>
    </row>
    <row r="45" spans="1:9">
      <c r="A45" s="1653" t="s">
        <v>1864</v>
      </c>
      <c r="B45" s="1653" t="s">
        <v>2008</v>
      </c>
    </row>
    <row r="46" spans="1:9" s="1653" customFormat="1" ht="12.75">
      <c r="B46" s="1653" t="str">
        <f>项目基本情况!K4</f>
        <v>吴薇、赵雯</v>
      </c>
    </row>
    <row r="47" spans="1:9">
      <c r="A47" s="1653"/>
      <c r="B47" s="1653"/>
    </row>
    <row r="48" spans="1:9">
      <c r="A48" s="1653" t="s">
        <v>1864</v>
      </c>
      <c r="B48" s="1653" t="s">
        <v>2011</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432</v>
      </c>
      <c r="B1" s="2809"/>
      <c r="C1" s="2104"/>
      <c r="D1" s="2104"/>
      <c r="E1" s="2104"/>
      <c r="F1" s="2104"/>
      <c r="G1" s="2104"/>
      <c r="H1" s="2104"/>
      <c r="I1" s="2104"/>
      <c r="J1" s="2104"/>
      <c r="K1" s="422">
        <f>MATCH(B1,'数据-取费表'!A6:A16,0)+5</f>
        <v>7</v>
      </c>
    </row>
    <row r="2" spans="1:41" s="2041" customFormat="1" ht="18" customHeight="1">
      <c r="A2" s="423" t="s">
        <v>433</v>
      </c>
      <c r="B2" s="424">
        <f ca="1">C32</f>
        <v>0</v>
      </c>
      <c r="C2" s="2104"/>
      <c r="D2" s="2104"/>
      <c r="E2" s="2104"/>
      <c r="F2" s="2104"/>
      <c r="G2" s="2104"/>
      <c r="H2" s="2104"/>
      <c r="I2" s="2104"/>
      <c r="J2" s="2104"/>
      <c r="K2" s="2104"/>
    </row>
    <row r="3" spans="1:41" s="2041" customFormat="1" ht="18" customHeight="1">
      <c r="A3" s="1378" t="s">
        <v>1647</v>
      </c>
      <c r="B3" s="425">
        <f ca="1">ROUND(B2*10000/IF(B1="",'数据-汇总表'!E3,INDIRECT("'数据-取费表'!K"&amp;$K$1)),0)</f>
        <v>0</v>
      </c>
      <c r="C3" s="2104"/>
      <c r="D3" s="2104"/>
      <c r="E3" s="2104"/>
      <c r="F3" s="2104"/>
      <c r="G3" s="2104"/>
      <c r="H3" s="2104"/>
      <c r="I3" s="2104"/>
      <c r="J3" s="2104"/>
      <c r="K3" s="2104"/>
    </row>
    <row r="4" spans="1:41" s="2041" customFormat="1" ht="18" customHeight="1">
      <c r="A4" s="426" t="s">
        <v>434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435</v>
      </c>
      <c r="D5" s="2104"/>
      <c r="E5" s="2104"/>
      <c r="F5" s="2104"/>
      <c r="G5" s="2104"/>
      <c r="H5" s="2104"/>
      <c r="I5" s="2104"/>
      <c r="J5" s="2104"/>
      <c r="K5" s="2104"/>
    </row>
    <row r="6" spans="1:41" s="2111" customFormat="1" ht="16.5" customHeight="1">
      <c r="A6" s="432" t="s">
        <v>2614</v>
      </c>
      <c r="B6" s="433"/>
      <c r="C6" s="1622">
        <f>SUM(C10:K10)</f>
        <v>0</v>
      </c>
      <c r="D6" s="2109"/>
      <c r="E6" s="2109"/>
      <c r="F6" s="2109"/>
      <c r="G6" s="2109"/>
      <c r="H6" s="2109"/>
      <c r="I6" s="2109"/>
      <c r="J6" s="2109"/>
      <c r="K6" s="2110"/>
    </row>
    <row r="7" spans="1:41" s="2113" customFormat="1" ht="15">
      <c r="A7" s="434" t="s">
        <v>436</v>
      </c>
      <c r="B7" s="435" t="s">
        <v>437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1808</v>
      </c>
      <c r="B8" s="438" t="s">
        <v>438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1809</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1810</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1827</v>
      </c>
      <c r="B11" s="1620"/>
      <c r="C11" s="1620"/>
      <c r="D11" s="1620"/>
      <c r="E11" s="1620"/>
      <c r="F11" s="1620"/>
      <c r="G11" s="1620"/>
      <c r="H11" s="1620"/>
      <c r="I11" s="1620"/>
      <c r="J11" s="1620"/>
      <c r="K11" s="1621"/>
    </row>
    <row r="12" spans="1:41" s="2085" customFormat="1" ht="13.5" customHeight="1">
      <c r="A12" s="434" t="s">
        <v>436</v>
      </c>
      <c r="B12" s="444" t="s">
        <v>437</v>
      </c>
      <c r="C12" s="445" t="s">
        <v>441</v>
      </c>
      <c r="D12" s="446" t="s">
        <v>442</v>
      </c>
      <c r="E12" s="446" t="s">
        <v>443</v>
      </c>
      <c r="F12" s="446" t="s">
        <v>444</v>
      </c>
      <c r="G12" s="444"/>
      <c r="H12" s="447"/>
      <c r="I12" s="447"/>
      <c r="J12" s="447"/>
      <c r="K12" s="448"/>
    </row>
    <row r="13" spans="1:41" s="2116" customFormat="1" ht="13.5" customHeight="1">
      <c r="A13" s="1632" t="s">
        <v>1811</v>
      </c>
      <c r="B13" s="449" t="s">
        <v>445</v>
      </c>
      <c r="C13" s="450">
        <f ca="1">IF(B1="",'数据-取费表'!M16,INDIRECT("'数据-取费表'!M"&amp;$K$1)+INDIRECT("'数据-取费表'!t"&amp;$K$1))</f>
        <v>33102</v>
      </c>
      <c r="D13" s="451"/>
      <c r="E13" s="365"/>
      <c r="F13" s="452"/>
      <c r="G13" s="444"/>
      <c r="H13" s="447"/>
      <c r="I13" s="447"/>
      <c r="J13" s="447"/>
      <c r="K13" s="448"/>
    </row>
    <row r="14" spans="1:41" s="2116" customFormat="1" ht="13.5" customHeight="1">
      <c r="A14" s="1632" t="s">
        <v>1812</v>
      </c>
      <c r="B14" s="449" t="s">
        <v>446</v>
      </c>
      <c r="C14" s="53">
        <f ca="1">ROUND(C13*F14,0)</f>
        <v>1655</v>
      </c>
      <c r="D14" s="451"/>
      <c r="E14" s="365"/>
      <c r="F14" s="453">
        <f>'数据-取费表'!B33</f>
        <v>0.05</v>
      </c>
      <c r="G14" s="444" t="s">
        <v>468</v>
      </c>
      <c r="H14" s="447"/>
      <c r="I14" s="447"/>
      <c r="J14" s="447"/>
      <c r="K14" s="448"/>
    </row>
    <row r="15" spans="1:41" s="2116" customFormat="1" ht="13.5" customHeight="1">
      <c r="A15" s="1632" t="s">
        <v>1813</v>
      </c>
      <c r="B15" s="449" t="s">
        <v>448</v>
      </c>
      <c r="C15" s="53">
        <f ca="1">ROUND(IF(B1="",SUMIF('数据-取费表'!C:C,"住宅",'数据-取费表'!M:M)*F15,IF(INDIRECT("'数据-取费表'!c"&amp;$K$1)="住宅",INDIRECT("'数据-取费表'!M"&amp;$K$1)*F15,0)),0)</f>
        <v>0</v>
      </c>
      <c r="D15" s="451"/>
      <c r="E15" s="365"/>
      <c r="F15" s="453">
        <f>'数据-取费表'!B34</f>
        <v>0</v>
      </c>
      <c r="G15" s="444" t="s">
        <v>468</v>
      </c>
      <c r="H15" s="447"/>
      <c r="I15" s="447"/>
      <c r="J15" s="447"/>
      <c r="K15" s="448"/>
    </row>
    <row r="16" spans="1:41" s="2117" customFormat="1" ht="13.5" customHeight="1">
      <c r="A16" s="1632" t="s">
        <v>1814</v>
      </c>
      <c r="B16" s="449" t="s">
        <v>450</v>
      </c>
      <c r="C16" s="53">
        <f ca="1">ROUND(D16*E16/10000,0)</f>
        <v>2207</v>
      </c>
      <c r="D16" s="451">
        <f ca="1">IF(B1="",'数据-汇总表'!E3,INDIRECT("'数据-取费表'!K"&amp;$K$1)+INDIRECT("'数据-取费表'!S"&amp;$K$1))</f>
        <v>110338.60799999999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1815</v>
      </c>
      <c r="B17" s="449" t="s">
        <v>451</v>
      </c>
      <c r="C17" s="454">
        <f ca="1">ROUND(C13*F17,0)</f>
        <v>497</v>
      </c>
      <c r="D17" s="455"/>
      <c r="E17" s="454"/>
      <c r="F17" s="456">
        <f>'数据-取费表'!B36</f>
        <v>1.4999999999999999E-2</v>
      </c>
      <c r="G17" s="444" t="s">
        <v>468</v>
      </c>
      <c r="H17" s="457"/>
      <c r="I17" s="457"/>
      <c r="J17" s="457"/>
      <c r="K17" s="458"/>
    </row>
    <row r="18" spans="1:14" s="2119" customFormat="1" ht="13.5" customHeight="1">
      <c r="A18" s="1633" t="s">
        <v>1816</v>
      </c>
      <c r="B18" s="459" t="s">
        <v>453</v>
      </c>
      <c r="C18" s="460">
        <f ca="1">SUM(C13:C17)</f>
        <v>37461</v>
      </c>
      <c r="D18" s="461"/>
      <c r="E18" s="462"/>
      <c r="F18" s="462"/>
      <c r="G18" s="1326" t="s">
        <v>2395</v>
      </c>
      <c r="H18" s="447"/>
      <c r="I18" s="447"/>
      <c r="J18" s="447"/>
      <c r="K18" s="448"/>
    </row>
    <row r="19" spans="1:14" s="2119" customFormat="1" ht="13.5" customHeight="1">
      <c r="A19" s="1633" t="s">
        <v>1817</v>
      </c>
      <c r="B19" s="459" t="s">
        <v>459</v>
      </c>
      <c r="C19" s="460">
        <f ca="1">ROUND(C18*F19,0)</f>
        <v>1124</v>
      </c>
      <c r="D19" s="462"/>
      <c r="E19" s="462"/>
      <c r="F19" s="466">
        <f>'数据-取费表'!B37</f>
        <v>0.03</v>
      </c>
      <c r="G19" s="444" t="s">
        <v>469</v>
      </c>
      <c r="H19" s="447"/>
      <c r="I19" s="447"/>
      <c r="J19" s="447"/>
      <c r="K19" s="448"/>
      <c r="L19" s="2121"/>
      <c r="M19" s="2121"/>
      <c r="N19" s="2121"/>
    </row>
    <row r="20" spans="1:14" s="2119" customFormat="1" ht="13.5" customHeight="1">
      <c r="A20" s="1633" t="s">
        <v>1818</v>
      </c>
      <c r="B20" s="459" t="s">
        <v>470</v>
      </c>
      <c r="C20" s="3030">
        <f>F20</f>
        <v>0.03</v>
      </c>
      <c r="D20" s="469" t="s">
        <v>471</v>
      </c>
      <c r="E20" s="469"/>
      <c r="F20" s="486">
        <f>'数据-取费表'!B38</f>
        <v>0.03</v>
      </c>
      <c r="G20" s="1326" t="s">
        <v>472</v>
      </c>
      <c r="H20" s="447"/>
      <c r="I20" s="447"/>
      <c r="J20" s="447"/>
      <c r="K20" s="448"/>
      <c r="L20" s="2121"/>
      <c r="M20" s="2121"/>
      <c r="N20" s="2121"/>
    </row>
    <row r="21" spans="1:14" s="2121" customFormat="1" ht="13.5" customHeight="1">
      <c r="A21" s="1633" t="s">
        <v>1821</v>
      </c>
      <c r="B21" s="461" t="s">
        <v>460</v>
      </c>
      <c r="C21" s="470">
        <f ca="1">C22</f>
        <v>2782</v>
      </c>
      <c r="D21" s="467">
        <f ca="1">C23</f>
        <v>2.2000000000000001E-3</v>
      </c>
      <c r="E21" s="469" t="s">
        <v>473</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2417</v>
      </c>
    </row>
    <row r="22" spans="1:14" s="2120" customFormat="1" ht="13.5" customHeight="1">
      <c r="A22" s="1632" t="s">
        <v>1811</v>
      </c>
      <c r="B22" s="1327" t="s">
        <v>2398</v>
      </c>
      <c r="C22" s="487">
        <f ca="1">ROUND(IF('数据-取费表'!B22&lt;=1,(C18+C19)*F21*'数据-取费表'!B20/2,(C18+C19)*(POWER((1+F21),'数据-取费表'!B20/2)-1)),0)</f>
        <v>2782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1812</v>
      </c>
      <c r="B23" s="1327" t="s">
        <v>474</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1822</v>
      </c>
      <c r="B24" s="3032" t="s">
        <v>2794</v>
      </c>
      <c r="C24" s="478">
        <f ca="1">C25</f>
        <v>9646</v>
      </c>
      <c r="D24" s="489">
        <f ca="1">C26</f>
        <v>7.4999999999999997E-3</v>
      </c>
      <c r="E24" s="469" t="s">
        <v>473</v>
      </c>
      <c r="F24" s="479">
        <f ca="1">IF(B1="",'数据-取费表'!Q16,INDIRECT("'数据-取费表'!q"&amp;$K$1))</f>
        <v>0.25</v>
      </c>
      <c r="G24" s="444"/>
      <c r="H24" s="447"/>
      <c r="I24" s="447"/>
      <c r="J24" s="447"/>
      <c r="K24" s="448"/>
    </row>
    <row r="25" spans="1:14" s="2120" customFormat="1" ht="13.5" customHeight="1">
      <c r="A25" s="1632" t="s">
        <v>1811</v>
      </c>
      <c r="B25" s="1327" t="s">
        <v>2399</v>
      </c>
      <c r="C25" s="490">
        <f ca="1">ROUND((C18+C19)*F24,0)</f>
        <v>9646</v>
      </c>
      <c r="D25" s="472"/>
      <c r="E25" s="473"/>
      <c r="F25" s="480"/>
      <c r="G25" s="1325" t="s">
        <v>2396</v>
      </c>
      <c r="H25" s="457"/>
      <c r="I25" s="457"/>
      <c r="J25" s="457"/>
      <c r="K25" s="458"/>
    </row>
    <row r="26" spans="1:14" s="2120" customFormat="1" ht="13.5" customHeight="1">
      <c r="A26" s="1632" t="s">
        <v>1812</v>
      </c>
      <c r="B26" s="1327" t="s">
        <v>475</v>
      </c>
      <c r="C26" s="491">
        <f ca="1">ROUND(F20*F24,4)</f>
        <v>7.4999999999999997E-3</v>
      </c>
      <c r="D26" s="472"/>
      <c r="E26" s="481"/>
      <c r="F26" s="480"/>
      <c r="G26" s="1325" t="s">
        <v>476</v>
      </c>
      <c r="H26" s="457"/>
      <c r="I26" s="457"/>
      <c r="J26" s="457"/>
      <c r="K26" s="458"/>
    </row>
    <row r="27" spans="1:14" s="2120" customFormat="1" ht="13.5" customHeight="1">
      <c r="A27" s="1636" t="s">
        <v>1830</v>
      </c>
      <c r="B27" s="459" t="s">
        <v>477</v>
      </c>
      <c r="C27" s="3031">
        <f>ROUND(F27/(1+'数据-取费表'!C42),4)</f>
        <v>5.33E-2</v>
      </c>
      <c r="D27" s="462" t="s">
        <v>2792</v>
      </c>
      <c r="E27" s="462"/>
      <c r="F27" s="466">
        <f>'数据-取费表'!B41</f>
        <v>5.6000000000000001E-2</v>
      </c>
      <c r="G27" s="1960" t="s">
        <v>2254</v>
      </c>
      <c r="H27" s="447"/>
      <c r="I27" s="447"/>
      <c r="J27" s="447"/>
      <c r="K27" s="448"/>
    </row>
    <row r="28" spans="1:14" s="2121" customFormat="1" ht="13.5" customHeight="1">
      <c r="A28" s="1636" t="s">
        <v>1831</v>
      </c>
      <c r="B28" s="476" t="s">
        <v>478</v>
      </c>
      <c r="C28" s="470">
        <f ca="1">ROUND((C18+C19+C21+C24)/(1-C20-D21-D24-C27),0)</f>
        <v>56244</v>
      </c>
      <c r="D28" s="477"/>
      <c r="E28" s="469"/>
      <c r="F28" s="471"/>
      <c r="G28" s="1326" t="s">
        <v>2397</v>
      </c>
      <c r="H28" s="447"/>
      <c r="I28" s="447"/>
      <c r="J28" s="447"/>
      <c r="K28" s="448"/>
    </row>
    <row r="29" spans="1:14" s="2121" customFormat="1" ht="13.5" customHeight="1">
      <c r="A29" s="1636" t="s">
        <v>1832</v>
      </c>
      <c r="B29" s="476" t="s">
        <v>479</v>
      </c>
      <c r="C29" s="492">
        <f ca="1">IF(B1="",'数据-取费表'!N16,INDIRECT("'数据-取费表'!N"&amp;$K$1))</f>
        <v>0</v>
      </c>
      <c r="D29" s="493"/>
      <c r="E29" s="494"/>
      <c r="F29" s="495"/>
      <c r="G29" s="444"/>
      <c r="H29" s="447"/>
      <c r="I29" s="447"/>
      <c r="J29" s="447"/>
      <c r="K29" s="448"/>
    </row>
    <row r="30" spans="1:14" s="2121" customFormat="1" ht="13.5" customHeight="1">
      <c r="A30" s="443">
        <v>2</v>
      </c>
      <c r="B30" s="476" t="s">
        <v>480</v>
      </c>
      <c r="C30" s="497">
        <f ca="1">ROUND(C28*C29,0)</f>
        <v>0</v>
      </c>
      <c r="D30" s="493"/>
      <c r="E30" s="498"/>
      <c r="F30" s="499"/>
      <c r="G30" s="1328" t="s">
        <v>481</v>
      </c>
      <c r="H30" s="496"/>
      <c r="I30" s="496"/>
      <c r="J30" s="447"/>
      <c r="K30" s="448"/>
    </row>
    <row r="31" spans="1:14" s="2126" customFormat="1" ht="13.5" customHeight="1">
      <c r="A31" s="2482" t="s">
        <v>1828</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1829</v>
      </c>
      <c r="B32" s="483"/>
      <c r="C32" s="484">
        <f ca="1">IF('数据-取费表'!B20&lt;=1,(C6-C30-C31)/(1+F21*'数据-取费表'!B20+F24)/(1+'数据-取费表'!B48+'数据-取费表'!B49),(C6-C30-C31)/(1+(POWER((1+F21),'数据-取费表'!B20)-1)+F24)/(1+'数据-取费表'!B48+'数据-取费表'!B49))</f>
        <v>0</v>
      </c>
      <c r="D32" s="483"/>
      <c r="E32" s="483"/>
      <c r="F32" s="483"/>
      <c r="G32" s="2483" t="s">
        <v>2930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482</v>
      </c>
      <c r="B1" s="503"/>
      <c r="C1" s="504" t="s">
        <v>563</v>
      </c>
      <c r="D1" s="505" t="s">
        <v>484</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1648</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486</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487</v>
      </c>
      <c r="B6" s="513"/>
      <c r="C6" s="3378" t="s">
        <v>488</v>
      </c>
      <c r="D6" s="3379"/>
      <c r="E6" s="3414" t="s">
        <v>489</v>
      </c>
      <c r="F6" s="3415"/>
      <c r="G6" s="3378" t="s">
        <v>490</v>
      </c>
      <c r="H6" s="3379"/>
      <c r="I6" s="3378" t="s">
        <v>491</v>
      </c>
      <c r="J6" s="3379"/>
      <c r="K6" s="514" t="s">
        <v>492</v>
      </c>
      <c r="L6" s="2133"/>
      <c r="M6" s="2134"/>
      <c r="N6" s="2134"/>
      <c r="O6" s="2134"/>
      <c r="P6" s="3380" t="s">
        <v>493</v>
      </c>
      <c r="Q6" s="3381"/>
      <c r="R6" s="3386" t="s">
        <v>489</v>
      </c>
      <c r="S6" s="3387"/>
      <c r="T6" s="3386" t="s">
        <v>490</v>
      </c>
      <c r="U6" s="3387"/>
      <c r="V6" s="3373" t="s">
        <v>491</v>
      </c>
      <c r="W6" s="3373"/>
      <c r="X6" s="1566"/>
      <c r="Y6" s="3386" t="s">
        <v>493</v>
      </c>
      <c r="Z6" s="3387"/>
      <c r="AA6" s="3375" t="s">
        <v>489</v>
      </c>
      <c r="AB6" s="3376" t="s">
        <v>490</v>
      </c>
      <c r="AC6" s="3375" t="s">
        <v>491</v>
      </c>
    </row>
    <row r="7" spans="1:29" ht="15">
      <c r="A7" s="515"/>
      <c r="B7" s="516"/>
      <c r="C7" s="3411" t="s">
        <v>2886</v>
      </c>
      <c r="D7" s="3395"/>
      <c r="E7" s="3416" t="s">
        <v>2887</v>
      </c>
      <c r="F7" s="3417"/>
      <c r="G7" s="3411" t="s">
        <v>2888</v>
      </c>
      <c r="H7" s="3395"/>
      <c r="I7" s="3411" t="s">
        <v>2889</v>
      </c>
      <c r="J7" s="3395"/>
      <c r="K7" s="514"/>
      <c r="L7" s="2133"/>
      <c r="M7" s="2134"/>
      <c r="N7" s="2134"/>
      <c r="O7" s="2134"/>
      <c r="P7" s="3382"/>
      <c r="Q7" s="3383"/>
      <c r="R7" s="3388"/>
      <c r="S7" s="3389"/>
      <c r="T7" s="3388"/>
      <c r="U7" s="3389"/>
      <c r="V7" s="3373"/>
      <c r="W7" s="3373"/>
      <c r="X7" s="1566"/>
      <c r="Y7" s="3388"/>
      <c r="Z7" s="3389"/>
      <c r="AA7" s="3376"/>
      <c r="AB7" s="3376"/>
      <c r="AC7" s="3376"/>
    </row>
    <row r="8" spans="1:29" ht="15.75" thickBot="1">
      <c r="A8" s="517"/>
      <c r="B8" s="518"/>
      <c r="C8" s="3392" t="s">
        <v>2890</v>
      </c>
      <c r="D8" s="3393"/>
      <c r="E8" s="3412" t="s">
        <v>2890</v>
      </c>
      <c r="F8" s="3413"/>
      <c r="G8" s="3392" t="s">
        <v>2890</v>
      </c>
      <c r="H8" s="3393"/>
      <c r="I8" s="3392" t="s">
        <v>2890</v>
      </c>
      <c r="J8" s="3393"/>
      <c r="K8" s="514" t="s">
        <v>494</v>
      </c>
      <c r="L8" s="2133"/>
      <c r="M8" s="2134"/>
      <c r="N8" s="2134"/>
      <c r="O8" s="2134"/>
      <c r="P8" s="3384"/>
      <c r="Q8" s="3385"/>
      <c r="R8" s="3388"/>
      <c r="S8" s="3389"/>
      <c r="T8" s="3390"/>
      <c r="U8" s="3391"/>
      <c r="V8" s="3373"/>
      <c r="W8" s="3373"/>
      <c r="X8" s="1566"/>
      <c r="Y8" s="3390"/>
      <c r="Z8" s="3391"/>
      <c r="AA8" s="3377"/>
      <c r="AB8" s="3377"/>
      <c r="AC8" s="3377"/>
    </row>
    <row r="9" spans="1:29" s="1219" customFormat="1" ht="15.75" thickBot="1">
      <c r="A9" s="2912"/>
      <c r="B9" s="2919" t="s">
        <v>495</v>
      </c>
      <c r="C9" s="519">
        <f>'数据-取费表'!B2</f>
        <v>43360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4" t="s">
        <v>496</v>
      </c>
      <c r="Q9" s="3406"/>
      <c r="R9" s="1567" t="s">
        <v>8</v>
      </c>
      <c r="S9" s="1568">
        <f t="shared" ref="S9:S17" si="0">F9</f>
        <v>0</v>
      </c>
      <c r="T9" s="1567" t="s">
        <v>8</v>
      </c>
      <c r="U9" s="1568">
        <f t="shared" ref="U9:U17" si="1">H9</f>
        <v>0</v>
      </c>
      <c r="V9" s="1567" t="s">
        <v>8</v>
      </c>
      <c r="W9" s="1568">
        <f t="shared" ref="W9:W17" si="2">J9</f>
        <v>0</v>
      </c>
      <c r="X9" s="1569"/>
      <c r="Y9" s="3404" t="s">
        <v>496</v>
      </c>
      <c r="Z9" s="3405"/>
      <c r="AA9" s="1570" t="e">
        <f>D9/F9</f>
        <v>#DIV/0!</v>
      </c>
      <c r="AB9" s="1570" t="e">
        <f>D9/H9</f>
        <v>#DIV/0!</v>
      </c>
      <c r="AC9" s="1570" t="e">
        <f>D9/J9</f>
        <v>#DIV/0!</v>
      </c>
    </row>
    <row r="10" spans="1:29" s="1219" customFormat="1" ht="15.75" thickBot="1">
      <c r="A10" s="2913"/>
      <c r="B10" s="2920"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4" t="s">
        <v>499</v>
      </c>
      <c r="Q10" s="3405"/>
      <c r="R10" s="1567" t="s">
        <v>8</v>
      </c>
      <c r="S10" s="1568">
        <f t="shared" si="0"/>
        <v>0</v>
      </c>
      <c r="T10" s="1567" t="s">
        <v>8</v>
      </c>
      <c r="U10" s="1568">
        <f t="shared" si="1"/>
        <v>0</v>
      </c>
      <c r="V10" s="1567" t="s">
        <v>8</v>
      </c>
      <c r="W10" s="1568">
        <f t="shared" si="2"/>
        <v>0</v>
      </c>
      <c r="X10" s="1569"/>
      <c r="Y10" s="3404" t="s">
        <v>499</v>
      </c>
      <c r="Z10" s="3405"/>
      <c r="AA10" s="1570" t="e">
        <f t="shared" ref="AA10:AA42" si="3">D10/F10</f>
        <v>#DIV/0!</v>
      </c>
      <c r="AB10" s="1570" t="e">
        <f t="shared" ref="AB10:AB42" si="4">D10/H10</f>
        <v>#DIV/0!</v>
      </c>
      <c r="AC10" s="1570" t="e">
        <f t="shared" ref="AC10:AC42" si="5">D10/J10</f>
        <v>#DIV/0!</v>
      </c>
    </row>
    <row r="11" spans="1:29" s="1219" customFormat="1" ht="15">
      <c r="A11" s="2914"/>
      <c r="B11" s="2921" t="s">
        <v>2718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2" t="s">
        <v>501</v>
      </c>
      <c r="Q11" s="1150" t="str">
        <f t="shared" ref="Q11:Q17" si="6">B11</f>
        <v>用途</v>
      </c>
      <c r="R11" s="1567" t="s">
        <v>8</v>
      </c>
      <c r="S11" s="1568">
        <f t="shared" si="0"/>
        <v>100</v>
      </c>
      <c r="T11" s="1567" t="s">
        <v>8</v>
      </c>
      <c r="U11" s="1568">
        <f t="shared" si="1"/>
        <v>100</v>
      </c>
      <c r="V11" s="1567" t="s">
        <v>8</v>
      </c>
      <c r="W11" s="1568">
        <f t="shared" si="2"/>
        <v>100</v>
      </c>
      <c r="X11" s="1569"/>
      <c r="Y11" s="3318" t="s">
        <v>502</v>
      </c>
      <c r="Z11" s="1149" t="str">
        <f t="shared" ref="Z11:Z17" si="7">Q11</f>
        <v>用途</v>
      </c>
      <c r="AA11" s="1570">
        <f t="shared" si="3"/>
        <v>1</v>
      </c>
      <c r="AB11" s="1570">
        <f t="shared" si="4"/>
        <v>1</v>
      </c>
      <c r="AC11" s="1570">
        <f t="shared" si="5"/>
        <v>1</v>
      </c>
    </row>
    <row r="12" spans="1:29" s="1337" customFormat="1" ht="27">
      <c r="A12" s="2915"/>
      <c r="B12" s="2920" t="s">
        <v>2719</v>
      </c>
      <c r="C12" s="528"/>
      <c r="D12" s="255">
        <v>100</v>
      </c>
      <c r="E12" s="528"/>
      <c r="F12" s="255">
        <f>ROUND(100/'数据-取费表'!G16,0)</f>
        <v>110</v>
      </c>
      <c r="G12" s="528"/>
      <c r="H12" s="255">
        <f>ROUND(100/'数据-取费表'!G16,0)</f>
        <v>110</v>
      </c>
      <c r="I12" s="528"/>
      <c r="J12" s="255">
        <f>ROUND(100/'数据-取费表'!G16,0)</f>
        <v>110</v>
      </c>
      <c r="K12" s="530"/>
      <c r="L12" s="2138"/>
      <c r="M12" s="2178"/>
      <c r="N12" s="2178"/>
      <c r="O12" s="2139"/>
      <c r="P12" s="3372"/>
      <c r="Q12" s="1150" t="str">
        <f t="shared" si="6"/>
        <v>土地使用年限（年）</v>
      </c>
      <c r="R12" s="1567" t="s">
        <v>8</v>
      </c>
      <c r="S12" s="1568">
        <f t="shared" si="0"/>
        <v>110</v>
      </c>
      <c r="T12" s="1567" t="s">
        <v>8</v>
      </c>
      <c r="U12" s="1568">
        <f t="shared" si="1"/>
        <v>110</v>
      </c>
      <c r="V12" s="1567" t="s">
        <v>8</v>
      </c>
      <c r="W12" s="1568">
        <f t="shared" si="2"/>
        <v>110</v>
      </c>
      <c r="X12" s="1569"/>
      <c r="Y12" s="3318"/>
      <c r="Z12" s="1149" t="str">
        <f t="shared" si="7"/>
        <v>土地使用年限（年）</v>
      </c>
      <c r="AA12" s="1570">
        <f t="shared" si="3"/>
        <v>0.90909090909090906</v>
      </c>
      <c r="AB12" s="1570">
        <f t="shared" si="4"/>
        <v>0.90909090909090906</v>
      </c>
      <c r="AC12" s="1570">
        <f t="shared" si="5"/>
        <v>0.90909090909090906</v>
      </c>
    </row>
    <row r="13" spans="1:29" ht="15">
      <c r="A13" s="2916"/>
      <c r="B13" s="2920" t="s">
        <v>2720</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40"/>
      <c r="M13" s="2134"/>
      <c r="N13" s="2134"/>
      <c r="O13" s="2141"/>
      <c r="P13" s="3372"/>
      <c r="Q13" s="1150" t="str">
        <f t="shared" si="6"/>
        <v>容积率</v>
      </c>
      <c r="R13" s="1567" t="s">
        <v>8</v>
      </c>
      <c r="S13" s="1568" t="e">
        <f t="shared" si="0"/>
        <v>#N/A</v>
      </c>
      <c r="T13" s="1567" t="s">
        <v>8</v>
      </c>
      <c r="U13" s="1568" t="e">
        <f t="shared" si="1"/>
        <v>#N/A</v>
      </c>
      <c r="V13" s="1567" t="s">
        <v>8</v>
      </c>
      <c r="W13" s="1568" t="e">
        <f t="shared" si="2"/>
        <v>#N/A</v>
      </c>
      <c r="X13" s="1569"/>
      <c r="Y13" s="3318"/>
      <c r="Z13" s="1149" t="str">
        <f t="shared" si="7"/>
        <v>容积率</v>
      </c>
      <c r="AA13" s="1570" t="e">
        <f t="shared" si="3"/>
        <v>#N/A</v>
      </c>
      <c r="AB13" s="1570" t="e">
        <f t="shared" si="4"/>
        <v>#N/A</v>
      </c>
      <c r="AC13" s="1570" t="e">
        <f t="shared" si="5"/>
        <v>#N/A</v>
      </c>
    </row>
    <row r="14" spans="1:29" s="1219" customFormat="1" ht="15">
      <c r="A14" s="2917"/>
      <c r="B14" s="2923">
        <v>111</v>
      </c>
      <c r="C14" s="528"/>
      <c r="D14" s="537">
        <v>100</v>
      </c>
      <c r="E14" s="540"/>
      <c r="F14" s="255">
        <f>SUMIF(79:79,E14,80:80)-SUMIF(79:79,C14,80:80)+100</f>
        <v>100</v>
      </c>
      <c r="G14" s="541"/>
      <c r="H14" s="255">
        <f>SUMIF(79:79,G14,80:80)-SUMIF(79:79,C14,80:80)+100</f>
        <v>100</v>
      </c>
      <c r="I14" s="540"/>
      <c r="J14" s="255">
        <f>SUMIF(79:79,I14,80:80)-SUMIF(79:79,C14,80:80)+100</f>
        <v>100</v>
      </c>
      <c r="K14" s="530"/>
      <c r="L14" s="2135"/>
      <c r="M14" s="2136"/>
      <c r="N14" s="2136"/>
      <c r="O14" s="2137"/>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D14/F14</f>
        <v>1</v>
      </c>
      <c r="AB14" s="1570">
        <f>D14/H14</f>
        <v>1</v>
      </c>
      <c r="AC14" s="1570">
        <f>D14/J14</f>
        <v>1</v>
      </c>
    </row>
    <row r="15" spans="1:29" ht="15">
      <c r="A15" s="2917"/>
      <c r="B15" s="2923">
        <v>111</v>
      </c>
      <c r="C15" s="538"/>
      <c r="D15" s="539">
        <v>100</v>
      </c>
      <c r="E15" s="540"/>
      <c r="F15" s="255">
        <f>SUMIF(81:81,E15,82:82)-SUMIF(81:81,C15,82:82)+100</f>
        <v>100</v>
      </c>
      <c r="G15" s="541"/>
      <c r="H15" s="539">
        <f>SUMIF(81:81,G15,82:82)-SUMIF(81:81,C15,82:82)+100</f>
        <v>100</v>
      </c>
      <c r="I15" s="540"/>
      <c r="J15" s="539">
        <f>SUMIF(81:81,I15,82:82)-SUMIF(81:81,C15,82:82)+100</f>
        <v>100</v>
      </c>
      <c r="K15" s="530"/>
      <c r="L15" s="2142"/>
      <c r="M15" s="2134"/>
      <c r="N15" s="2134"/>
      <c r="O15" s="2141"/>
      <c r="P15" s="3372"/>
      <c r="Q15" s="1150">
        <f t="shared" si="6"/>
        <v>111</v>
      </c>
      <c r="R15" s="1567" t="s">
        <v>8</v>
      </c>
      <c r="S15" s="1568">
        <f t="shared" si="0"/>
        <v>100</v>
      </c>
      <c r="T15" s="1567" t="s">
        <v>8</v>
      </c>
      <c r="U15" s="1568">
        <f t="shared" si="1"/>
        <v>100</v>
      </c>
      <c r="V15" s="1567" t="s">
        <v>8</v>
      </c>
      <c r="W15" s="1568">
        <f t="shared" si="2"/>
        <v>100</v>
      </c>
      <c r="X15" s="1569"/>
      <c r="Y15" s="3318"/>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2"/>
      <c r="Q16" s="1150">
        <f t="shared" si="6"/>
        <v>111</v>
      </c>
      <c r="R16" s="1567" t="s">
        <v>8</v>
      </c>
      <c r="S16" s="1568">
        <f t="shared" si="0"/>
        <v>100</v>
      </c>
      <c r="T16" s="1567" t="s">
        <v>8</v>
      </c>
      <c r="U16" s="1568">
        <f t="shared" si="1"/>
        <v>100</v>
      </c>
      <c r="V16" s="1567" t="s">
        <v>8</v>
      </c>
      <c r="W16" s="1568">
        <f t="shared" si="2"/>
        <v>100</v>
      </c>
      <c r="X16" s="1569"/>
      <c r="Y16" s="3318"/>
      <c r="Z16" s="1149">
        <f t="shared" si="7"/>
        <v>111</v>
      </c>
      <c r="AA16" s="1570">
        <f t="shared" si="3"/>
        <v>1</v>
      </c>
      <c r="AB16" s="1570">
        <f t="shared" si="4"/>
        <v>1</v>
      </c>
      <c r="AC16" s="1570">
        <f t="shared" si="5"/>
        <v>1</v>
      </c>
    </row>
    <row r="17" spans="1:29" ht="57">
      <c r="A17" s="2910" t="s">
        <v>2716</v>
      </c>
      <c r="B17" s="166" t="s">
        <v>564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7" t="s">
        <v>506</v>
      </c>
      <c r="Q17" s="1571" t="str">
        <f t="shared" si="6"/>
        <v>产业集聚程度</v>
      </c>
      <c r="R17" s="1572" t="s">
        <v>8</v>
      </c>
      <c r="S17" s="1573">
        <f t="shared" si="0"/>
        <v>100</v>
      </c>
      <c r="T17" s="1572" t="s">
        <v>8</v>
      </c>
      <c r="U17" s="1573">
        <f t="shared" si="1"/>
        <v>100</v>
      </c>
      <c r="V17" s="1572" t="s">
        <v>8</v>
      </c>
      <c r="W17" s="1573">
        <f t="shared" si="2"/>
        <v>100</v>
      </c>
      <c r="X17" s="1566"/>
      <c r="Y17" s="3407" t="s">
        <v>506</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8"/>
      <c r="Q18" s="1571"/>
      <c r="R18" s="1572"/>
      <c r="S18" s="1573"/>
      <c r="T18" s="1572"/>
      <c r="U18" s="1573"/>
      <c r="V18" s="1572"/>
      <c r="W18" s="1573"/>
      <c r="X18" s="1566"/>
      <c r="Y18" s="3408"/>
      <c r="Z18" s="1574"/>
      <c r="AA18" s="1575">
        <v>1</v>
      </c>
      <c r="AB18" s="1575">
        <v>1</v>
      </c>
      <c r="AC18" s="1575">
        <v>1</v>
      </c>
    </row>
    <row r="19" spans="1:29" ht="85.5">
      <c r="A19" s="531"/>
      <c r="B19" s="870" t="s">
        <v>509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8"/>
      <c r="Q19" s="1571" t="str">
        <f>B19</f>
        <v>交通便捷度</v>
      </c>
      <c r="R19" s="1572" t="s">
        <v>8</v>
      </c>
      <c r="S19" s="1573">
        <f>F19</f>
        <v>100</v>
      </c>
      <c r="T19" s="1572" t="s">
        <v>8</v>
      </c>
      <c r="U19" s="1573">
        <f>H19</f>
        <v>100</v>
      </c>
      <c r="V19" s="1572" t="s">
        <v>8</v>
      </c>
      <c r="W19" s="1573">
        <f>J19</f>
        <v>100</v>
      </c>
      <c r="X19" s="1566"/>
      <c r="Y19" s="3408"/>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8"/>
      <c r="Q20" s="1571"/>
      <c r="R20" s="1572"/>
      <c r="S20" s="1573"/>
      <c r="T20" s="1572"/>
      <c r="U20" s="1573"/>
      <c r="V20" s="1572"/>
      <c r="W20" s="1573"/>
      <c r="X20" s="1566"/>
      <c r="Y20" s="3408"/>
      <c r="Z20" s="1574"/>
      <c r="AA20" s="1575">
        <v>1</v>
      </c>
      <c r="AB20" s="1575">
        <v>1</v>
      </c>
      <c r="AC20" s="1575">
        <v>1</v>
      </c>
    </row>
    <row r="21" spans="1:29" ht="27">
      <c r="A21" s="515"/>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8"/>
      <c r="Q21" s="1571" t="str">
        <f t="shared" ref="Q21:Q35" si="8">B21</f>
        <v>区域土地利用方向</v>
      </c>
      <c r="R21" s="1572" t="s">
        <v>8</v>
      </c>
      <c r="S21" s="1573">
        <f>F21</f>
        <v>100</v>
      </c>
      <c r="T21" s="1572" t="s">
        <v>8</v>
      </c>
      <c r="U21" s="1573">
        <f>H21</f>
        <v>100</v>
      </c>
      <c r="V21" s="1572" t="s">
        <v>8</v>
      </c>
      <c r="W21" s="1573">
        <f>J21</f>
        <v>100</v>
      </c>
      <c r="X21" s="1566"/>
      <c r="Y21" s="3408"/>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2"/>
      <c r="M22" s="2134"/>
      <c r="N22" s="2134"/>
      <c r="O22" s="2141"/>
      <c r="P22" s="3408"/>
      <c r="Q22" s="1571"/>
      <c r="R22" s="1572"/>
      <c r="S22" s="1573"/>
      <c r="T22" s="1572"/>
      <c r="U22" s="1573"/>
      <c r="V22" s="1572"/>
      <c r="W22" s="1573"/>
      <c r="X22" s="1566"/>
      <c r="Y22" s="3408"/>
      <c r="Z22" s="1574"/>
      <c r="AA22" s="1575"/>
      <c r="AB22" s="1575"/>
      <c r="AC22" s="1575"/>
    </row>
    <row r="23" spans="1:29" ht="71.25">
      <c r="A23" s="515"/>
      <c r="B23" s="921" t="s">
        <v>565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8"/>
      <c r="Q23" s="1571" t="str">
        <f t="shared" si="8"/>
        <v>环境状况</v>
      </c>
      <c r="R23" s="1572" t="s">
        <v>8</v>
      </c>
      <c r="S23" s="1573">
        <f>F23</f>
        <v>100</v>
      </c>
      <c r="T23" s="1572" t="s">
        <v>8</v>
      </c>
      <c r="U23" s="1573">
        <f>H23</f>
        <v>100</v>
      </c>
      <c r="V23" s="1572" t="s">
        <v>8</v>
      </c>
      <c r="W23" s="1573">
        <f>J23</f>
        <v>100</v>
      </c>
      <c r="X23" s="1566"/>
      <c r="Y23" s="3408"/>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2"/>
      <c r="M24" s="2134"/>
      <c r="N24" s="2134"/>
      <c r="O24" s="2141"/>
      <c r="P24" s="3408"/>
      <c r="Q24" s="1571"/>
      <c r="R24" s="1572"/>
      <c r="S24" s="1573"/>
      <c r="T24" s="1572"/>
      <c r="U24" s="1573"/>
      <c r="V24" s="1572"/>
      <c r="W24" s="1573"/>
      <c r="X24" s="1566"/>
      <c r="Y24" s="3408"/>
      <c r="Z24" s="1574"/>
      <c r="AA24" s="1575">
        <v>1</v>
      </c>
      <c r="AB24" s="1575">
        <v>1</v>
      </c>
      <c r="AC24" s="1575">
        <v>1</v>
      </c>
    </row>
    <row r="25" spans="1:29" s="1219" customFormat="1" ht="42.75">
      <c r="A25" s="576"/>
      <c r="B25" s="2593" t="s">
        <v>2511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8"/>
      <c r="Q25" s="1150" t="str">
        <f t="shared" si="8"/>
        <v>公共配套设施</v>
      </c>
      <c r="R25" s="1567" t="s">
        <v>8</v>
      </c>
      <c r="S25" s="1568">
        <f>F25</f>
        <v>100</v>
      </c>
      <c r="T25" s="1567" t="s">
        <v>8</v>
      </c>
      <c r="U25" s="1568">
        <f>H25</f>
        <v>100</v>
      </c>
      <c r="V25" s="1567" t="s">
        <v>8</v>
      </c>
      <c r="W25" s="1568">
        <f>J25</f>
        <v>100</v>
      </c>
      <c r="X25" s="1569"/>
      <c r="Y25" s="3408"/>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408"/>
      <c r="Q26" s="1150"/>
      <c r="R26" s="1567"/>
      <c r="S26" s="1568"/>
      <c r="T26" s="1567"/>
      <c r="U26" s="1568"/>
      <c r="V26" s="1567"/>
      <c r="W26" s="1568"/>
      <c r="X26" s="1569"/>
      <c r="Y26" s="3408"/>
      <c r="Z26" s="1149"/>
      <c r="AA26" s="1570">
        <v>1</v>
      </c>
      <c r="AB26" s="1570">
        <v>1</v>
      </c>
      <c r="AC26" s="1570">
        <v>1</v>
      </c>
    </row>
    <row r="27" spans="1:29" s="1219" customFormat="1" ht="28.5">
      <c r="A27" s="576"/>
      <c r="B27" s="2593" t="s">
        <v>2512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8"/>
      <c r="Q27" s="2578" t="str">
        <f t="shared" ref="Q27" si="9">B27</f>
        <v>基础设施水平</v>
      </c>
      <c r="R27" s="1567" t="s">
        <v>8</v>
      </c>
      <c r="S27" s="1568">
        <f>F27</f>
        <v>100</v>
      </c>
      <c r="T27" s="1567" t="s">
        <v>8</v>
      </c>
      <c r="U27" s="1568">
        <f>H27</f>
        <v>100</v>
      </c>
      <c r="V27" s="1567" t="s">
        <v>8</v>
      </c>
      <c r="W27" s="1568">
        <f>J27</f>
        <v>100</v>
      </c>
      <c r="X27" s="1569"/>
      <c r="Y27" s="3408"/>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408"/>
      <c r="Q28" s="2578"/>
      <c r="R28" s="1567"/>
      <c r="S28" s="1568"/>
      <c r="T28" s="1567"/>
      <c r="U28" s="1568"/>
      <c r="V28" s="1567"/>
      <c r="W28" s="1568"/>
      <c r="X28" s="1569"/>
      <c r="Y28" s="3408"/>
      <c r="Z28" s="2575"/>
      <c r="AA28" s="1570">
        <v>1</v>
      </c>
      <c r="AB28" s="1570">
        <v>1</v>
      </c>
      <c r="AC28" s="1570">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8"/>
      <c r="Z29" s="1574" t="str">
        <f t="shared" ref="Z29:Z42" si="13">Q29</f>
        <v>临街状况</v>
      </c>
      <c r="AA29" s="1575">
        <f t="shared" si="3"/>
        <v>1</v>
      </c>
      <c r="AB29" s="1575">
        <f t="shared" si="4"/>
        <v>1</v>
      </c>
      <c r="AC29" s="1575">
        <f t="shared" si="5"/>
        <v>1</v>
      </c>
    </row>
    <row r="30" spans="1:29" ht="27">
      <c r="A30" s="531"/>
      <c r="B30" s="921" t="s">
        <v>514</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8"/>
      <c r="Q30" s="1571" t="str">
        <f t="shared" si="8"/>
        <v>毗邻道路的类型与等级</v>
      </c>
      <c r="R30" s="1572" t="s">
        <v>8</v>
      </c>
      <c r="S30" s="1573">
        <f t="shared" si="10"/>
        <v>100</v>
      </c>
      <c r="T30" s="1572" t="s">
        <v>8</v>
      </c>
      <c r="U30" s="1573">
        <f t="shared" si="11"/>
        <v>100</v>
      </c>
      <c r="V30" s="1572" t="s">
        <v>8</v>
      </c>
      <c r="W30" s="1573">
        <f t="shared" si="12"/>
        <v>100</v>
      </c>
      <c r="X30" s="1566"/>
      <c r="Y30" s="3408"/>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8"/>
      <c r="Q31" s="1571"/>
      <c r="R31" s="1572"/>
      <c r="S31" s="1573"/>
      <c r="T31" s="1572"/>
      <c r="U31" s="1573"/>
      <c r="V31" s="1572"/>
      <c r="W31" s="1573"/>
      <c r="X31" s="1566"/>
      <c r="Y31" s="3408"/>
      <c r="Z31" s="1574"/>
      <c r="AA31" s="1575">
        <v>1</v>
      </c>
      <c r="AB31" s="1575">
        <v>1</v>
      </c>
      <c r="AC31" s="1575">
        <v>1</v>
      </c>
    </row>
    <row r="32" spans="1:29" ht="15">
      <c r="A32" s="531"/>
      <c r="B32" s="527" t="s">
        <v>515</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8"/>
      <c r="Q32" s="1571" t="str">
        <f t="shared" si="8"/>
        <v>土地级别</v>
      </c>
      <c r="R32" s="1572" t="s">
        <v>8</v>
      </c>
      <c r="S32" s="1573">
        <f t="shared" si="10"/>
        <v>100</v>
      </c>
      <c r="T32" s="1572" t="s">
        <v>8</v>
      </c>
      <c r="U32" s="1573">
        <f t="shared" si="11"/>
        <v>100</v>
      </c>
      <c r="V32" s="1572" t="s">
        <v>8</v>
      </c>
      <c r="W32" s="1573">
        <f t="shared" si="12"/>
        <v>100</v>
      </c>
      <c r="X32" s="1566"/>
      <c r="Y32" s="3408"/>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8"/>
      <c r="Q33" s="1571">
        <f t="shared" si="8"/>
        <v>111</v>
      </c>
      <c r="R33" s="1572" t="s">
        <v>8</v>
      </c>
      <c r="S33" s="1573">
        <f t="shared" si="10"/>
        <v>100</v>
      </c>
      <c r="T33" s="1572" t="s">
        <v>8</v>
      </c>
      <c r="U33" s="1573">
        <f t="shared" si="11"/>
        <v>100</v>
      </c>
      <c r="V33" s="1572" t="s">
        <v>8</v>
      </c>
      <c r="W33" s="1573">
        <f t="shared" si="12"/>
        <v>100</v>
      </c>
      <c r="X33" s="1566"/>
      <c r="Y33" s="3408"/>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9" t="s">
        <v>516</v>
      </c>
      <c r="Q34" s="1571">
        <f t="shared" si="8"/>
        <v>111</v>
      </c>
      <c r="R34" s="1572" t="s">
        <v>8</v>
      </c>
      <c r="S34" s="1573">
        <f t="shared" si="10"/>
        <v>100</v>
      </c>
      <c r="T34" s="1572" t="s">
        <v>8</v>
      </c>
      <c r="U34" s="1573">
        <f t="shared" si="11"/>
        <v>100</v>
      </c>
      <c r="V34" s="1572" t="s">
        <v>8</v>
      </c>
      <c r="W34" s="1573">
        <f t="shared" si="12"/>
        <v>100</v>
      </c>
      <c r="X34" s="1566"/>
      <c r="Y34" s="3410" t="s">
        <v>516</v>
      </c>
      <c r="Z34" s="1574">
        <f t="shared" si="13"/>
        <v>111</v>
      </c>
      <c r="AA34" s="1575">
        <f t="shared" si="3"/>
        <v>1</v>
      </c>
      <c r="AB34" s="1575">
        <f t="shared" si="4"/>
        <v>1</v>
      </c>
      <c r="AC34" s="1575">
        <f t="shared" si="5"/>
        <v>1</v>
      </c>
    </row>
    <row r="35" spans="1:29" s="1338" customFormat="1" ht="15.75" thickBot="1">
      <c r="A35" s="588"/>
      <c r="B35" s="2594">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0"/>
      <c r="Q35" s="1571">
        <f t="shared" si="8"/>
        <v>111</v>
      </c>
      <c r="R35" s="1576" t="s">
        <v>8</v>
      </c>
      <c r="S35" s="1577">
        <f t="shared" si="10"/>
        <v>100</v>
      </c>
      <c r="T35" s="1576" t="s">
        <v>8</v>
      </c>
      <c r="U35" s="1577">
        <f t="shared" si="11"/>
        <v>100</v>
      </c>
      <c r="V35" s="1576" t="s">
        <v>8</v>
      </c>
      <c r="W35" s="1577">
        <f t="shared" si="12"/>
        <v>100</v>
      </c>
      <c r="X35" s="1578"/>
      <c r="Y35" s="3410"/>
      <c r="Z35" s="1579">
        <f t="shared" si="13"/>
        <v>111</v>
      </c>
      <c r="AA35" s="1575">
        <f t="shared" si="3"/>
        <v>1</v>
      </c>
      <c r="AB35" s="1575">
        <f t="shared" si="4"/>
        <v>1</v>
      </c>
      <c r="AC35" s="1575">
        <f t="shared" si="5"/>
        <v>1</v>
      </c>
    </row>
    <row r="36" spans="1:29" ht="15">
      <c r="A36" s="2907" t="s">
        <v>2717</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0"/>
      <c r="Q36" s="1571" t="str">
        <f>B36</f>
        <v>宗地面积</v>
      </c>
      <c r="R36" s="1572" t="s">
        <v>8</v>
      </c>
      <c r="S36" s="1573" t="e">
        <f t="shared" si="10"/>
        <v>#N/A</v>
      </c>
      <c r="T36" s="1572" t="s">
        <v>8</v>
      </c>
      <c r="U36" s="1573" t="e">
        <f t="shared" si="11"/>
        <v>#N/A</v>
      </c>
      <c r="V36" s="1572" t="s">
        <v>8</v>
      </c>
      <c r="W36" s="1573" t="e">
        <f t="shared" si="12"/>
        <v>#N/A</v>
      </c>
      <c r="X36" s="1566"/>
      <c r="Y36" s="3410"/>
      <c r="Z36" s="1574" t="str">
        <f t="shared" si="13"/>
        <v>宗地面积</v>
      </c>
      <c r="AA36" s="1575" t="e">
        <f t="shared" si="3"/>
        <v>#N/A</v>
      </c>
      <c r="AB36" s="1575" t="e">
        <f t="shared" si="4"/>
        <v>#N/A</v>
      </c>
      <c r="AC36" s="1575" t="e">
        <f t="shared" si="5"/>
        <v>#N/A</v>
      </c>
    </row>
    <row r="37" spans="1:29" ht="15">
      <c r="A37" s="593"/>
      <c r="B37" s="527"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0"/>
      <c r="Q37" s="1571" t="str">
        <f t="shared" ref="Q37:Q42" si="14">B37</f>
        <v>宗地形状</v>
      </c>
      <c r="R37" s="1572" t="s">
        <v>8</v>
      </c>
      <c r="S37" s="1573">
        <f t="shared" si="10"/>
        <v>100</v>
      </c>
      <c r="T37" s="1572" t="s">
        <v>8</v>
      </c>
      <c r="U37" s="1573">
        <f t="shared" si="11"/>
        <v>100</v>
      </c>
      <c r="V37" s="1572" t="s">
        <v>8</v>
      </c>
      <c r="W37" s="1573">
        <f t="shared" si="12"/>
        <v>100</v>
      </c>
      <c r="X37" s="1566"/>
      <c r="Y37" s="3410"/>
      <c r="Z37" s="1574" t="str">
        <f t="shared" si="13"/>
        <v>宗地形状</v>
      </c>
      <c r="AA37" s="1575">
        <f t="shared" si="3"/>
        <v>1</v>
      </c>
      <c r="AB37" s="1575">
        <f t="shared" si="4"/>
        <v>1</v>
      </c>
      <c r="AC37" s="1575">
        <f t="shared" si="5"/>
        <v>1</v>
      </c>
    </row>
    <row r="38" spans="1:29" s="1219" customFormat="1" ht="15">
      <c r="A38" s="599"/>
      <c r="B38" s="1895" t="s">
        <v>2387</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0"/>
      <c r="Q38" s="1571" t="str">
        <f t="shared" si="14"/>
        <v>宗地开发程度</v>
      </c>
      <c r="R38" s="1567" t="s">
        <v>8</v>
      </c>
      <c r="S38" s="1568">
        <f t="shared" si="10"/>
        <v>100</v>
      </c>
      <c r="T38" s="1567" t="s">
        <v>8</v>
      </c>
      <c r="U38" s="1568">
        <f t="shared" si="11"/>
        <v>100</v>
      </c>
      <c r="V38" s="1567" t="s">
        <v>8</v>
      </c>
      <c r="W38" s="1568">
        <f t="shared" si="12"/>
        <v>100</v>
      </c>
      <c r="X38" s="1569"/>
      <c r="Y38" s="3410"/>
      <c r="Z38" s="1149" t="str">
        <f t="shared" si="13"/>
        <v>宗地开发程度</v>
      </c>
      <c r="AA38" s="1570">
        <f t="shared" si="3"/>
        <v>1</v>
      </c>
      <c r="AB38" s="1570">
        <f t="shared" si="4"/>
        <v>1</v>
      </c>
      <c r="AC38" s="1570">
        <f t="shared" si="5"/>
        <v>1</v>
      </c>
    </row>
    <row r="39" spans="1:29" ht="15">
      <c r="A39" s="593"/>
      <c r="B39" s="527"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0" t="s">
        <v>567</v>
      </c>
      <c r="Q39" s="1571" t="str">
        <f t="shared" si="14"/>
        <v>工程地质条件</v>
      </c>
      <c r="R39" s="1572" t="s">
        <v>8</v>
      </c>
      <c r="S39" s="1573">
        <f t="shared" si="10"/>
        <v>100</v>
      </c>
      <c r="T39" s="1572" t="s">
        <v>8</v>
      </c>
      <c r="U39" s="1573">
        <f t="shared" si="11"/>
        <v>100</v>
      </c>
      <c r="V39" s="1572" t="s">
        <v>8</v>
      </c>
      <c r="W39" s="1573">
        <f t="shared" si="12"/>
        <v>100</v>
      </c>
      <c r="X39" s="1566"/>
      <c r="Y39" s="3410" t="s">
        <v>567</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0"/>
      <c r="Q40" s="1571">
        <f t="shared" si="14"/>
        <v>111</v>
      </c>
      <c r="R40" s="1572" t="s">
        <v>8</v>
      </c>
      <c r="S40" s="1573">
        <f t="shared" si="10"/>
        <v>100</v>
      </c>
      <c r="T40" s="1572" t="s">
        <v>8</v>
      </c>
      <c r="U40" s="1573">
        <f t="shared" si="11"/>
        <v>100</v>
      </c>
      <c r="V40" s="1572" t="s">
        <v>8</v>
      </c>
      <c r="W40" s="1573">
        <f t="shared" si="12"/>
        <v>100</v>
      </c>
      <c r="X40" s="1566"/>
      <c r="Y40" s="3410"/>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0"/>
      <c r="Q41" s="1571">
        <f t="shared" si="14"/>
        <v>111</v>
      </c>
      <c r="R41" s="1572" t="s">
        <v>8</v>
      </c>
      <c r="S41" s="1573">
        <f t="shared" si="10"/>
        <v>100</v>
      </c>
      <c r="T41" s="1572" t="s">
        <v>8</v>
      </c>
      <c r="U41" s="1573">
        <f t="shared" si="11"/>
        <v>100</v>
      </c>
      <c r="V41" s="1572" t="s">
        <v>8</v>
      </c>
      <c r="W41" s="1573">
        <f t="shared" si="12"/>
        <v>100</v>
      </c>
      <c r="X41" s="1566"/>
      <c r="Y41" s="3410"/>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0"/>
      <c r="Q42" s="1571">
        <f t="shared" si="14"/>
        <v>111</v>
      </c>
      <c r="R42" s="1576" t="s">
        <v>8</v>
      </c>
      <c r="S42" s="1577">
        <f t="shared" si="10"/>
        <v>100</v>
      </c>
      <c r="T42" s="1576" t="s">
        <v>8</v>
      </c>
      <c r="U42" s="1577">
        <f t="shared" si="11"/>
        <v>100</v>
      </c>
      <c r="V42" s="1576" t="s">
        <v>8</v>
      </c>
      <c r="W42" s="1577">
        <f t="shared" si="12"/>
        <v>100</v>
      </c>
      <c r="X42" s="1578"/>
      <c r="Y42" s="3410"/>
      <c r="Z42" s="1579">
        <f t="shared" si="13"/>
        <v>111</v>
      </c>
      <c r="AA42" s="1575">
        <f t="shared" si="3"/>
        <v>1</v>
      </c>
      <c r="AB42" s="1575">
        <f t="shared" si="4"/>
        <v>1</v>
      </c>
      <c r="AC42" s="1575">
        <f t="shared" si="5"/>
        <v>1</v>
      </c>
    </row>
    <row r="43" spans="1:29" ht="15">
      <c r="A43" s="606" t="s">
        <v>522</v>
      </c>
      <c r="B43" s="607" t="s">
        <v>2891</v>
      </c>
      <c r="C43" s="608" t="s">
        <v>1</v>
      </c>
      <c r="D43" s="609"/>
      <c r="E43" s="610"/>
      <c r="F43" s="611"/>
      <c r="G43" s="612"/>
      <c r="H43" s="613"/>
      <c r="I43" s="610"/>
      <c r="J43" s="613"/>
      <c r="K43" s="1339"/>
      <c r="L43" s="2144"/>
      <c r="M43" s="2134"/>
      <c r="N43" s="2134"/>
      <c r="O43" s="2145"/>
      <c r="P43" s="3372" t="str">
        <f>A43</f>
        <v>成交单价</v>
      </c>
      <c r="Q43" s="3372"/>
      <c r="R43" s="3373">
        <f>E43</f>
        <v>0</v>
      </c>
      <c r="S43" s="3373"/>
      <c r="T43" s="3373">
        <f>G43</f>
        <v>0</v>
      </c>
      <c r="U43" s="3373"/>
      <c r="V43" s="3373">
        <f>I43</f>
        <v>0</v>
      </c>
      <c r="W43" s="3373"/>
      <c r="X43" s="1558"/>
      <c r="Y43" s="1580"/>
      <c r="Z43" s="1558"/>
      <c r="AA43" s="1558"/>
      <c r="AB43" s="1558"/>
      <c r="AC43" s="1558"/>
    </row>
    <row r="44" spans="1:29" ht="15.75" thickBot="1">
      <c r="A44" s="614" t="s">
        <v>2655</v>
      </c>
      <c r="B44" s="615"/>
      <c r="C44" s="616" t="e">
        <f>R45</f>
        <v>#DIV/0!</v>
      </c>
      <c r="D44" s="617"/>
      <c r="E44" s="616" t="e">
        <f>R44</f>
        <v>#DIV/0!</v>
      </c>
      <c r="F44" s="618"/>
      <c r="G44" s="619" t="e">
        <f>T44</f>
        <v>#DIV/0!</v>
      </c>
      <c r="H44" s="617"/>
      <c r="I44" s="616" t="e">
        <f>V44</f>
        <v>#DIV/0!</v>
      </c>
      <c r="J44" s="617"/>
      <c r="K44" s="1340"/>
      <c r="L44" s="2144"/>
      <c r="M44" s="2134"/>
      <c r="N44" s="2134"/>
      <c r="O44" s="2145"/>
      <c r="P44" s="3372" t="str">
        <f>A44</f>
        <v>比较价格（元/平方米）</v>
      </c>
      <c r="Q44" s="3372"/>
      <c r="R44" s="3374" t="e">
        <f>ROUND(PRODUCT(R43,AA9:AA42),0)</f>
        <v>#DIV/0!</v>
      </c>
      <c r="S44" s="3374"/>
      <c r="T44" s="3374" t="e">
        <f>ROUND(PRODUCT(T43,AB9:AB42),0)</f>
        <v>#DIV/0!</v>
      </c>
      <c r="U44" s="3374"/>
      <c r="V44" s="3374" t="e">
        <f>ROUND(PRODUCT(V43,AC9:AC42),0)</f>
        <v>#DIV/0!</v>
      </c>
      <c r="W44" s="3374"/>
      <c r="X44" s="1558"/>
      <c r="Y44" s="1558"/>
      <c r="Z44" s="1558"/>
      <c r="AA44" s="1558"/>
      <c r="AB44" s="1558"/>
      <c r="AC44" s="1558"/>
    </row>
    <row r="45" spans="1:29" ht="15.75" thickBot="1">
      <c r="A45" s="620" t="s">
        <v>2892</v>
      </c>
      <c r="B45" s="621"/>
      <c r="C45" s="622" t="e">
        <f>R45</f>
        <v>#DIV/0!</v>
      </c>
      <c r="D45" s="622"/>
      <c r="E45" s="622"/>
      <c r="F45" s="622"/>
      <c r="G45" s="622"/>
      <c r="H45" s="622"/>
      <c r="I45" s="622"/>
      <c r="J45" s="622"/>
      <c r="K45" s="1341"/>
      <c r="L45" s="2144"/>
      <c r="M45" s="2134"/>
      <c r="N45" s="2134"/>
      <c r="O45" s="2145"/>
      <c r="P45" s="3369" t="str">
        <f>A45</f>
        <v>估价对象XX用房的比较价格（楼面单价，元/平方米）</v>
      </c>
      <c r="Q45" s="3370"/>
      <c r="R45" s="3371" t="e">
        <f>ROUND(AVERAGE(R44:V44),0)</f>
        <v>#DIV/0!</v>
      </c>
      <c r="S45" s="3371"/>
      <c r="T45" s="3371"/>
      <c r="U45" s="3371"/>
      <c r="V45" s="3371"/>
      <c r="W45" s="337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526</v>
      </c>
      <c r="B52" s="629" t="s">
        <v>527</v>
      </c>
      <c r="C52" s="1559" t="s">
        <v>1687</v>
      </c>
      <c r="D52" s="2227" t="s">
        <v>2256</v>
      </c>
      <c r="E52" s="630" t="s">
        <v>528</v>
      </c>
      <c r="F52" s="1951" t="s">
        <v>529</v>
      </c>
      <c r="G52" s="3418" t="s">
        <v>2247</v>
      </c>
      <c r="H52" s="3419"/>
      <c r="I52" s="1952" t="s">
        <v>1910</v>
      </c>
      <c r="J52" s="1554" t="str">
        <f>项目基本情况!F41</f>
        <v>南通市</v>
      </c>
      <c r="K52" s="2154" t="s">
        <v>1686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530</v>
      </c>
      <c r="B53" s="633" t="e">
        <f>C45</f>
        <v>#DIV/0!</v>
      </c>
      <c r="C53" s="634">
        <v>1</v>
      </c>
      <c r="D53" s="2228">
        <v>1</v>
      </c>
      <c r="E53" s="634">
        <f>'数据-汇总表'!E8+'数据-汇总表'!E9</f>
        <v>110338.60799999999</v>
      </c>
      <c r="F53" s="1950" t="e">
        <f t="shared" ref="F53:F62" si="15">ROUND(B53*E53/10000,0)</f>
        <v>#DIV/0!</v>
      </c>
      <c r="G53" s="3420"/>
      <c r="H53" s="342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531</v>
      </c>
      <c r="B54" s="637" t="e">
        <f>ROUND($C$45*C54*D54,0)</f>
        <v>#DIV/0!</v>
      </c>
      <c r="C54" s="378">
        <f t="shared" ref="C54:C62" si="16">IF($C$52="北京市系数",I54,J54)</f>
        <v>0</v>
      </c>
      <c r="D54" s="2229">
        <v>0.25</v>
      </c>
      <c r="E54" s="638"/>
      <c r="F54" s="1950" t="e">
        <f t="shared" si="15"/>
        <v>#DIV/0!</v>
      </c>
      <c r="G54" s="3422" t="s">
        <v>2248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532</v>
      </c>
      <c r="B55" s="637" t="e">
        <f t="shared" ref="B55:B62" si="17">ROUND($C$45*C55*D55,0)</f>
        <v>#DIV/0!</v>
      </c>
      <c r="C55" s="378">
        <f t="shared" si="16"/>
        <v>0</v>
      </c>
      <c r="D55" s="2229">
        <v>0.25</v>
      </c>
      <c r="E55" s="638"/>
      <c r="F55" s="1950" t="e">
        <f t="shared" si="15"/>
        <v>#DIV/0!</v>
      </c>
      <c r="G55" s="342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533</v>
      </c>
      <c r="B56" s="637" t="e">
        <f t="shared" si="17"/>
        <v>#DIV/0!</v>
      </c>
      <c r="C56" s="378">
        <f t="shared" si="16"/>
        <v>0</v>
      </c>
      <c r="D56" s="2229">
        <v>0.25</v>
      </c>
      <c r="E56" s="638"/>
      <c r="F56" s="1950" t="e">
        <f t="shared" si="15"/>
        <v>#DIV/0!</v>
      </c>
      <c r="G56" s="342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534</v>
      </c>
      <c r="B57" s="637" t="e">
        <f t="shared" si="17"/>
        <v>#DIV/0!</v>
      </c>
      <c r="C57" s="378">
        <f t="shared" si="16"/>
        <v>0</v>
      </c>
      <c r="D57" s="2229">
        <v>0.25</v>
      </c>
      <c r="E57" s="638"/>
      <c r="F57" s="1950" t="e">
        <f t="shared" si="15"/>
        <v>#DIV/0!</v>
      </c>
      <c r="G57" s="342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2291</v>
      </c>
      <c r="B58" s="637" t="e">
        <f t="shared" si="17"/>
        <v>#DIV/0!</v>
      </c>
      <c r="C58" s="378">
        <f t="shared" si="16"/>
        <v>0</v>
      </c>
      <c r="D58" s="2229">
        <v>0.25</v>
      </c>
      <c r="E58" s="640">
        <f>'数据-汇总表'!E11</f>
        <v>0</v>
      </c>
      <c r="F58" s="1950" t="e">
        <f t="shared" si="15"/>
        <v>#DIV/0!</v>
      </c>
      <c r="G58" s="1956" t="s">
        <v>2249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535</v>
      </c>
      <c r="B59" s="637" t="e">
        <f t="shared" si="17"/>
        <v>#DIV/0!</v>
      </c>
      <c r="C59" s="378">
        <f t="shared" si="16"/>
        <v>0</v>
      </c>
      <c r="D59" s="2229">
        <v>0.25</v>
      </c>
      <c r="E59" s="640">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536</v>
      </c>
      <c r="B60" s="637" t="e">
        <f t="shared" si="17"/>
        <v>#DIV/0!</v>
      </c>
      <c r="C60" s="378">
        <f t="shared" si="16"/>
        <v>0</v>
      </c>
      <c r="D60" s="2229">
        <v>0.25</v>
      </c>
      <c r="E60" s="640">
        <f>'数据-汇总表'!E13</f>
        <v>0</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537</v>
      </c>
      <c r="B61" s="637" t="e">
        <f t="shared" si="17"/>
        <v>#DIV/0!</v>
      </c>
      <c r="C61" s="378">
        <f t="shared" si="16"/>
        <v>0</v>
      </c>
      <c r="D61" s="2229">
        <v>0.25</v>
      </c>
      <c r="E61" s="640">
        <f>'数据-汇总表'!E14</f>
        <v>0</v>
      </c>
      <c r="F61" s="1950" t="e">
        <f t="shared" si="15"/>
        <v>#DIV/0!</v>
      </c>
      <c r="G61" s="1956" t="s">
        <v>2248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538</v>
      </c>
      <c r="B62" s="637" t="e">
        <f t="shared" si="17"/>
        <v>#DIV/0!</v>
      </c>
      <c r="C62" s="378">
        <f t="shared" si="16"/>
        <v>0</v>
      </c>
      <c r="D62" s="2229">
        <v>0.25</v>
      </c>
      <c r="E62" s="640">
        <f>'数据-汇总表'!E15</f>
        <v>0</v>
      </c>
      <c r="F62" s="1950" t="e">
        <f t="shared" si="15"/>
        <v>#DIV/0!</v>
      </c>
      <c r="G62" s="1957" t="s">
        <v>2249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539</v>
      </c>
      <c r="B63" s="642" t="s">
        <v>16</v>
      </c>
      <c r="C63" s="642" t="s">
        <v>17</v>
      </c>
      <c r="D63" s="642" t="s">
        <v>2257</v>
      </c>
      <c r="E63" s="642">
        <f>IF(B43="楼面地价",SUM(E53:E62),'数据-汇总表'!D3)</f>
        <v>22987.21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540</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2496</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2611</v>
      </c>
      <c r="B68" s="479"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541</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497</v>
      </c>
      <c r="B70" s="647"/>
      <c r="C70" s="659" t="s">
        <v>542</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543</v>
      </c>
      <c r="B72" s="664" t="s">
        <v>500</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503</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505</v>
      </c>
      <c r="B85" s="664" t="s">
        <v>568</v>
      </c>
      <c r="C85" s="702" t="s">
        <v>545</v>
      </c>
      <c r="D85" s="702" t="s">
        <v>546</v>
      </c>
      <c r="E85" s="702" t="s">
        <v>547</v>
      </c>
      <c r="F85" s="702" t="s">
        <v>548</v>
      </c>
      <c r="G85" s="702" t="s">
        <v>549</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552</v>
      </c>
      <c r="C87" s="707" t="s">
        <v>545</v>
      </c>
      <c r="D87" s="707" t="s">
        <v>546</v>
      </c>
      <c r="E87" s="707" t="s">
        <v>547</v>
      </c>
      <c r="F87" s="707" t="s">
        <v>548</v>
      </c>
      <c r="G87" s="707" t="s">
        <v>549</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553</v>
      </c>
      <c r="C89" s="707" t="s">
        <v>545</v>
      </c>
      <c r="D89" s="707" t="s">
        <v>546</v>
      </c>
      <c r="E89" s="707" t="s">
        <v>547</v>
      </c>
      <c r="F89" s="707" t="s">
        <v>548</v>
      </c>
      <c r="G89" s="707" t="s">
        <v>549</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554</v>
      </c>
      <c r="C91" s="702" t="s">
        <v>545</v>
      </c>
      <c r="D91" s="702" t="s">
        <v>546</v>
      </c>
      <c r="E91" s="702" t="s">
        <v>547</v>
      </c>
      <c r="F91" s="702" t="s">
        <v>548</v>
      </c>
      <c r="G91" s="702" t="s">
        <v>549</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2511</v>
      </c>
      <c r="C93" s="702" t="s">
        <v>545</v>
      </c>
      <c r="D93" s="702" t="s">
        <v>546</v>
      </c>
      <c r="E93" s="702" t="s">
        <v>547</v>
      </c>
      <c r="F93" s="702" t="s">
        <v>548</v>
      </c>
      <c r="G93" s="702" t="s">
        <v>549</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2513</v>
      </c>
      <c r="C95" s="2598" t="s">
        <v>2514</v>
      </c>
      <c r="D95" s="2598" t="s">
        <v>2515</v>
      </c>
      <c r="E95" s="2598" t="s">
        <v>2516</v>
      </c>
      <c r="F95" s="2598" t="s">
        <v>2517</v>
      </c>
      <c r="G95" s="2598" t="s">
        <v>2518</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555</v>
      </c>
      <c r="D97" s="673" t="s">
        <v>556</v>
      </c>
      <c r="E97" s="673" t="s">
        <v>557</v>
      </c>
      <c r="F97" s="673" t="s">
        <v>558</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514</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515</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560</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2388</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562</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2389</v>
      </c>
      <c r="D1" s="1520">
        <f>SUM(D29:D30,D33:D39)</f>
        <v>0</v>
      </c>
      <c r="E1" s="1405" t="s">
        <v>2390</v>
      </c>
      <c r="F1" s="2452"/>
      <c r="G1" s="1400"/>
      <c r="H1" s="1400"/>
      <c r="I1" s="1400"/>
      <c r="J1" s="1400"/>
      <c r="K1" s="1400"/>
      <c r="L1" s="1882" t="s">
        <v>2201</v>
      </c>
      <c r="M1" s="1883">
        <f>SUMPRODUCT((区片价!B5:B9=I2)*(区片价!C3:F3=E2)*(区片价!C5:F9))</f>
        <v>0</v>
      </c>
      <c r="N1" s="1884">
        <f>SUMPRODUCT((因素修正幅度!B5:B9=I2)*(因素修正幅度!C3:F3=E2)*(因素修正幅度!C5:F9))</f>
        <v>0</v>
      </c>
      <c r="O1" s="2189"/>
      <c r="P1" s="2189"/>
      <c r="Q1" s="2189"/>
      <c r="R1" s="2936" t="s">
        <v>2724</v>
      </c>
      <c r="S1" s="2936" t="s">
        <v>2725</v>
      </c>
      <c r="T1" s="2936" t="s">
        <v>2746</v>
      </c>
      <c r="U1" s="2936" t="s">
        <v>2747</v>
      </c>
      <c r="V1" s="2936" t="s">
        <v>2748</v>
      </c>
      <c r="W1" s="2189"/>
      <c r="X1" s="2189"/>
      <c r="Y1" s="2189"/>
      <c r="Z1" s="2189"/>
      <c r="AA1" s="2189"/>
      <c r="AB1" s="2189"/>
      <c r="AC1" s="2190"/>
    </row>
    <row r="2" spans="1:39" ht="15.75">
      <c r="A2" s="1405" t="s">
        <v>886</v>
      </c>
      <c r="B2" s="1037"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2202</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1650</v>
      </c>
      <c r="B3" s="1037" t="e">
        <f>ROUND(B2*10000/D1,0)</f>
        <v>#DIV/0!</v>
      </c>
      <c r="C3" s="1406" t="s">
        <v>893</v>
      </c>
      <c r="D3" s="1407" t="s">
        <v>894</v>
      </c>
      <c r="E3" s="1411"/>
      <c r="F3" s="1412" t="s">
        <v>2893</v>
      </c>
      <c r="G3" s="1038">
        <f>IF(F3="宗地容积率",'数据-汇总表'!I4,IF(F3="估价对象容积率",'数据-汇总表'!I6,'数据-汇总表'!I7))</f>
        <v>4.8</v>
      </c>
      <c r="H3" s="1413" t="s">
        <v>895</v>
      </c>
      <c r="I3" s="1039">
        <v>8</v>
      </c>
      <c r="J3" s="1409" t="s">
        <v>896</v>
      </c>
      <c r="K3" s="1400"/>
      <c r="L3" s="1885" t="s">
        <v>2203</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2243</v>
      </c>
      <c r="B4" s="2453" t="e">
        <f>ROUND(B2*10000/F1,0)</f>
        <v>#DIV/0!</v>
      </c>
      <c r="C4" s="1894" t="s">
        <v>2217</v>
      </c>
      <c r="D4" s="1894" t="e">
        <f>ROUND(B2/(F1/666.67),0)</f>
        <v>#DIV/0!</v>
      </c>
      <c r="E4" s="1894" t="s">
        <v>2218</v>
      </c>
      <c r="F4" s="1892"/>
      <c r="G4" s="1892"/>
      <c r="H4" s="1892"/>
      <c r="I4" s="1892"/>
      <c r="J4" s="1893"/>
      <c r="K4" s="1400"/>
      <c r="L4" s="1885" t="s">
        <v>2204</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1786</v>
      </c>
      <c r="B5" s="1414" t="s">
        <v>897</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2205</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1833</v>
      </c>
      <c r="B6" s="1421" t="s">
        <v>897</v>
      </c>
      <c r="C6" s="1041">
        <f>SUMIF(L1:L12,基准地价!G2,M1:M12)</f>
        <v>0</v>
      </c>
      <c r="D6" s="1422" t="s">
        <v>1658</v>
      </c>
      <c r="E6" s="1423"/>
      <c r="F6" s="1423"/>
      <c r="G6" s="1424"/>
      <c r="H6" s="1424"/>
      <c r="I6" s="1424"/>
      <c r="J6" s="1425"/>
      <c r="K6" s="1594"/>
      <c r="L6" s="1885" t="s">
        <v>2206</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2" t="str">
        <f>IF(E2="商业",IF(C8="不临58条商业街","",2),"")</f>
        <v/>
      </c>
      <c r="B7" s="1426" t="s">
        <v>898</v>
      </c>
      <c r="C7" s="1042" t="e">
        <f>IF(C8="不临58条商业街",1,ROUND(1+(1.6*E8+1.2*E9+0.8*E10+0.4*E11)*C9,4))</f>
        <v>#DIV/0!</v>
      </c>
      <c r="D7" s="1427" t="s">
        <v>899</v>
      </c>
      <c r="E7" s="1043"/>
      <c r="F7" s="1428"/>
      <c r="G7" s="1429"/>
      <c r="H7" s="1429"/>
      <c r="I7" s="1429"/>
      <c r="J7" s="1430"/>
      <c r="K7" s="1594"/>
      <c r="L7" s="1885" t="s">
        <v>2207</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2727</v>
      </c>
      <c r="X7" s="2927">
        <f>G2</f>
        <v>0</v>
      </c>
      <c r="Y7" s="2927" t="s">
        <v>2728</v>
      </c>
      <c r="Z7" s="2928">
        <f>G3</f>
        <v>4.8</v>
      </c>
      <c r="AA7" s="2192"/>
      <c r="AB7" s="2192"/>
      <c r="AC7" s="2193"/>
      <c r="AD7" s="2929"/>
      <c r="AE7" s="2929"/>
      <c r="AF7" s="2929"/>
      <c r="AG7" s="2929"/>
      <c r="AH7" s="2929"/>
      <c r="AI7" s="2929"/>
      <c r="AJ7" s="2930"/>
    </row>
    <row r="8" spans="1:39" ht="15">
      <c r="A8" s="3433"/>
      <c r="B8" s="1413" t="s">
        <v>900</v>
      </c>
      <c r="C8" s="1528"/>
      <c r="D8" s="1044" t="s">
        <v>901</v>
      </c>
      <c r="E8" s="1045" t="e">
        <f>ROUND(C11/E7,4)</f>
        <v>#DIV/0!</v>
      </c>
      <c r="F8" s="1431" t="s">
        <v>902</v>
      </c>
      <c r="G8" s="1432"/>
      <c r="H8" s="1432"/>
      <c r="I8" s="1432"/>
      <c r="J8" s="1433"/>
      <c r="K8" s="1400"/>
      <c r="L8" s="1885" t="s">
        <v>2208</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4" t="s">
        <v>2745</v>
      </c>
      <c r="X8" s="3425"/>
      <c r="Y8" s="1849" t="s">
        <v>2729</v>
      </c>
      <c r="Z8" s="1849" t="s">
        <v>2730</v>
      </c>
      <c r="AA8" s="1849" t="s">
        <v>2731</v>
      </c>
      <c r="AB8" s="1849" t="s">
        <v>2732</v>
      </c>
      <c r="AC8" s="1849" t="s">
        <v>2733</v>
      </c>
      <c r="AD8" s="1849" t="s">
        <v>2734</v>
      </c>
      <c r="AE8" s="1849" t="s">
        <v>2735</v>
      </c>
      <c r="AF8" s="1849" t="s">
        <v>2736</v>
      </c>
      <c r="AG8" s="1849" t="s">
        <v>2737</v>
      </c>
      <c r="AH8" s="1849" t="s">
        <v>2738</v>
      </c>
      <c r="AI8" s="1849" t="s">
        <v>2739</v>
      </c>
      <c r="AJ8" s="1849" t="s">
        <v>2740</v>
      </c>
    </row>
    <row r="9" spans="1:39" ht="15">
      <c r="A9" s="3433"/>
      <c r="B9" s="1413" t="s">
        <v>903</v>
      </c>
      <c r="C9" s="1046">
        <f>SUMIF(修正!C59:C119,C8,修正!E59:E119)</f>
        <v>0</v>
      </c>
      <c r="D9" s="1047" t="s">
        <v>904</v>
      </c>
      <c r="E9" s="1047" t="e">
        <f>ROUND(C11/E7,4)</f>
        <v>#DIV/0!</v>
      </c>
      <c r="F9" s="1431" t="s">
        <v>905</v>
      </c>
      <c r="G9" s="1432"/>
      <c r="H9" s="1432"/>
      <c r="I9" s="1432"/>
      <c r="J9" s="1433"/>
      <c r="K9" s="1400"/>
      <c r="L9" s="1885" t="s">
        <v>2209</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3" t="s">
        <v>2741</v>
      </c>
      <c r="X9" s="2931" t="s">
        <v>2742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3"/>
      <c r="B10" s="1413" t="s">
        <v>906</v>
      </c>
      <c r="C10" s="1047">
        <f>SUMIF(修正!C59:C119,C8,修正!F59:F119)</f>
        <v>0</v>
      </c>
      <c r="D10" s="1047" t="s">
        <v>907</v>
      </c>
      <c r="E10" s="1047" t="e">
        <f>ROUND(C11/E7,4)</f>
        <v>#DIV/0!</v>
      </c>
      <c r="F10" s="1431" t="s">
        <v>908</v>
      </c>
      <c r="G10" s="1432"/>
      <c r="H10" s="1432"/>
      <c r="I10" s="1432"/>
      <c r="J10" s="1433"/>
      <c r="K10" s="1400"/>
      <c r="L10" s="1885" t="s">
        <v>2210</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3"/>
      <c r="B11" s="1434" t="s">
        <v>909</v>
      </c>
      <c r="C11" s="1048">
        <f>C10/4</f>
        <v>0</v>
      </c>
      <c r="D11" s="1048" t="s">
        <v>910</v>
      </c>
      <c r="E11" s="1048" t="e">
        <f>ROUND(C11/E7,4)</f>
        <v>#DIV/0!</v>
      </c>
      <c r="F11" s="1435" t="s">
        <v>911</v>
      </c>
      <c r="G11" s="1436"/>
      <c r="H11" s="1436"/>
      <c r="I11" s="1436"/>
      <c r="J11" s="1437"/>
      <c r="K11" s="1400"/>
      <c r="L11" s="1885" t="s">
        <v>2211</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3" t="s">
        <v>2743</v>
      </c>
      <c r="X11" s="1047" t="s">
        <v>2728</v>
      </c>
      <c r="Y11" s="1652">
        <f>$G$3</f>
        <v>4.8</v>
      </c>
      <c r="Z11" s="1652">
        <f t="shared" ref="Z11:AJ11" si="3">$G$3</f>
        <v>4.8</v>
      </c>
      <c r="AA11" s="1652">
        <f t="shared" si="3"/>
        <v>4.8</v>
      </c>
      <c r="AB11" s="1652">
        <f t="shared" si="3"/>
        <v>4.8</v>
      </c>
      <c r="AC11" s="1652">
        <f t="shared" si="3"/>
        <v>4.8</v>
      </c>
      <c r="AD11" s="1652">
        <f t="shared" si="3"/>
        <v>4.8</v>
      </c>
      <c r="AE11" s="1652">
        <f t="shared" si="3"/>
        <v>4.8</v>
      </c>
      <c r="AF11" s="1652">
        <f t="shared" si="3"/>
        <v>4.8</v>
      </c>
      <c r="AG11" s="1652">
        <f t="shared" si="3"/>
        <v>4.8</v>
      </c>
      <c r="AH11" s="1652">
        <f t="shared" si="3"/>
        <v>4.8</v>
      </c>
      <c r="AI11" s="1652">
        <f t="shared" si="3"/>
        <v>4.8</v>
      </c>
      <c r="AJ11" s="1652">
        <f t="shared" si="3"/>
        <v>4.8</v>
      </c>
    </row>
    <row r="12" spans="1:39" ht="25.5" thickBot="1">
      <c r="A12" s="3432" t="s">
        <v>1834</v>
      </c>
      <c r="B12" s="1438" t="s">
        <v>912</v>
      </c>
      <c r="C12" s="1042">
        <f>ROUND(C15*D15*E15*F15*G15*H15*I15*J15,4)</f>
        <v>1</v>
      </c>
      <c r="D12" s="1439" t="s">
        <v>913</v>
      </c>
      <c r="E12" s="1440"/>
      <c r="F12" s="1440"/>
      <c r="G12" s="1441"/>
      <c r="H12" s="1441"/>
      <c r="I12" s="1441"/>
      <c r="J12" s="1442"/>
      <c r="K12" s="1400"/>
      <c r="L12" s="1888" t="s">
        <v>2212</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3"/>
      <c r="X12" s="2934" t="s">
        <v>2744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4"/>
      <c r="B13" s="1443" t="s">
        <v>1659</v>
      </c>
      <c r="C13" s="1444" t="s">
        <v>1660</v>
      </c>
      <c r="D13" s="1088" t="s">
        <v>1661</v>
      </c>
      <c r="E13" s="1088" t="s">
        <v>1662</v>
      </c>
      <c r="F13" s="1445" t="s">
        <v>914</v>
      </c>
      <c r="G13" s="1446" t="s">
        <v>1608</v>
      </c>
      <c r="H13" s="1447" t="s">
        <v>1608</v>
      </c>
      <c r="I13" s="1448" t="s">
        <v>1608</v>
      </c>
      <c r="J13" s="1449" t="s">
        <v>1608</v>
      </c>
      <c r="K13" s="1400"/>
      <c r="L13" s="2189"/>
      <c r="M13" s="2189"/>
      <c r="N13" s="2189"/>
      <c r="O13" s="2189"/>
      <c r="P13" s="2189"/>
      <c r="Q13" s="2189"/>
      <c r="R13" s="2937">
        <v>12</v>
      </c>
      <c r="S13" s="2926"/>
      <c r="T13" s="2937" t="e">
        <f t="shared" si="0"/>
        <v>#DIV/0!</v>
      </c>
      <c r="U13" s="2926"/>
      <c r="V13" s="2937" t="e">
        <f t="shared" si="1"/>
        <v>#DIV/0!</v>
      </c>
      <c r="W13" s="3423"/>
      <c r="X13" s="2934"/>
      <c r="Y13" s="2933">
        <f>(-0.163*(Y12^2)-0.59*Y12+7617)*(10^(-4))/Y11</f>
        <v>0.15868750000000001</v>
      </c>
      <c r="Z13" s="2933">
        <f t="shared" ref="Z13:AJ13" si="5">(-0.163*(Z12^2)-0.59*Z12+7617)*(10^(-4))/Z11</f>
        <v>0.15868750000000001</v>
      </c>
      <c r="AA13" s="2933">
        <f t="shared" si="5"/>
        <v>0.15868750000000001</v>
      </c>
      <c r="AB13" s="2933">
        <f t="shared" si="5"/>
        <v>0.15868750000000001</v>
      </c>
      <c r="AC13" s="2933">
        <f t="shared" si="5"/>
        <v>0.15868750000000001</v>
      </c>
      <c r="AD13" s="2933">
        <f t="shared" si="5"/>
        <v>0.15868750000000001</v>
      </c>
      <c r="AE13" s="2933">
        <f t="shared" si="5"/>
        <v>0.15868750000000001</v>
      </c>
      <c r="AF13" s="2933">
        <f t="shared" si="5"/>
        <v>0.15868750000000001</v>
      </c>
      <c r="AG13" s="2933">
        <f t="shared" si="5"/>
        <v>0.15868750000000001</v>
      </c>
      <c r="AH13" s="2933">
        <f t="shared" si="5"/>
        <v>0.15868750000000001</v>
      </c>
      <c r="AI13" s="2933">
        <f t="shared" si="5"/>
        <v>0.15868750000000001</v>
      </c>
      <c r="AJ13" s="2933">
        <f t="shared" si="5"/>
        <v>0.15868750000000001</v>
      </c>
    </row>
    <row r="14" spans="1:39" ht="12.75" customHeight="1" thickBot="1">
      <c r="A14" s="3434"/>
      <c r="B14" s="1450"/>
      <c r="C14" s="1451"/>
      <c r="D14" s="1452"/>
      <c r="E14" s="1452"/>
      <c r="F14" s="1453"/>
      <c r="G14" s="1454" t="s">
        <v>915</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5"/>
      <c r="B15" s="1458" t="s">
        <v>1663</v>
      </c>
      <c r="C15" s="1050">
        <f>IF(C14="有",1.1,1)</f>
        <v>1</v>
      </c>
      <c r="D15" s="1050">
        <f>IF(D14="有",1.1,1)</f>
        <v>1</v>
      </c>
      <c r="E15" s="1050">
        <f>IF(E14="有",1.1,1)</f>
        <v>1</v>
      </c>
      <c r="F15" s="1050">
        <f>IF(F14="500米范围内",1.2,IF(F14="500-1000米",1.1,1))</f>
        <v>1</v>
      </c>
      <c r="G15" s="1051">
        <v>1</v>
      </c>
      <c r="H15" s="1051">
        <v>1</v>
      </c>
      <c r="I15" s="1051">
        <v>1</v>
      </c>
      <c r="J15" s="1052">
        <v>1</v>
      </c>
      <c r="K15" s="1400"/>
      <c r="L15" s="1597" t="s">
        <v>864</v>
      </c>
      <c r="M15" s="1427" t="s">
        <v>950</v>
      </c>
      <c r="N15" s="1427" t="s">
        <v>951</v>
      </c>
      <c r="O15" s="1427" t="s">
        <v>868</v>
      </c>
      <c r="P15" s="1475" t="s">
        <v>952</v>
      </c>
      <c r="Q15" s="2189"/>
      <c r="R15" s="2937">
        <v>14</v>
      </c>
      <c r="S15" s="2926"/>
      <c r="T15" s="2937" t="e">
        <f t="shared" si="0"/>
        <v>#DIV/0!</v>
      </c>
      <c r="U15" s="2926"/>
      <c r="V15" s="2937" t="e">
        <f t="shared" si="1"/>
        <v>#DIV/0!</v>
      </c>
      <c r="W15" s="2189"/>
      <c r="X15" s="2189"/>
      <c r="Y15" s="2189"/>
      <c r="Z15" s="2189"/>
      <c r="AA15" s="2189"/>
      <c r="AB15" s="2189"/>
      <c r="AC15" s="2190"/>
    </row>
    <row r="16" spans="1:39" ht="24">
      <c r="A16" s="3432" t="s">
        <v>1801</v>
      </c>
      <c r="B16" s="1426" t="s">
        <v>916</v>
      </c>
      <c r="C16" s="1053" t="e">
        <f>ROUND(SUM(G17:J17)/C17,0)</f>
        <v>#DIV/0!</v>
      </c>
      <c r="D16" s="1459" t="s">
        <v>917</v>
      </c>
      <c r="E16" s="1460"/>
      <c r="F16" s="1461"/>
      <c r="G16" s="1462"/>
      <c r="H16" s="1462"/>
      <c r="I16" s="1462"/>
      <c r="J16" s="1462"/>
      <c r="K16" s="1400"/>
      <c r="L16" s="1463" t="s">
        <v>954</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3"/>
      <c r="B17" s="1464" t="s">
        <v>919</v>
      </c>
      <c r="C17" s="1054">
        <f>SUMPRODUCT((修正!A2:A5=E2)*(修正!B1:M1=G2)*(修正!B2:M5))</f>
        <v>0</v>
      </c>
      <c r="D17" s="1466" t="s">
        <v>920</v>
      </c>
      <c r="E17" s="1467" t="str">
        <f>IF(OR(G2="八级",G2="九级",G2="十级",G2="十一级",G2="十二级"),"五通一平","七通一平")</f>
        <v>七通一平</v>
      </c>
      <c r="F17" s="1465"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1792</v>
      </c>
      <c r="B18" s="2772" t="s">
        <v>922</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1798</v>
      </c>
      <c r="B19" s="1469" t="s">
        <v>923</v>
      </c>
      <c r="C19" s="1056" t="e">
        <f>ROUND(IF(H19="按公示增长率计算",SUMPRODUCT((地价!A3:A23=YEAR(G19)&amp;"-"&amp;ROUNDUP(MONTH(G19)/3,0))*(地价!X2:AB2=E2)*(地价!X3:AB23)),IF(H19="地价指数",M20/M19,(1+I19)^O19)),4)</f>
        <v>#DIV/0!</v>
      </c>
      <c r="D19" s="1473" t="s">
        <v>924</v>
      </c>
      <c r="E19" s="1057">
        <v>41640</v>
      </c>
      <c r="F19" s="1473" t="s">
        <v>925</v>
      </c>
      <c r="G19" s="1058">
        <f>'数据-取费表'!B2</f>
        <v>43360</v>
      </c>
      <c r="H19" s="1474" t="s">
        <v>2894</v>
      </c>
      <c r="I19" s="2784" t="str">
        <f>IF(H19="季度增幅（自定义）",SUMIF(N21:N24,E2,O21:O24),"")</f>
        <v/>
      </c>
      <c r="J19" s="1470"/>
      <c r="K19" s="1480"/>
      <c r="L19" s="3040" t="s">
        <v>2803</v>
      </c>
      <c r="M19" s="3041">
        <f>ROUND(SUMIF(地价!B2:F2,E2,地价!B23:F23),0)</f>
        <v>0</v>
      </c>
      <c r="N19" s="2786" t="s">
        <v>1642</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1799</v>
      </c>
      <c r="B20" s="2779" t="s">
        <v>938</v>
      </c>
      <c r="C20" s="2780" t="e">
        <f>ROUND(POWER(1+G20,J20-I20)*(POWER(1+G20,I20)-1)/(POWER(1+G20,J20)-1),4)</f>
        <v>#DIV/0!</v>
      </c>
      <c r="D20" s="2781" t="s">
        <v>939</v>
      </c>
      <c r="E20" s="3095">
        <f ca="1">存贷款利率!I4/100</f>
        <v>4.3499999999999997E-2</v>
      </c>
      <c r="F20" s="2781" t="s">
        <v>940</v>
      </c>
      <c r="G20" s="2782">
        <f>SUMIF(M15:P15,E2,M17:P17)</f>
        <v>0</v>
      </c>
      <c r="H20" s="2781" t="s">
        <v>941</v>
      </c>
      <c r="I20" s="2771" t="e">
        <f>SUMIF('数据-取费表'!C6:C15,E2,'数据-取费表'!F6:F15)/COUNTIF('数据-取费表'!C6:C15,E2)</f>
        <v>#DIV/0!</v>
      </c>
      <c r="J20" s="2783">
        <f>IF(E2="住宅",70,IF(E2="商业",40,50))</f>
        <v>50</v>
      </c>
      <c r="K20" s="1480"/>
      <c r="L20" s="3042" t="s">
        <v>2804</v>
      </c>
      <c r="M20" s="3043">
        <f>ROUND(SUMPRODUCT((地价!A4:A23=YEAR(G19)&amp;"-"&amp;ROUNDUP(MONTH(G19)/3,0))*(地价!B2:F2=E2)*(地价!B4:F23)),0)</f>
        <v>0</v>
      </c>
      <c r="N20" s="2789" t="s">
        <v>2608</v>
      </c>
      <c r="O20" s="2787" t="s">
        <v>2607</v>
      </c>
      <c r="P20" s="2788" t="s">
        <v>2612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1800</v>
      </c>
      <c r="B21" s="1479" t="s">
        <v>2723</v>
      </c>
      <c r="C21" s="1157">
        <f>IF(B21="容积率修正",IF(G3&lt;=10,D22,J22),C23)</f>
        <v>0</v>
      </c>
      <c r="D21" s="1480"/>
      <c r="E21" s="1480"/>
      <c r="F21" s="1480"/>
      <c r="G21" s="1480"/>
      <c r="H21" s="1480"/>
      <c r="I21" s="1480"/>
      <c r="J21" s="1481"/>
      <c r="K21" s="1480"/>
      <c r="L21" s="1480"/>
      <c r="M21" s="1480"/>
      <c r="N21" s="1477" t="s">
        <v>942</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1833</v>
      </c>
      <c r="B22" s="1482" t="s">
        <v>943</v>
      </c>
      <c r="C22" s="1059" t="s">
        <v>1665</v>
      </c>
      <c r="D22" s="1059" t="b">
        <f>IF(E22=G22,F22,IF(G3&lt;=10,ROUND(F22+(H22-F22)*(G3-E22)/(G22-E22),4),"——"))</f>
        <v>0</v>
      </c>
      <c r="E22" s="1038">
        <f>ROUNDDOWN(G3,1)</f>
        <v>4.8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0"/>
      <c r="L22" s="1480"/>
      <c r="M22" s="1480"/>
      <c r="N22" s="1477" t="s">
        <v>945</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1834</v>
      </c>
      <c r="B23" s="1482" t="s">
        <v>946</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1835</v>
      </c>
      <c r="B24" s="1414" t="s">
        <v>947</v>
      </c>
      <c r="C24" s="1061">
        <f>SUMIF(A44:A87,E2,B44:B87)</f>
        <v>0</v>
      </c>
      <c r="D24" s="1534"/>
      <c r="E24" s="1535"/>
      <c r="F24" s="1535"/>
      <c r="G24" s="1535"/>
      <c r="H24" s="1535"/>
      <c r="I24" s="1535"/>
      <c r="J24" s="1535"/>
      <c r="K24" s="1480"/>
      <c r="L24" s="1480"/>
      <c r="M24" s="1480"/>
      <c r="N24" s="1483" t="s">
        <v>948</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5"/>
      <c r="M25" s="2195"/>
      <c r="N25" s="2797" t="s">
        <v>2610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953</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955</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956</v>
      </c>
      <c r="C28" s="1498" t="s">
        <v>957</v>
      </c>
      <c r="D28" s="1498" t="s">
        <v>958</v>
      </c>
      <c r="E28" s="1499" t="s">
        <v>959</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960</v>
      </c>
      <c r="C29" s="1062" t="e">
        <f>ROUND(C5*C18*C19*C20*C21*C24,0)</f>
        <v>#DIV/0!</v>
      </c>
      <c r="D29" s="1503"/>
      <c r="E29" s="1849" t="e">
        <f>ROUND(C29*D29/10000,0)</f>
        <v>#DIV/0!</v>
      </c>
      <c r="F29" s="1504" t="s">
        <v>1664</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961</v>
      </c>
      <c r="C30" s="1050" t="e">
        <f>ROUND(IF(E2="工业",C29*M39,C29*M38),0)</f>
        <v>#DIV/0!</v>
      </c>
      <c r="D30" s="1509"/>
      <c r="E30" s="1849" t="e">
        <f>ROUND(C30*D30/10000,0)</f>
        <v>#DIV/0!</v>
      </c>
      <c r="F30" s="1510" t="s">
        <v>962</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8" t="s">
        <v>2919</v>
      </c>
      <c r="B33" s="1523" t="s">
        <v>966</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9"/>
      <c r="B34" s="1444" t="s">
        <v>967</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9"/>
      <c r="B35" s="1444" t="s">
        <v>968</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0"/>
      <c r="B36" s="1444" t="s">
        <v>969</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970</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1666</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971</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1668</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972</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1667</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973</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974</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975</v>
      </c>
      <c r="B46" s="2408" t="s">
        <v>976</v>
      </c>
      <c r="C46" s="2430" t="s">
        <v>977</v>
      </c>
      <c r="D46" s="2431" t="s">
        <v>978</v>
      </c>
      <c r="E46" s="2432" t="s">
        <v>980</v>
      </c>
      <c r="F46" s="2433" t="s">
        <v>2213</v>
      </c>
      <c r="G46" s="2431" t="s">
        <v>981</v>
      </c>
      <c r="H46" s="2414" t="s">
        <v>2381</v>
      </c>
      <c r="I46" s="2431" t="s">
        <v>979</v>
      </c>
      <c r="J46" s="2434" t="s">
        <v>982</v>
      </c>
      <c r="K46" s="2434" t="s">
        <v>983</v>
      </c>
      <c r="L46" s="2434" t="s">
        <v>984</v>
      </c>
      <c r="M46" s="2434" t="s">
        <v>985</v>
      </c>
      <c r="N46" s="2434" t="s">
        <v>986</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987</v>
      </c>
      <c r="B47" s="2411" t="str">
        <f>估价对象房地状况!C16</f>
        <v>估价对象位于中央商务区，周边商业氛围成熟，人流量较大，商业繁华度较好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6" t="s">
        <v>988</v>
      </c>
      <c r="B48" s="2408" t="str">
        <f>估价对象房地状况!C18</f>
        <v>估价对象周边道路状况较好、公共交通通达情况较好、周边有11/13/22路等公交线路、停车便捷程度较好，综合评价交通便捷度较好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989</v>
      </c>
      <c r="B49" s="2408" t="str">
        <f>估价对象房地状况!C19</f>
        <v>较一致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990</v>
      </c>
      <c r="B50" s="3097" t="s">
        <v>2896</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991</v>
      </c>
      <c r="B51" s="2408" t="str">
        <f>估价对象房地状况!C24</f>
        <v>城市次干道-崇川路</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992</v>
      </c>
      <c r="B52" s="3096" t="s">
        <v>2895</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993</v>
      </c>
      <c r="B53" s="2409" t="str">
        <f>估价对象房地状况!C21</f>
        <v>估价对象所在区域公共配套设施齐备情况较好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994</v>
      </c>
      <c r="B54" s="2408" t="str">
        <f>估价对象房地状况!C22</f>
        <v>估价对象所在区域基础设施水平较好</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995</v>
      </c>
      <c r="B55" s="2412" t="str">
        <f>估价对象房地状况!C20</f>
        <v>区域自然环境及人文环境较好，周边有南通中央公园等；综合评价环境状况较好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996</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975</v>
      </c>
      <c r="B57" s="2408"/>
      <c r="C57" s="2430" t="s">
        <v>977</v>
      </c>
      <c r="D57" s="2431" t="s">
        <v>978</v>
      </c>
      <c r="E57" s="2432" t="s">
        <v>980</v>
      </c>
      <c r="F57" s="2433" t="s">
        <v>2214</v>
      </c>
      <c r="G57" s="2431" t="s">
        <v>981</v>
      </c>
      <c r="H57" s="2414" t="s">
        <v>2381</v>
      </c>
      <c r="I57" s="2431" t="s">
        <v>979</v>
      </c>
      <c r="J57" s="2434" t="s">
        <v>982</v>
      </c>
      <c r="K57" s="2434" t="s">
        <v>983</v>
      </c>
      <c r="L57" s="2434" t="s">
        <v>984</v>
      </c>
      <c r="M57" s="2434" t="s">
        <v>985</v>
      </c>
      <c r="N57" s="2434" t="s">
        <v>986</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997</v>
      </c>
      <c r="B58" s="2411">
        <f>估价对象房地状况!C17</f>
        <v>0</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6" t="s">
        <v>988</v>
      </c>
      <c r="B59" s="2408" t="str">
        <f>估价对象房地状况!C18</f>
        <v>估价对象周边道路状况较好、公共交通通达情况较好、周边有11/13/22路等公交线路、停车便捷程度较好，综合评价交通便捷度较好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989</v>
      </c>
      <c r="B60" s="2408" t="str">
        <f>估价对象房地状况!C19</f>
        <v>较一致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990</v>
      </c>
      <c r="B61" s="3097" t="s">
        <v>2897</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991</v>
      </c>
      <c r="B62" s="2408" t="str">
        <f>估价对象房地状况!C24</f>
        <v>城市次干道-崇川路</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992</v>
      </c>
      <c r="B63" s="3096" t="s">
        <v>2895</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993</v>
      </c>
      <c r="B64" s="2409" t="str">
        <f>估价对象房地状况!C21</f>
        <v>估价对象所在区域公共配套设施齐备情况较好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994</v>
      </c>
      <c r="B65" s="2409" t="str">
        <f>估价对象房地状况!C22</f>
        <v>估价对象所在区域基础设施水平较好</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995</v>
      </c>
      <c r="B66" s="2413" t="str">
        <f>估价对象房地状况!C20</f>
        <v>区域自然环境及人文环境较好，周边有南通中央公园等；综合评价环境状况较好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998</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975</v>
      </c>
      <c r="B68" s="2408"/>
      <c r="C68" s="2430" t="s">
        <v>977</v>
      </c>
      <c r="D68" s="2431" t="s">
        <v>978</v>
      </c>
      <c r="E68" s="2432" t="s">
        <v>980</v>
      </c>
      <c r="F68" s="2433" t="s">
        <v>2215</v>
      </c>
      <c r="G68" s="2431" t="s">
        <v>981</v>
      </c>
      <c r="H68" s="2414" t="s">
        <v>2381</v>
      </c>
      <c r="I68" s="2431" t="s">
        <v>979</v>
      </c>
      <c r="J68" s="2434" t="s">
        <v>982</v>
      </c>
      <c r="K68" s="2434" t="s">
        <v>983</v>
      </c>
      <c r="L68" s="2434" t="s">
        <v>984</v>
      </c>
      <c r="M68" s="2434" t="s">
        <v>985</v>
      </c>
      <c r="N68" s="2434" t="s">
        <v>986</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999</v>
      </c>
      <c r="B69" s="2411" t="str">
        <f>估价对象房地状况!C15</f>
        <v>估价对象周边居住用地比例较好、周边有恒隆国际公寓等项目、居住小区规模和社区发展完善程度较好，综合评价居住社区成熟度较好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6" t="s">
        <v>1000</v>
      </c>
      <c r="B70" s="2408" t="str">
        <f>估价对象房地状况!C18</f>
        <v>估价对象周边道路状况较好、公共交通通达情况较好、周边有11/13/22路等公交线路、停车便捷程度较好，综合评价交通便捷度较好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989</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1001</v>
      </c>
      <c r="B72" s="2408" t="str">
        <f>估价对象房地状况!C24</f>
        <v>城市次干道-崇川路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993</v>
      </c>
      <c r="B73" s="2409" t="str">
        <f>估价对象房地状况!C21</f>
        <v>估价对象所在区域公共配套设施齐备情况较好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994</v>
      </c>
      <c r="B74" s="2409" t="str">
        <f>估价对象房地状况!C22</f>
        <v>估价对象所在区域基础设施水平较好</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992</v>
      </c>
      <c r="B75" s="3096" t="s">
        <v>2895</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6" t="s">
        <v>995</v>
      </c>
      <c r="B76" s="2411" t="str">
        <f>估价对象房地状况!C20</f>
        <v>区域自然环境及人文环境较好，周边有南通中央公园等；综合评价环境状况较好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1002</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1003</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975</v>
      </c>
      <c r="B79" s="2408"/>
      <c r="C79" s="2430" t="s">
        <v>977</v>
      </c>
      <c r="D79" s="2431" t="s">
        <v>978</v>
      </c>
      <c r="E79" s="2432" t="s">
        <v>980</v>
      </c>
      <c r="F79" s="2433" t="s">
        <v>2216</v>
      </c>
      <c r="G79" s="2431" t="s">
        <v>981</v>
      </c>
      <c r="H79" s="2414" t="s">
        <v>2381</v>
      </c>
      <c r="I79" s="2431" t="s">
        <v>979</v>
      </c>
      <c r="J79" s="2434" t="s">
        <v>982</v>
      </c>
      <c r="K79" s="2434" t="s">
        <v>983</v>
      </c>
      <c r="L79" s="2434" t="s">
        <v>984</v>
      </c>
      <c r="M79" s="2434" t="s">
        <v>985</v>
      </c>
      <c r="N79" s="2434" t="s">
        <v>986</v>
      </c>
      <c r="AC79" s="1404"/>
      <c r="AD79" s="1403"/>
      <c r="AJ79" s="1402"/>
      <c r="AN79" s="1403"/>
    </row>
    <row r="80" spans="1:40" ht="36">
      <c r="A80" s="1066" t="s">
        <v>1004</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1000</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989</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1001</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993</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994</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992</v>
      </c>
      <c r="B86" s="3096" t="s">
        <v>2895</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1005</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6" t="s">
        <v>1600</v>
      </c>
      <c r="B90" s="3436"/>
      <c r="C90" s="3436"/>
      <c r="D90" s="3436"/>
      <c r="E90" s="3436"/>
      <c r="F90" s="3436"/>
      <c r="G90" s="3436"/>
      <c r="H90" s="3436"/>
      <c r="I90" s="3436"/>
      <c r="J90" s="3436"/>
      <c r="K90" s="2450"/>
      <c r="L90" s="2450"/>
      <c r="M90" s="2450"/>
      <c r="N90" s="2450"/>
    </row>
    <row r="91" spans="1:40">
      <c r="A91" s="3437" t="s">
        <v>1410</v>
      </c>
      <c r="B91" s="3437" t="s">
        <v>1601</v>
      </c>
      <c r="C91" s="1139" t="s">
        <v>1602</v>
      </c>
      <c r="D91" s="1140"/>
      <c r="E91" s="1140"/>
      <c r="F91" s="1140"/>
      <c r="G91" s="1140"/>
      <c r="H91" s="1140"/>
      <c r="I91" s="1140"/>
      <c r="J91" s="1141"/>
      <c r="K91" s="1133"/>
      <c r="L91" s="1133"/>
      <c r="M91" s="1133"/>
      <c r="N91" s="1133"/>
    </row>
    <row r="92" spans="1:40">
      <c r="A92" s="3437"/>
      <c r="B92" s="3437"/>
      <c r="C92" s="2449" t="s">
        <v>873</v>
      </c>
      <c r="D92" s="2449" t="s">
        <v>851</v>
      </c>
      <c r="E92" s="2449" t="s">
        <v>852</v>
      </c>
      <c r="F92" s="2449" t="s">
        <v>876</v>
      </c>
      <c r="G92" s="2449" t="s">
        <v>854</v>
      </c>
      <c r="H92" s="2449" t="s">
        <v>855</v>
      </c>
      <c r="I92" s="2449" t="s">
        <v>856</v>
      </c>
      <c r="J92" s="2449" t="s">
        <v>857</v>
      </c>
      <c r="K92" s="2449" t="s">
        <v>881</v>
      </c>
      <c r="L92" s="2449" t="s">
        <v>859</v>
      </c>
      <c r="M92" s="2449" t="s">
        <v>860</v>
      </c>
      <c r="N92" s="2449" t="s">
        <v>884</v>
      </c>
    </row>
    <row r="93" spans="1:40">
      <c r="A93" s="3426" t="s">
        <v>2726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7"/>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6" t="s">
        <v>1604</v>
      </c>
      <c r="B101" s="1146" t="s">
        <v>872</v>
      </c>
      <c r="C101" s="1147">
        <f>$G$3</f>
        <v>4.8</v>
      </c>
      <c r="D101" s="1147">
        <f t="shared" ref="D101:N101" si="31">$G$3</f>
        <v>4.8</v>
      </c>
      <c r="E101" s="1147">
        <f t="shared" si="31"/>
        <v>4.8</v>
      </c>
      <c r="F101" s="1147">
        <f t="shared" si="31"/>
        <v>4.8</v>
      </c>
      <c r="G101" s="1147">
        <f t="shared" si="31"/>
        <v>4.8</v>
      </c>
      <c r="H101" s="1147">
        <f t="shared" si="31"/>
        <v>4.8</v>
      </c>
      <c r="I101" s="1147">
        <f t="shared" si="31"/>
        <v>4.8</v>
      </c>
      <c r="J101" s="1147">
        <f t="shared" si="31"/>
        <v>4.8</v>
      </c>
      <c r="K101" s="1147">
        <f t="shared" si="31"/>
        <v>4.8</v>
      </c>
      <c r="L101" s="1147">
        <f t="shared" si="31"/>
        <v>4.8</v>
      </c>
      <c r="M101" s="1147">
        <f t="shared" si="31"/>
        <v>4.8</v>
      </c>
      <c r="N101" s="1147">
        <f t="shared" si="31"/>
        <v>4.8</v>
      </c>
    </row>
    <row r="102" spans="1:14">
      <c r="A102" s="3427"/>
      <c r="B102" s="1142">
        <v>1</v>
      </c>
      <c r="C102" s="1143">
        <f>1.9362/C101</f>
        <v>0.40337499999999998</v>
      </c>
      <c r="D102" s="1143">
        <f>1.9362/D101</f>
        <v>0.40337499999999998</v>
      </c>
      <c r="E102" s="1143">
        <f>1.8629/E101</f>
        <v>0.38810416666666669</v>
      </c>
      <c r="F102" s="1143">
        <f>1.8629/F101</f>
        <v>0.38810416666666669</v>
      </c>
      <c r="G102" s="1143">
        <f>1.8629/G101</f>
        <v>0.38810416666666669</v>
      </c>
      <c r="H102" s="1143">
        <f>1.8629/H101</f>
        <v>0.38810416666666669</v>
      </c>
      <c r="I102" s="1143">
        <f>1.8629/I101</f>
        <v>0.38810416666666669</v>
      </c>
      <c r="J102" s="1143">
        <f>1.942/J101</f>
        <v>0.40458333333333335</v>
      </c>
      <c r="K102" s="1143">
        <f>1.942/K101</f>
        <v>0.40458333333333335</v>
      </c>
      <c r="L102" s="1143">
        <f>1.942/L101</f>
        <v>0.40458333333333335</v>
      </c>
      <c r="M102" s="1143">
        <f>1.942/M101</f>
        <v>0.40458333333333335</v>
      </c>
      <c r="N102" s="1143">
        <f>1.942/N101</f>
        <v>0.40458333333333335</v>
      </c>
    </row>
    <row r="103" spans="1:14">
      <c r="A103" s="3427"/>
      <c r="B103" s="1142">
        <v>2</v>
      </c>
      <c r="C103" s="1143">
        <f>1.4198/C101</f>
        <v>0.29579166666666667</v>
      </c>
      <c r="D103" s="1143">
        <f>1.4198/D101</f>
        <v>0.29579166666666667</v>
      </c>
      <c r="E103" s="1143">
        <f>1.3372/E101</f>
        <v>0.27858333333333335</v>
      </c>
      <c r="F103" s="1143">
        <f>1.3372/F101</f>
        <v>0.27858333333333335</v>
      </c>
      <c r="G103" s="1143">
        <f>1.3372/G101</f>
        <v>0.27858333333333335</v>
      </c>
      <c r="H103" s="1143">
        <f>1.3372/H101</f>
        <v>0.27858333333333335</v>
      </c>
      <c r="I103" s="1143">
        <f>1.3372/I101</f>
        <v>0.27858333333333335</v>
      </c>
      <c r="J103" s="1143">
        <f>1.2799/J101</f>
        <v>0.26664583333333336</v>
      </c>
      <c r="K103" s="1143">
        <f>1.2799/K101</f>
        <v>0.26664583333333336</v>
      </c>
      <c r="L103" s="1143">
        <f>1.2799/L101</f>
        <v>0.26664583333333336</v>
      </c>
      <c r="M103" s="1143">
        <f>1.2799/M101</f>
        <v>0.26664583333333336</v>
      </c>
      <c r="N103" s="1143">
        <f>1.2799/N101</f>
        <v>0.26664583333333336</v>
      </c>
    </row>
    <row r="104" spans="1:14">
      <c r="A104" s="3427"/>
      <c r="B104" s="1142">
        <v>3</v>
      </c>
      <c r="C104" s="1143">
        <f>1.1594/C101</f>
        <v>0.24154166666666668</v>
      </c>
      <c r="D104" s="1143">
        <f>1.1594/D101</f>
        <v>0.24154166666666668</v>
      </c>
      <c r="E104" s="1143">
        <f>1.0788/E101</f>
        <v>0.22475000000000001</v>
      </c>
      <c r="F104" s="1143">
        <f>1.0788/F101</f>
        <v>0.22475000000000001</v>
      </c>
      <c r="G104" s="1143">
        <f>1.0788/G101</f>
        <v>0.22475000000000001</v>
      </c>
      <c r="H104" s="1143">
        <f>1.0788/H101</f>
        <v>0.22475000000000001</v>
      </c>
      <c r="I104" s="1143">
        <f>1.0788/I101</f>
        <v>0.22475000000000001</v>
      </c>
      <c r="J104" s="1143">
        <f>1.0072/J101</f>
        <v>0.20983333333333337</v>
      </c>
      <c r="K104" s="1143">
        <f>1.0072/K101</f>
        <v>0.20983333333333337</v>
      </c>
      <c r="L104" s="1143">
        <f>1.0072/L101</f>
        <v>0.20983333333333337</v>
      </c>
      <c r="M104" s="1143">
        <f>1.0072/M101</f>
        <v>0.20983333333333337</v>
      </c>
      <c r="N104" s="1143">
        <f>1.0072/N101</f>
        <v>0.20983333333333337</v>
      </c>
    </row>
    <row r="105" spans="1:14">
      <c r="A105" s="3427"/>
      <c r="B105" s="1142">
        <v>4</v>
      </c>
      <c r="C105" s="1143">
        <f>0.9622/C101</f>
        <v>0.20045833333333335</v>
      </c>
      <c r="D105" s="1143">
        <f>0.9622/D101</f>
        <v>0.20045833333333335</v>
      </c>
      <c r="E105" s="1143">
        <f>0.8656/E101</f>
        <v>0.18033333333333335</v>
      </c>
      <c r="F105" s="1143">
        <f>0.8656/F101</f>
        <v>0.18033333333333335</v>
      </c>
      <c r="G105" s="1143">
        <f>0.8656/G101</f>
        <v>0.18033333333333335</v>
      </c>
      <c r="H105" s="1143">
        <f>0.8656/H101</f>
        <v>0.18033333333333335</v>
      </c>
      <c r="I105" s="1143">
        <f>0.8656/I101</f>
        <v>0.18033333333333335</v>
      </c>
      <c r="J105" s="1143">
        <f>0.7525/J101</f>
        <v>0.15677083333333333</v>
      </c>
      <c r="K105" s="1143">
        <f>0.7525/K101</f>
        <v>0.15677083333333333</v>
      </c>
      <c r="L105" s="1143">
        <f>0.7525/L101</f>
        <v>0.15677083333333333</v>
      </c>
      <c r="M105" s="1143">
        <f>0.7525/M101</f>
        <v>0.15677083333333333</v>
      </c>
      <c r="N105" s="1143">
        <f>0.7525/N101</f>
        <v>0.15677083333333333</v>
      </c>
    </row>
    <row r="106" spans="1:14">
      <c r="A106" s="3427"/>
      <c r="B106" s="1142">
        <v>5</v>
      </c>
      <c r="C106" s="1143">
        <f>0.8417/C101</f>
        <v>0.17535416666666667</v>
      </c>
      <c r="D106" s="1143">
        <f>0.8417/D101</f>
        <v>0.17535416666666667</v>
      </c>
      <c r="E106" s="1143">
        <f>0.7371/E101</f>
        <v>0.15356249999999999</v>
      </c>
      <c r="F106" s="1143">
        <f>0.7371/F101</f>
        <v>0.15356249999999999</v>
      </c>
      <c r="G106" s="1143">
        <f>0.7371/G101</f>
        <v>0.15356249999999999</v>
      </c>
      <c r="H106" s="1143">
        <f>0.7371/H101</f>
        <v>0.15356249999999999</v>
      </c>
      <c r="I106" s="1143">
        <f>0.7371/I101</f>
        <v>0.15356249999999999</v>
      </c>
      <c r="J106" s="1143">
        <f>0.5659/J101</f>
        <v>0.11789583333333332</v>
      </c>
      <c r="K106" s="1143">
        <f>0.5659/K101</f>
        <v>0.11789583333333332</v>
      </c>
      <c r="L106" s="1143">
        <f>0.5659/L101</f>
        <v>0.11789583333333332</v>
      </c>
      <c r="M106" s="1143">
        <f>0.5659/M101</f>
        <v>0.11789583333333332</v>
      </c>
      <c r="N106" s="1143">
        <f>0.5659/N101</f>
        <v>0.11789583333333332</v>
      </c>
    </row>
    <row r="107" spans="1:14">
      <c r="A107" s="3427"/>
      <c r="B107" s="1142">
        <v>6</v>
      </c>
      <c r="C107" s="1143">
        <f>0.7608/C101</f>
        <v>0.1585</v>
      </c>
      <c r="D107" s="1143">
        <f>0.7608/D101</f>
        <v>0.1585</v>
      </c>
      <c r="E107" s="1143">
        <f>0.6482/E101</f>
        <v>0.13504166666666667</v>
      </c>
      <c r="F107" s="1143">
        <f>0.6482/F101</f>
        <v>0.13504166666666667</v>
      </c>
      <c r="G107" s="1143">
        <f>0.6482/G101</f>
        <v>0.13504166666666667</v>
      </c>
      <c r="H107" s="1143">
        <f>0.6482/H101</f>
        <v>0.13504166666666667</v>
      </c>
      <c r="I107" s="1143">
        <f>0.6482/I101</f>
        <v>0.13504166666666667</v>
      </c>
      <c r="J107" s="1143">
        <f>0.4525/J101</f>
        <v>9.4270833333333345E-2</v>
      </c>
      <c r="K107" s="1143">
        <f>0.4525/K101</f>
        <v>9.4270833333333345E-2</v>
      </c>
      <c r="L107" s="1143">
        <f>0.4525/L101</f>
        <v>9.4270833333333345E-2</v>
      </c>
      <c r="M107" s="1143">
        <f>0.4525/M101</f>
        <v>9.4270833333333345E-2</v>
      </c>
      <c r="N107" s="1143">
        <f>0.4525/N101</f>
        <v>9.4270833333333345E-2</v>
      </c>
    </row>
    <row r="108" spans="1:14">
      <c r="A108" s="3427"/>
      <c r="B108" s="3429"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8"/>
      <c r="B109" s="3430"/>
      <c r="C109" s="1145">
        <f>(-0.163*(C108^2)-0.59*C108+7617)*(10^(-4))/C101</f>
        <v>0.15837183333333335</v>
      </c>
      <c r="D109" s="1145">
        <f>(-0.163*(D108^2)-0.59*D108+7617)*(10^(-4))/D101</f>
        <v>0.15837183333333335</v>
      </c>
      <c r="E109" s="1145">
        <f>(-0.161*(E108^2)-7.509*E108+6533)*(10^(-4))/E101</f>
        <v>0.13463800000000001</v>
      </c>
      <c r="F109" s="1145">
        <f>(-0.161*(F108^2)-7.509*F108+6533)*(10^(-4))/F101</f>
        <v>0.13463800000000001</v>
      </c>
      <c r="G109" s="1145">
        <f>(-0.161*(G108^2)-7.509*G108+6533)*(10^(-4))/G101</f>
        <v>0.13463800000000001</v>
      </c>
      <c r="H109" s="1145">
        <f>(-0.161*(H108^2)-7.509*H108+6533)*(10^(-4))/H101</f>
        <v>0.13463800000000001</v>
      </c>
      <c r="I109" s="1145">
        <f>(-0.161*(I108^2)-7.509*I108+6533)*(10^(-4))/I101</f>
        <v>0.13463800000000001</v>
      </c>
      <c r="J109" s="1145">
        <f>(-0.214*(J108^2)-21.991*J108+4665)*(10^(-4))/J101</f>
        <v>9.3237000000000014E-2</v>
      </c>
      <c r="K109" s="1145">
        <f>(-0.214*(K108^2)-21.991*K108+4665)*(10^(-4))/K101</f>
        <v>9.3237000000000014E-2</v>
      </c>
      <c r="L109" s="1145">
        <f>(-0.214*(L108^2)-21.991*L108+4665)*(10^(-4))/L101</f>
        <v>9.3237000000000014E-2</v>
      </c>
      <c r="M109" s="1145">
        <f>(-0.214*(M108^2)-21.991*M108+4665)*(10^(-4))/M101</f>
        <v>9.3237000000000014E-2</v>
      </c>
      <c r="N109" s="1145">
        <f>(-0.214*(N108^2)-21.991*N108+4665)*(10^(-4))/N101</f>
        <v>9.3237000000000014E-2</v>
      </c>
    </row>
    <row r="110" spans="1:14">
      <c r="A110" s="3431" t="s">
        <v>1606</v>
      </c>
      <c r="B110" s="3431"/>
      <c r="C110" s="3431"/>
      <c r="D110" s="3431"/>
      <c r="E110" s="3431"/>
      <c r="F110" s="3431"/>
      <c r="G110" s="3431"/>
      <c r="H110" s="3431"/>
      <c r="I110" s="3431"/>
      <c r="J110" s="3431"/>
      <c r="K110" s="2448"/>
      <c r="L110" s="2448"/>
      <c r="M110" s="2448"/>
      <c r="N110" s="2448"/>
    </row>
    <row r="112" spans="1:14" ht="12.75" thickBot="1"/>
    <row r="113" spans="1:13" ht="25.5" thickBot="1">
      <c r="A113" s="1015" t="s">
        <v>862</v>
      </c>
      <c r="B113" s="2451">
        <f>G3</f>
        <v>4.8</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2.75">
      <c r="A116" s="1028" t="s">
        <v>867</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2.75">
      <c r="A117" s="1031" t="s">
        <v>868</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5" thickBot="1">
      <c r="A118" s="1032" t="s">
        <v>869</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8" customFormat="1" ht="19.5" customHeight="1">
      <c r="A18" s="3437" t="s">
        <v>974</v>
      </c>
      <c r="B18" s="1153" t="s">
        <v>1413</v>
      </c>
      <c r="C18" s="1130" t="s">
        <v>1414</v>
      </c>
      <c r="D18" s="1131"/>
      <c r="E18" s="1153">
        <v>1</v>
      </c>
      <c r="F18" s="1132" t="s">
        <v>1415</v>
      </c>
      <c r="G18" s="1133"/>
      <c r="H18" s="1104"/>
      <c r="I18" s="1104"/>
    </row>
    <row r="19" spans="1:9" s="1598" customFormat="1" ht="19.5" customHeight="1">
      <c r="A19" s="3437"/>
      <c r="B19" s="3437" t="s">
        <v>1416</v>
      </c>
      <c r="C19" s="1130" t="s">
        <v>1417</v>
      </c>
      <c r="D19" s="1131"/>
      <c r="E19" s="1153">
        <v>0.9</v>
      </c>
      <c r="F19" s="1132" t="s">
        <v>1418</v>
      </c>
      <c r="G19" s="1133"/>
      <c r="H19" s="1104"/>
      <c r="I19" s="1104"/>
    </row>
    <row r="20" spans="1:9" s="1598" customFormat="1" ht="19.5" customHeight="1">
      <c r="A20" s="3437"/>
      <c r="B20" s="3437"/>
      <c r="C20" s="1130" t="s">
        <v>1419</v>
      </c>
      <c r="D20" s="1131"/>
      <c r="E20" s="1153">
        <v>1.1000000000000001</v>
      </c>
      <c r="F20" s="1132" t="s">
        <v>1420</v>
      </c>
      <c r="G20" s="1133"/>
      <c r="H20" s="1104"/>
      <c r="I20" s="1104"/>
    </row>
    <row r="21" spans="1:9" s="1598" customFormat="1" ht="19.5" customHeight="1">
      <c r="A21" s="3437"/>
      <c r="B21" s="3437"/>
      <c r="C21" s="1130" t="s">
        <v>1421</v>
      </c>
      <c r="D21" s="1131"/>
      <c r="E21" s="1153">
        <v>0.8</v>
      </c>
      <c r="F21" s="1132" t="s">
        <v>1422</v>
      </c>
      <c r="G21" s="1133"/>
      <c r="H21" s="1104"/>
      <c r="I21" s="1104"/>
    </row>
    <row r="22" spans="1:9" s="1598" customFormat="1" ht="19.5" customHeight="1">
      <c r="A22" s="3437"/>
      <c r="B22" s="3437"/>
      <c r="C22" s="1130" t="s">
        <v>1423</v>
      </c>
      <c r="D22" s="1131"/>
      <c r="E22" s="1153">
        <v>0.5</v>
      </c>
      <c r="F22" s="1132"/>
      <c r="G22" s="1133"/>
      <c r="H22" s="1104"/>
      <c r="I22" s="1104"/>
    </row>
    <row r="23" spans="1:9" s="1598" customFormat="1" ht="19.5" customHeight="1">
      <c r="A23" s="3437" t="s">
        <v>996</v>
      </c>
      <c r="B23" s="1153" t="s">
        <v>1413</v>
      </c>
      <c r="C23" s="1130" t="s">
        <v>1424</v>
      </c>
      <c r="D23" s="1131"/>
      <c r="E23" s="1153">
        <v>1</v>
      </c>
      <c r="F23" s="1132" t="s">
        <v>1425</v>
      </c>
      <c r="G23" s="1133"/>
      <c r="H23" s="1104"/>
      <c r="I23" s="1104"/>
    </row>
    <row r="24" spans="1:9" s="1598" customFormat="1" ht="19.5" customHeight="1">
      <c r="A24" s="3437"/>
      <c r="B24" s="3437" t="s">
        <v>1416</v>
      </c>
      <c r="C24" s="1130" t="s">
        <v>1426</v>
      </c>
      <c r="D24" s="1131"/>
      <c r="E24" s="1153">
        <v>0.5</v>
      </c>
      <c r="F24" s="1132"/>
      <c r="G24" s="1133"/>
      <c r="H24" s="1104"/>
      <c r="I24" s="1104"/>
    </row>
    <row r="25" spans="1:9" s="1598" customFormat="1" ht="19.5" customHeight="1">
      <c r="A25" s="3437"/>
      <c r="B25" s="3437"/>
      <c r="C25" s="1130" t="s">
        <v>1427</v>
      </c>
      <c r="D25" s="1131"/>
      <c r="E25" s="1153">
        <v>1.1000000000000001</v>
      </c>
      <c r="F25" s="1132"/>
      <c r="G25" s="1133"/>
      <c r="H25" s="1104"/>
      <c r="I25" s="1104"/>
    </row>
    <row r="26" spans="1:9" s="1598" customFormat="1" ht="19.5" customHeight="1">
      <c r="A26" s="3437"/>
      <c r="B26" s="3437"/>
      <c r="C26" s="1130" t="s">
        <v>1428</v>
      </c>
      <c r="D26" s="1131"/>
      <c r="E26" s="1153">
        <v>1.1000000000000001</v>
      </c>
      <c r="F26" s="1132"/>
      <c r="G26" s="1133"/>
      <c r="H26" s="1104"/>
      <c r="I26" s="1104"/>
    </row>
    <row r="27" spans="1:9" s="1598" customFormat="1" ht="19.5" customHeight="1">
      <c r="A27" s="3437"/>
      <c r="B27" s="3437"/>
      <c r="C27" s="1130" t="s">
        <v>1429</v>
      </c>
      <c r="D27" s="1131"/>
      <c r="E27" s="1153">
        <v>0.9</v>
      </c>
      <c r="F27" s="1132" t="s">
        <v>1430</v>
      </c>
      <c r="G27" s="1133"/>
      <c r="H27" s="1104"/>
      <c r="I27" s="1104"/>
    </row>
    <row r="28" spans="1:9" s="1598" customFormat="1" ht="19.5" customHeight="1">
      <c r="A28" s="3437"/>
      <c r="B28" s="3437"/>
      <c r="C28" s="1130" t="s">
        <v>1431</v>
      </c>
      <c r="D28" s="1131"/>
      <c r="E28" s="1153">
        <v>0.9</v>
      </c>
      <c r="F28" s="1132" t="s">
        <v>1432</v>
      </c>
      <c r="G28" s="1133"/>
      <c r="H28" s="1104"/>
      <c r="I28" s="1104"/>
    </row>
    <row r="29" spans="1:9" s="1598" customFormat="1" ht="19.5" customHeight="1">
      <c r="A29" s="3437"/>
      <c r="B29" s="3437"/>
      <c r="C29" s="1130" t="s">
        <v>1433</v>
      </c>
      <c r="D29" s="1131"/>
      <c r="E29" s="1153">
        <v>0.9</v>
      </c>
      <c r="F29" s="1132" t="s">
        <v>1434</v>
      </c>
      <c r="G29" s="1133"/>
      <c r="H29" s="1104"/>
      <c r="I29" s="1104"/>
    </row>
    <row r="30" spans="1:9" s="1598" customFormat="1" ht="19.5" customHeight="1">
      <c r="A30" s="3437"/>
      <c r="B30" s="3437"/>
      <c r="C30" s="1130" t="s">
        <v>1435</v>
      </c>
      <c r="D30" s="1131"/>
      <c r="E30" s="1153">
        <v>0.9</v>
      </c>
      <c r="F30" s="1132" t="s">
        <v>1436</v>
      </c>
      <c r="G30" s="1133"/>
      <c r="H30" s="1104"/>
      <c r="I30" s="1104"/>
    </row>
    <row r="31" spans="1:9" s="1598" customFormat="1" ht="19.5" customHeight="1">
      <c r="A31" s="3437"/>
      <c r="B31" s="3437"/>
      <c r="C31" s="1130" t="s">
        <v>1437</v>
      </c>
      <c r="D31" s="1131"/>
      <c r="E31" s="1153">
        <v>0.8</v>
      </c>
      <c r="F31" s="1132" t="s">
        <v>1438</v>
      </c>
      <c r="G31" s="1133"/>
      <c r="H31" s="1104"/>
      <c r="I31" s="1104"/>
    </row>
    <row r="32" spans="1:9" s="1598" customFormat="1" ht="19.5" customHeight="1">
      <c r="A32" s="3437"/>
      <c r="B32" s="3437"/>
      <c r="C32" s="1130" t="s">
        <v>1439</v>
      </c>
      <c r="D32" s="1131"/>
      <c r="E32" s="1153">
        <v>0.8</v>
      </c>
      <c r="F32" s="1132" t="s">
        <v>1440</v>
      </c>
      <c r="G32" s="1133"/>
      <c r="H32" s="1104"/>
      <c r="I32" s="1104"/>
    </row>
    <row r="33" spans="1:9" s="1598" customFormat="1" ht="19.5" customHeight="1">
      <c r="A33" s="3437" t="s">
        <v>1441</v>
      </c>
      <c r="B33" s="1153" t="s">
        <v>1413</v>
      </c>
      <c r="C33" s="1130" t="s">
        <v>1442</v>
      </c>
      <c r="D33" s="1131"/>
      <c r="E33" s="1153">
        <v>1</v>
      </c>
      <c r="F33" s="1132" t="s">
        <v>1443</v>
      </c>
      <c r="G33" s="1133"/>
      <c r="H33" s="1104"/>
      <c r="I33" s="1104"/>
    </row>
    <row r="34" spans="1:9" s="1598" customFormat="1" ht="19.5" customHeight="1">
      <c r="A34" s="3437"/>
      <c r="B34" s="1153" t="s">
        <v>1416</v>
      </c>
      <c r="C34" s="1130" t="s">
        <v>1444</v>
      </c>
      <c r="D34" s="1131"/>
      <c r="E34" s="1153">
        <v>1.5</v>
      </c>
      <c r="F34" s="1132" t="s">
        <v>1445</v>
      </c>
      <c r="G34" s="1133"/>
      <c r="H34" s="1104"/>
      <c r="I34" s="1104"/>
    </row>
    <row r="35" spans="1:9" s="1598" customFormat="1" ht="19.5" customHeight="1">
      <c r="A35" s="3437" t="s">
        <v>1399</v>
      </c>
      <c r="B35" s="1153" t="s">
        <v>1413</v>
      </c>
      <c r="C35" s="1130" t="s">
        <v>1446</v>
      </c>
      <c r="D35" s="1131"/>
      <c r="E35" s="1153">
        <v>1</v>
      </c>
      <c r="F35" s="1132" t="s">
        <v>1447</v>
      </c>
      <c r="G35" s="1133"/>
      <c r="H35" s="1104"/>
      <c r="I35" s="1104"/>
    </row>
    <row r="36" spans="1:9" s="1598" customFormat="1" ht="19.5" customHeight="1">
      <c r="A36" s="3437"/>
      <c r="B36" s="3437" t="s">
        <v>1416</v>
      </c>
      <c r="C36" s="1130" t="s">
        <v>1448</v>
      </c>
      <c r="D36" s="1131"/>
      <c r="E36" s="1153">
        <v>1</v>
      </c>
      <c r="F36" s="1132" t="s">
        <v>1449</v>
      </c>
      <c r="G36" s="1133"/>
      <c r="H36" s="1104"/>
      <c r="I36" s="1104"/>
    </row>
    <row r="37" spans="1:9" s="1598" customFormat="1" ht="19.5" customHeight="1">
      <c r="A37" s="3437"/>
      <c r="B37" s="3437"/>
      <c r="C37" s="1130" t="s">
        <v>1450</v>
      </c>
      <c r="D37" s="1131"/>
      <c r="E37" s="1153">
        <v>1.5</v>
      </c>
      <c r="F37" s="1132" t="s">
        <v>1451</v>
      </c>
      <c r="G37" s="1133"/>
      <c r="H37" s="1104"/>
      <c r="I37" s="1104"/>
    </row>
    <row r="38" spans="1:9" s="1598" customFormat="1" ht="19.5" customHeight="1">
      <c r="A38" s="3437"/>
      <c r="B38" s="3437"/>
      <c r="C38" s="1130" t="s">
        <v>1452</v>
      </c>
      <c r="D38" s="1131"/>
      <c r="E38" s="1153">
        <v>1</v>
      </c>
      <c r="F38" s="1132" t="s">
        <v>1453</v>
      </c>
      <c r="G38" s="1133"/>
      <c r="H38" s="1104"/>
      <c r="I38" s="1104"/>
    </row>
    <row r="39" spans="1:9" s="1598" customFormat="1" ht="19.5" customHeight="1">
      <c r="A39" s="3437"/>
      <c r="B39" s="3437"/>
      <c r="C39" s="1130" t="s">
        <v>1454</v>
      </c>
      <c r="D39" s="1131"/>
      <c r="E39" s="1153">
        <v>1</v>
      </c>
      <c r="F39" s="1132" t="s">
        <v>1455</v>
      </c>
      <c r="G39" s="1133"/>
      <c r="H39" s="1104"/>
      <c r="I39" s="1104"/>
    </row>
    <row r="40" spans="1:9" s="1598" customFormat="1" ht="19.5" customHeight="1">
      <c r="A40" s="1599" t="s">
        <v>1456</v>
      </c>
      <c r="B40" s="1599"/>
      <c r="C40" s="1599"/>
      <c r="D40" s="1599"/>
      <c r="E40" s="1599"/>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37" t="s">
        <v>1468</v>
      </c>
      <c r="C61" s="1067" t="s">
        <v>1469</v>
      </c>
      <c r="D61" s="1067" t="s">
        <v>1470</v>
      </c>
      <c r="E61" s="1138">
        <v>0.5</v>
      </c>
      <c r="F61" s="1153">
        <v>80</v>
      </c>
      <c r="H61" s="1104">
        <f>SUMIF(C59:C119,基准地价!C8,E59:E119)</f>
        <v>0</v>
      </c>
    </row>
    <row r="62" spans="1:8" s="1104" customFormat="1" ht="24">
      <c r="A62" s="1153">
        <v>2</v>
      </c>
      <c r="B62" s="3437"/>
      <c r="C62" s="1067" t="s">
        <v>1471</v>
      </c>
      <c r="D62" s="1067" t="s">
        <v>1472</v>
      </c>
      <c r="E62" s="1138">
        <v>0.5</v>
      </c>
      <c r="F62" s="1153">
        <v>80</v>
      </c>
    </row>
    <row r="63" spans="1:8" s="1104" customFormat="1" ht="36">
      <c r="A63" s="1153">
        <v>3</v>
      </c>
      <c r="B63" s="3437"/>
      <c r="C63" s="1067" t="s">
        <v>1473</v>
      </c>
      <c r="D63" s="1067" t="s">
        <v>1474</v>
      </c>
      <c r="E63" s="1138">
        <v>0.5</v>
      </c>
      <c r="F63" s="1153">
        <v>80</v>
      </c>
    </row>
    <row r="64" spans="1:8" s="1104" customFormat="1" ht="36">
      <c r="A64" s="1153">
        <v>4</v>
      </c>
      <c r="B64" s="3437"/>
      <c r="C64" s="1067" t="s">
        <v>1475</v>
      </c>
      <c r="D64" s="1067" t="s">
        <v>1476</v>
      </c>
      <c r="E64" s="1138">
        <v>0.4</v>
      </c>
      <c r="F64" s="1153">
        <v>60</v>
      </c>
    </row>
    <row r="65" spans="1:6" s="1104" customFormat="1" ht="36">
      <c r="A65" s="1153">
        <v>5</v>
      </c>
      <c r="B65" s="3437"/>
      <c r="C65" s="1067" t="s">
        <v>1477</v>
      </c>
      <c r="D65" s="1067" t="s">
        <v>1478</v>
      </c>
      <c r="E65" s="1138">
        <v>0.2</v>
      </c>
      <c r="F65" s="1153">
        <v>30</v>
      </c>
    </row>
    <row r="66" spans="1:6" s="1104" customFormat="1" ht="36">
      <c r="A66" s="1153">
        <v>6</v>
      </c>
      <c r="B66" s="3437"/>
      <c r="C66" s="1067" t="s">
        <v>1479</v>
      </c>
      <c r="D66" s="1067" t="s">
        <v>1480</v>
      </c>
      <c r="E66" s="1138">
        <v>0.3</v>
      </c>
      <c r="F66" s="1153">
        <v>50</v>
      </c>
    </row>
    <row r="67" spans="1:6" s="1104" customFormat="1" ht="36">
      <c r="A67" s="1153">
        <v>7</v>
      </c>
      <c r="B67" s="3437"/>
      <c r="C67" s="1067" t="s">
        <v>1481</v>
      </c>
      <c r="D67" s="1067" t="s">
        <v>1482</v>
      </c>
      <c r="E67" s="1138">
        <v>0.2</v>
      </c>
      <c r="F67" s="1153">
        <v>30</v>
      </c>
    </row>
    <row r="68" spans="1:6" s="1104" customFormat="1" ht="36">
      <c r="A68" s="1153">
        <v>8</v>
      </c>
      <c r="B68" s="3437"/>
      <c r="C68" s="1067" t="s">
        <v>1483</v>
      </c>
      <c r="D68" s="1067" t="s">
        <v>1484</v>
      </c>
      <c r="E68" s="1138">
        <v>0.2</v>
      </c>
      <c r="F68" s="1153">
        <v>30</v>
      </c>
    </row>
    <row r="69" spans="1:6" s="1104" customFormat="1" ht="36">
      <c r="A69" s="1153">
        <v>9</v>
      </c>
      <c r="B69" s="3437"/>
      <c r="C69" s="1067" t="s">
        <v>1485</v>
      </c>
      <c r="D69" s="1067" t="s">
        <v>1486</v>
      </c>
      <c r="E69" s="1138">
        <v>0.2</v>
      </c>
      <c r="F69" s="1153">
        <v>30</v>
      </c>
    </row>
    <row r="70" spans="1:6" s="1104" customFormat="1" ht="48">
      <c r="A70" s="1153">
        <v>10</v>
      </c>
      <c r="B70" s="3437"/>
      <c r="C70" s="1067" t="s">
        <v>1487</v>
      </c>
      <c r="D70" s="1067" t="s">
        <v>1488</v>
      </c>
      <c r="E70" s="1138">
        <v>0.2</v>
      </c>
      <c r="F70" s="1153">
        <v>30</v>
      </c>
    </row>
    <row r="71" spans="1:6" s="1104" customFormat="1" ht="48">
      <c r="A71" s="1153">
        <v>11</v>
      </c>
      <c r="B71" s="3437"/>
      <c r="C71" s="1067" t="s">
        <v>1489</v>
      </c>
      <c r="D71" s="1067" t="s">
        <v>1490</v>
      </c>
      <c r="E71" s="1138">
        <v>0.2</v>
      </c>
      <c r="F71" s="1153">
        <v>30</v>
      </c>
    </row>
    <row r="72" spans="1:6" s="1104" customFormat="1" ht="36">
      <c r="A72" s="1153">
        <v>12</v>
      </c>
      <c r="B72" s="3437"/>
      <c r="C72" s="1067" t="s">
        <v>1491</v>
      </c>
      <c r="D72" s="1067" t="s">
        <v>1492</v>
      </c>
      <c r="E72" s="1138">
        <v>0.5</v>
      </c>
      <c r="F72" s="1153">
        <v>80</v>
      </c>
    </row>
    <row r="73" spans="1:6" s="1104" customFormat="1" ht="24">
      <c r="A73" s="1153">
        <v>13</v>
      </c>
      <c r="B73" s="3437"/>
      <c r="C73" s="1067" t="s">
        <v>1493</v>
      </c>
      <c r="D73" s="1067" t="s">
        <v>1494</v>
      </c>
      <c r="E73" s="1138">
        <v>0.4</v>
      </c>
      <c r="F73" s="1153">
        <v>60</v>
      </c>
    </row>
    <row r="74" spans="1:6" s="1104" customFormat="1" ht="24">
      <c r="A74" s="1153">
        <v>14</v>
      </c>
      <c r="B74" s="3437"/>
      <c r="C74" s="1067" t="s">
        <v>1495</v>
      </c>
      <c r="D74" s="1067" t="s">
        <v>1496</v>
      </c>
      <c r="E74" s="1138">
        <v>0.2</v>
      </c>
      <c r="F74" s="1153">
        <v>30</v>
      </c>
    </row>
    <row r="75" spans="1:6" s="1104" customFormat="1" ht="24">
      <c r="A75" s="1153">
        <v>15</v>
      </c>
      <c r="B75" s="3437"/>
      <c r="C75" s="1067" t="s">
        <v>1497</v>
      </c>
      <c r="D75" s="1067" t="s">
        <v>1498</v>
      </c>
      <c r="E75" s="1138">
        <v>0.2</v>
      </c>
      <c r="F75" s="1153">
        <v>30</v>
      </c>
    </row>
    <row r="76" spans="1:6" s="1104" customFormat="1" ht="24">
      <c r="A76" s="1153">
        <v>16</v>
      </c>
      <c r="B76" s="3437" t="s">
        <v>1499</v>
      </c>
      <c r="C76" s="1067" t="s">
        <v>1500</v>
      </c>
      <c r="D76" s="1067" t="s">
        <v>1501</v>
      </c>
      <c r="E76" s="1138">
        <v>0.5</v>
      </c>
      <c r="F76" s="1153">
        <v>80</v>
      </c>
    </row>
    <row r="77" spans="1:6" s="1104" customFormat="1" ht="24">
      <c r="A77" s="1153">
        <v>17</v>
      </c>
      <c r="B77" s="3437"/>
      <c r="C77" s="1067" t="s">
        <v>1502</v>
      </c>
      <c r="D77" s="1067" t="s">
        <v>1503</v>
      </c>
      <c r="E77" s="1138">
        <v>0.5</v>
      </c>
      <c r="F77" s="1153">
        <v>80</v>
      </c>
    </row>
    <row r="78" spans="1:6" s="1104" customFormat="1" ht="24">
      <c r="A78" s="1153">
        <v>18</v>
      </c>
      <c r="B78" s="3437"/>
      <c r="C78" s="1067" t="s">
        <v>1504</v>
      </c>
      <c r="D78" s="1067" t="s">
        <v>1505</v>
      </c>
      <c r="E78" s="1138">
        <v>0.2</v>
      </c>
      <c r="F78" s="1153">
        <v>30</v>
      </c>
    </row>
    <row r="79" spans="1:6" s="1104" customFormat="1" ht="24">
      <c r="A79" s="1153">
        <v>19</v>
      </c>
      <c r="B79" s="3437"/>
      <c r="C79" s="1067" t="s">
        <v>1506</v>
      </c>
      <c r="D79" s="1067" t="s">
        <v>1507</v>
      </c>
      <c r="E79" s="1138">
        <v>0.5</v>
      </c>
      <c r="F79" s="1153">
        <v>80</v>
      </c>
    </row>
    <row r="80" spans="1:6" s="1104" customFormat="1" ht="36">
      <c r="A80" s="1153">
        <v>20</v>
      </c>
      <c r="B80" s="3437"/>
      <c r="C80" s="1067" t="s">
        <v>1508</v>
      </c>
      <c r="D80" s="1067" t="s">
        <v>1509</v>
      </c>
      <c r="E80" s="1138">
        <v>0.2</v>
      </c>
      <c r="F80" s="1153">
        <v>30</v>
      </c>
    </row>
    <row r="81" spans="1:6" s="1104" customFormat="1" ht="36">
      <c r="A81" s="1153">
        <v>21</v>
      </c>
      <c r="B81" s="3437"/>
      <c r="C81" s="1067" t="s">
        <v>1510</v>
      </c>
      <c r="D81" s="1067" t="s">
        <v>1511</v>
      </c>
      <c r="E81" s="1138">
        <v>0.2</v>
      </c>
      <c r="F81" s="1153">
        <v>30</v>
      </c>
    </row>
    <row r="82" spans="1:6" s="1104" customFormat="1" ht="48">
      <c r="A82" s="1153">
        <v>22</v>
      </c>
      <c r="B82" s="3437"/>
      <c r="C82" s="1067" t="s">
        <v>1512</v>
      </c>
      <c r="D82" s="1067" t="s">
        <v>1513</v>
      </c>
      <c r="E82" s="1138">
        <v>0.2</v>
      </c>
      <c r="F82" s="1153">
        <v>30</v>
      </c>
    </row>
    <row r="83" spans="1:6" s="1104" customFormat="1" ht="48">
      <c r="A83" s="1153">
        <v>23</v>
      </c>
      <c r="B83" s="3437"/>
      <c r="C83" s="1067" t="s">
        <v>1514</v>
      </c>
      <c r="D83" s="1067" t="s">
        <v>1515</v>
      </c>
      <c r="E83" s="1138">
        <v>0.2</v>
      </c>
      <c r="F83" s="1153">
        <v>30</v>
      </c>
    </row>
    <row r="84" spans="1:6" s="1104" customFormat="1" ht="36">
      <c r="A84" s="1153">
        <v>24</v>
      </c>
      <c r="B84" s="3437"/>
      <c r="C84" s="1067" t="s">
        <v>1516</v>
      </c>
      <c r="D84" s="1067" t="s">
        <v>1517</v>
      </c>
      <c r="E84" s="1138">
        <v>0.2</v>
      </c>
      <c r="F84" s="1153">
        <v>30</v>
      </c>
    </row>
    <row r="85" spans="1:6" s="1104" customFormat="1" ht="36">
      <c r="A85" s="1153">
        <v>25</v>
      </c>
      <c r="B85" s="3437"/>
      <c r="C85" s="1067" t="s">
        <v>1518</v>
      </c>
      <c r="D85" s="1067" t="s">
        <v>1519</v>
      </c>
      <c r="E85" s="1138">
        <v>0.5</v>
      </c>
      <c r="F85" s="1153">
        <v>80</v>
      </c>
    </row>
    <row r="86" spans="1:6" s="1104" customFormat="1" ht="36">
      <c r="A86" s="1153">
        <v>26</v>
      </c>
      <c r="B86" s="3437"/>
      <c r="C86" s="1067" t="s">
        <v>1520</v>
      </c>
      <c r="D86" s="1067" t="s">
        <v>1521</v>
      </c>
      <c r="E86" s="1138">
        <v>0.2</v>
      </c>
      <c r="F86" s="1153">
        <v>30</v>
      </c>
    </row>
    <row r="87" spans="1:6" s="1104" customFormat="1" ht="36">
      <c r="A87" s="1153">
        <v>27</v>
      </c>
      <c r="B87" s="3437"/>
      <c r="C87" s="1067" t="s">
        <v>1522</v>
      </c>
      <c r="D87" s="1067" t="s">
        <v>1523</v>
      </c>
      <c r="E87" s="1138">
        <v>0.2</v>
      </c>
      <c r="F87" s="1153">
        <v>30</v>
      </c>
    </row>
    <row r="88" spans="1:6" s="1104" customFormat="1" ht="36">
      <c r="A88" s="1153">
        <v>28</v>
      </c>
      <c r="B88" s="3437"/>
      <c r="C88" s="1067" t="s">
        <v>1524</v>
      </c>
      <c r="D88" s="1067" t="s">
        <v>1525</v>
      </c>
      <c r="E88" s="1138">
        <v>0.2</v>
      </c>
      <c r="F88" s="1153">
        <v>30</v>
      </c>
    </row>
    <row r="89" spans="1:6" s="1104" customFormat="1" ht="24">
      <c r="A89" s="1153">
        <v>29</v>
      </c>
      <c r="B89" s="3437"/>
      <c r="C89" s="1067" t="s">
        <v>1526</v>
      </c>
      <c r="D89" s="1067" t="s">
        <v>1527</v>
      </c>
      <c r="E89" s="1138">
        <v>0.2</v>
      </c>
      <c r="F89" s="1153">
        <v>30</v>
      </c>
    </row>
    <row r="90" spans="1:6" s="1104" customFormat="1" ht="24">
      <c r="A90" s="1153">
        <v>30</v>
      </c>
      <c r="B90" s="3437"/>
      <c r="C90" s="1067" t="s">
        <v>1528</v>
      </c>
      <c r="D90" s="1067" t="s">
        <v>1529</v>
      </c>
      <c r="E90" s="1138">
        <v>0.2</v>
      </c>
      <c r="F90" s="1153">
        <v>30</v>
      </c>
    </row>
    <row r="91" spans="1:6" s="1104" customFormat="1" ht="36">
      <c r="A91" s="1153">
        <v>31</v>
      </c>
      <c r="B91" s="3437"/>
      <c r="C91" s="1067" t="s">
        <v>1530</v>
      </c>
      <c r="D91" s="1067" t="s">
        <v>1531</v>
      </c>
      <c r="E91" s="1138">
        <v>0.2</v>
      </c>
      <c r="F91" s="1153">
        <v>30</v>
      </c>
    </row>
    <row r="92" spans="1:6" s="1104" customFormat="1" ht="24">
      <c r="A92" s="1153">
        <v>32</v>
      </c>
      <c r="B92" s="3437" t="s">
        <v>1532</v>
      </c>
      <c r="C92" s="1153" t="s">
        <v>1533</v>
      </c>
      <c r="D92" s="1067" t="s">
        <v>1534</v>
      </c>
      <c r="E92" s="1138">
        <v>0.2</v>
      </c>
      <c r="F92" s="1153">
        <v>30</v>
      </c>
    </row>
    <row r="93" spans="1:6" s="1104" customFormat="1" ht="36">
      <c r="A93" s="1153">
        <v>33</v>
      </c>
      <c r="B93" s="3437"/>
      <c r="C93" s="1153" t="s">
        <v>1535</v>
      </c>
      <c r="D93" s="1067" t="s">
        <v>1536</v>
      </c>
      <c r="E93" s="1138">
        <v>0.2</v>
      </c>
      <c r="F93" s="1153">
        <v>30</v>
      </c>
    </row>
    <row r="94" spans="1:6" s="1104" customFormat="1" ht="48">
      <c r="A94" s="1153">
        <v>34</v>
      </c>
      <c r="B94" s="3437"/>
      <c r="C94" s="1153" t="s">
        <v>1537</v>
      </c>
      <c r="D94" s="1067" t="s">
        <v>1538</v>
      </c>
      <c r="E94" s="1138">
        <v>0.2</v>
      </c>
      <c r="F94" s="1153">
        <v>30</v>
      </c>
    </row>
    <row r="95" spans="1:6" s="1104" customFormat="1" ht="36">
      <c r="A95" s="1153">
        <v>35</v>
      </c>
      <c r="B95" s="3437"/>
      <c r="C95" s="1153" t="s">
        <v>1539</v>
      </c>
      <c r="D95" s="1067" t="s">
        <v>1540</v>
      </c>
      <c r="E95" s="1138">
        <v>0.2</v>
      </c>
      <c r="F95" s="1153">
        <v>30</v>
      </c>
    </row>
    <row r="96" spans="1:6" s="1104" customFormat="1" ht="48">
      <c r="A96" s="1153">
        <v>36</v>
      </c>
      <c r="B96" s="3437"/>
      <c r="C96" s="1067" t="s">
        <v>1541</v>
      </c>
      <c r="D96" s="1067" t="s">
        <v>1542</v>
      </c>
      <c r="E96" s="1138">
        <v>0.2</v>
      </c>
      <c r="F96" s="1153">
        <v>30</v>
      </c>
    </row>
    <row r="97" spans="1:6" s="1104" customFormat="1" ht="36">
      <c r="A97" s="1153">
        <v>37</v>
      </c>
      <c r="B97" s="3437"/>
      <c r="C97" s="1153" t="s">
        <v>1543</v>
      </c>
      <c r="D97" s="1067" t="s">
        <v>1544</v>
      </c>
      <c r="E97" s="1138">
        <v>0.2</v>
      </c>
      <c r="F97" s="1153">
        <v>30</v>
      </c>
    </row>
    <row r="98" spans="1:6" s="1104" customFormat="1" ht="36">
      <c r="A98" s="1153">
        <v>38</v>
      </c>
      <c r="B98" s="3437"/>
      <c r="C98" s="1153" t="s">
        <v>1545</v>
      </c>
      <c r="D98" s="1067" t="s">
        <v>1546</v>
      </c>
      <c r="E98" s="1138">
        <v>0.2</v>
      </c>
      <c r="F98" s="1153">
        <v>30</v>
      </c>
    </row>
    <row r="99" spans="1:6" s="1104" customFormat="1" ht="36">
      <c r="A99" s="1153">
        <v>39</v>
      </c>
      <c r="B99" s="3437" t="s">
        <v>1547</v>
      </c>
      <c r="C99" s="1153" t="s">
        <v>1548</v>
      </c>
      <c r="D99" s="1067" t="s">
        <v>1549</v>
      </c>
      <c r="E99" s="1138">
        <v>0.3</v>
      </c>
      <c r="F99" s="1153">
        <v>50</v>
      </c>
    </row>
    <row r="100" spans="1:6" s="1104" customFormat="1" ht="24">
      <c r="A100" s="1153">
        <v>40</v>
      </c>
      <c r="B100" s="3437"/>
      <c r="C100" s="1153" t="s">
        <v>1550</v>
      </c>
      <c r="D100" s="1067" t="s">
        <v>1551</v>
      </c>
      <c r="E100" s="1138">
        <v>0.2</v>
      </c>
      <c r="F100" s="1153">
        <v>30</v>
      </c>
    </row>
    <row r="101" spans="1:6" s="1104" customFormat="1" ht="36">
      <c r="A101" s="1153">
        <v>41</v>
      </c>
      <c r="B101" s="3437"/>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37" t="s">
        <v>1562</v>
      </c>
      <c r="C105" s="1153" t="s">
        <v>1563</v>
      </c>
      <c r="D105" s="1067" t="s">
        <v>1564</v>
      </c>
      <c r="E105" s="1138">
        <v>0.2</v>
      </c>
      <c r="F105" s="1153">
        <v>30</v>
      </c>
    </row>
    <row r="106" spans="1:6" s="1104" customFormat="1" ht="36">
      <c r="A106" s="1153">
        <v>46</v>
      </c>
      <c r="B106" s="3437"/>
      <c r="C106" s="1153" t="s">
        <v>1565</v>
      </c>
      <c r="D106" s="1067" t="s">
        <v>1566</v>
      </c>
      <c r="E106" s="1138">
        <v>0.2</v>
      </c>
      <c r="F106" s="1153">
        <v>30</v>
      </c>
    </row>
    <row r="107" spans="1:6" s="1104" customFormat="1" ht="36">
      <c r="A107" s="1153">
        <v>47</v>
      </c>
      <c r="B107" s="3437" t="s">
        <v>1567</v>
      </c>
      <c r="C107" s="1153" t="s">
        <v>1568</v>
      </c>
      <c r="D107" s="1067" t="s">
        <v>1569</v>
      </c>
      <c r="E107" s="1138">
        <v>0.3</v>
      </c>
      <c r="F107" s="1153">
        <v>50</v>
      </c>
    </row>
    <row r="108" spans="1:6" s="1104" customFormat="1" ht="36">
      <c r="A108" s="1153">
        <v>48</v>
      </c>
      <c r="B108" s="3437"/>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37" t="s">
        <v>1578</v>
      </c>
      <c r="C111" s="1153" t="s">
        <v>1579</v>
      </c>
      <c r="D111" s="1067" t="s">
        <v>1580</v>
      </c>
      <c r="E111" s="1138">
        <v>0.2</v>
      </c>
      <c r="F111" s="1153">
        <v>30</v>
      </c>
    </row>
    <row r="112" spans="1:6" s="1104" customFormat="1" ht="24">
      <c r="A112" s="1153">
        <v>52</v>
      </c>
      <c r="B112" s="3437"/>
      <c r="C112" s="1153" t="s">
        <v>1581</v>
      </c>
      <c r="D112" s="1067" t="s">
        <v>1582</v>
      </c>
      <c r="E112" s="1138">
        <v>0.2</v>
      </c>
      <c r="F112" s="1153">
        <v>30</v>
      </c>
    </row>
    <row r="113" spans="1:14" s="1104" customFormat="1" ht="24">
      <c r="A113" s="1153">
        <v>53</v>
      </c>
      <c r="B113" s="3437"/>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37" t="s">
        <v>1591</v>
      </c>
      <c r="C116" s="1153" t="s">
        <v>1592</v>
      </c>
      <c r="D116" s="1067" t="s">
        <v>1593</v>
      </c>
      <c r="E116" s="1138">
        <v>0.2</v>
      </c>
      <c r="F116" s="1153">
        <v>30</v>
      </c>
    </row>
    <row r="117" spans="1:14" ht="36">
      <c r="A117" s="1153">
        <v>57</v>
      </c>
      <c r="B117" s="3437"/>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36" t="s">
        <v>1600</v>
      </c>
      <c r="B121" s="3436"/>
      <c r="C121" s="3436"/>
      <c r="D121" s="3436"/>
      <c r="E121" s="3436"/>
      <c r="F121" s="3436"/>
      <c r="G121" s="3436"/>
      <c r="H121" s="3436"/>
      <c r="I121" s="3436"/>
      <c r="J121" s="343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1" t="s">
        <v>1006</v>
      </c>
      <c r="B1" s="3441"/>
      <c r="C1" s="3441"/>
      <c r="D1" s="3441"/>
      <c r="E1" s="3441"/>
      <c r="F1" s="3441"/>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42" t="s">
        <v>1019</v>
      </c>
      <c r="B2" s="3442"/>
      <c r="C2" s="3442"/>
      <c r="D2" s="3442"/>
      <c r="E2" s="3442"/>
      <c r="F2" s="3442"/>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43"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44"/>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2385</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2386</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5" t="s">
        <v>2042</v>
      </c>
      <c r="B1" s="3445"/>
    </row>
    <row r="2" spans="1:6" ht="14.25" thickBot="1">
      <c r="A2" s="1851"/>
      <c r="B2" s="1851"/>
    </row>
    <row r="3" spans="1:6" ht="14.25" thickBot="1">
      <c r="A3" s="1851"/>
      <c r="B3" s="1851"/>
      <c r="C3" s="1852" t="s">
        <v>2043</v>
      </c>
      <c r="D3" s="1852" t="s">
        <v>2044</v>
      </c>
      <c r="E3" s="1852" t="s">
        <v>2045</v>
      </c>
      <c r="F3" s="1852" t="s">
        <v>2046</v>
      </c>
    </row>
    <row r="4" spans="1:6" ht="14.25" thickBot="1">
      <c r="A4" s="1853" t="s">
        <v>2047</v>
      </c>
      <c r="B4" s="1854" t="s">
        <v>2048</v>
      </c>
      <c r="C4" s="1852"/>
      <c r="D4" s="1852"/>
      <c r="E4" s="1852"/>
      <c r="F4" s="1852"/>
    </row>
    <row r="5" spans="1:6" ht="14.25" thickBot="1">
      <c r="A5" s="1855" t="s">
        <v>2049</v>
      </c>
      <c r="B5" s="1856" t="s">
        <v>2050</v>
      </c>
      <c r="C5" s="1857">
        <v>8.8999999999999996E-2</v>
      </c>
      <c r="D5" s="1857">
        <v>7.3999999999999996E-2</v>
      </c>
      <c r="E5" s="1857">
        <v>7.4999999999999997E-2</v>
      </c>
      <c r="F5" s="1858">
        <v>0.1</v>
      </c>
    </row>
    <row r="6" spans="1:6" ht="14.25" thickBot="1">
      <c r="A6" s="1855" t="s">
        <v>1063</v>
      </c>
      <c r="B6" s="1859" t="s">
        <v>2051</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2052</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2053</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2054</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2055</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2056</v>
      </c>
      <c r="C72" s="1869"/>
      <c r="D72" s="1869"/>
      <c r="E72" s="1869"/>
      <c r="F72" s="1861">
        <v>0.05</v>
      </c>
    </row>
    <row r="73" spans="1:6" ht="14.25" thickBot="1">
      <c r="A73" s="1855" t="s">
        <v>891</v>
      </c>
      <c r="B73" s="1859" t="s">
        <v>2057</v>
      </c>
      <c r="C73" s="1869"/>
      <c r="D73" s="1869"/>
      <c r="E73" s="1869"/>
      <c r="F73" s="1861">
        <v>0.05</v>
      </c>
    </row>
    <row r="74" spans="1:6" ht="14.25" thickBot="1">
      <c r="A74" s="1855" t="s">
        <v>891</v>
      </c>
      <c r="B74" s="1859" t="s">
        <v>2058</v>
      </c>
      <c r="C74" s="1869"/>
      <c r="D74" s="1869"/>
      <c r="E74" s="1869"/>
      <c r="F74" s="1861">
        <v>0.05</v>
      </c>
    </row>
    <row r="75" spans="1:6" ht="14.25" thickBot="1">
      <c r="A75" s="1863" t="s">
        <v>891</v>
      </c>
      <c r="B75" s="1870" t="s">
        <v>2059</v>
      </c>
      <c r="C75" s="1866"/>
      <c r="D75" s="1866"/>
      <c r="E75" s="1866"/>
      <c r="F75" s="1871">
        <v>0.05</v>
      </c>
    </row>
    <row r="76" spans="1:6" ht="14.25" thickBot="1">
      <c r="A76" s="1855" t="s">
        <v>1374</v>
      </c>
      <c r="B76" s="1856" t="s">
        <v>2060</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2061</v>
      </c>
      <c r="C102" s="1869"/>
      <c r="D102" s="1869"/>
      <c r="E102" s="1869"/>
      <c r="F102" s="1861">
        <v>0.05</v>
      </c>
    </row>
    <row r="103" spans="1:6" ht="24.75" thickBot="1">
      <c r="A103" s="1855" t="s">
        <v>1374</v>
      </c>
      <c r="B103" s="1859" t="s">
        <v>2062</v>
      </c>
      <c r="C103" s="1869"/>
      <c r="D103" s="1869"/>
      <c r="E103" s="1869"/>
      <c r="F103" s="1861">
        <v>0.05</v>
      </c>
    </row>
    <row r="104" spans="1:6" ht="14.25" thickBot="1">
      <c r="A104" s="1855" t="s">
        <v>1374</v>
      </c>
      <c r="B104" s="1859" t="s">
        <v>2063</v>
      </c>
      <c r="C104" s="1869"/>
      <c r="D104" s="1869"/>
      <c r="E104" s="1869"/>
      <c r="F104" s="1861">
        <v>0.05</v>
      </c>
    </row>
    <row r="105" spans="1:6" ht="14.25" thickBot="1">
      <c r="A105" s="1855" t="s">
        <v>1374</v>
      </c>
      <c r="B105" s="1859" t="s">
        <v>2064</v>
      </c>
      <c r="C105" s="1869"/>
      <c r="D105" s="1869"/>
      <c r="E105" s="1869"/>
      <c r="F105" s="1861">
        <v>0.05</v>
      </c>
    </row>
    <row r="106" spans="1:6" ht="14.25" thickBot="1">
      <c r="A106" s="1855" t="s">
        <v>1374</v>
      </c>
      <c r="B106" s="1859" t="s">
        <v>2065</v>
      </c>
      <c r="C106" s="1869"/>
      <c r="D106" s="1869"/>
      <c r="E106" s="1869"/>
      <c r="F106" s="1861">
        <v>0.05</v>
      </c>
    </row>
    <row r="107" spans="1:6" ht="24.75" thickBot="1">
      <c r="A107" s="1855" t="s">
        <v>1374</v>
      </c>
      <c r="B107" s="1859" t="s">
        <v>2066</v>
      </c>
      <c r="C107" s="1869"/>
      <c r="D107" s="1869"/>
      <c r="E107" s="1869"/>
      <c r="F107" s="1861">
        <v>0.05</v>
      </c>
    </row>
    <row r="108" spans="1:6" ht="24.75" thickBot="1">
      <c r="A108" s="1855" t="s">
        <v>1374</v>
      </c>
      <c r="B108" s="1859" t="s">
        <v>2067</v>
      </c>
      <c r="C108" s="1869"/>
      <c r="D108" s="1869"/>
      <c r="E108" s="1869"/>
      <c r="F108" s="1861">
        <v>0.05</v>
      </c>
    </row>
    <row r="109" spans="1:6" ht="24.75" thickBot="1">
      <c r="A109" s="1863" t="s">
        <v>1374</v>
      </c>
      <c r="B109" s="1870" t="s">
        <v>2068</v>
      </c>
      <c r="C109" s="1866"/>
      <c r="D109" s="1866"/>
      <c r="E109" s="1866"/>
      <c r="F109" s="1871">
        <v>0.05</v>
      </c>
    </row>
    <row r="110" spans="1:6" ht="14.25" thickBot="1">
      <c r="A110" s="1855" t="s">
        <v>1376</v>
      </c>
      <c r="B110" s="1856" t="s">
        <v>2069</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2070</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2071</v>
      </c>
      <c r="C138" s="1860">
        <v>0.105</v>
      </c>
      <c r="D138" s="1860">
        <v>0.125</v>
      </c>
      <c r="E138" s="1860">
        <v>0.112</v>
      </c>
      <c r="F138" s="1868"/>
    </row>
    <row r="139" spans="1:6" ht="14.25" thickBot="1">
      <c r="A139" s="1855" t="s">
        <v>1376</v>
      </c>
      <c r="B139" s="1859" t="s">
        <v>2072</v>
      </c>
      <c r="C139" s="1860">
        <v>0.127</v>
      </c>
      <c r="D139" s="1860">
        <v>0.127</v>
      </c>
      <c r="E139" s="1860">
        <v>0.122</v>
      </c>
      <c r="F139" s="1861">
        <v>0.13</v>
      </c>
    </row>
    <row r="140" spans="1:6" ht="14.25" thickBot="1">
      <c r="A140" s="1855" t="s">
        <v>1376</v>
      </c>
      <c r="B140" s="1859" t="s">
        <v>2073</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2074</v>
      </c>
      <c r="C144" s="1873">
        <v>0.126</v>
      </c>
      <c r="D144" s="1873">
        <v>0.126</v>
      </c>
      <c r="E144" s="1873">
        <v>0.121</v>
      </c>
      <c r="F144" s="1868"/>
    </row>
    <row r="145" spans="1:6" ht="14.25" thickBot="1">
      <c r="A145" s="1863" t="s">
        <v>1376</v>
      </c>
      <c r="B145" s="1874" t="s">
        <v>2075</v>
      </c>
      <c r="C145" s="1875"/>
      <c r="D145" s="1875"/>
      <c r="E145" s="1875"/>
      <c r="F145" s="1876">
        <v>0.05</v>
      </c>
    </row>
    <row r="146" spans="1:6" ht="24.75" thickBot="1">
      <c r="A146" s="1877" t="s">
        <v>1376</v>
      </c>
      <c r="B146" s="1862" t="s">
        <v>2076</v>
      </c>
      <c r="C146" s="1869"/>
      <c r="D146" s="1869"/>
      <c r="E146" s="1869"/>
      <c r="F146" s="1878">
        <v>0.05</v>
      </c>
    </row>
    <row r="147" spans="1:6" ht="24.75" thickBot="1">
      <c r="A147" s="1855" t="s">
        <v>1376</v>
      </c>
      <c r="B147" s="1859" t="s">
        <v>2077</v>
      </c>
      <c r="C147" s="1869"/>
      <c r="D147" s="1869"/>
      <c r="E147" s="1869"/>
      <c r="F147" s="1861">
        <v>0.05</v>
      </c>
    </row>
    <row r="148" spans="1:6" ht="24.75" thickBot="1">
      <c r="A148" s="1855" t="s">
        <v>1376</v>
      </c>
      <c r="B148" s="1859" t="s">
        <v>2078</v>
      </c>
      <c r="C148" s="1869"/>
      <c r="D148" s="1869"/>
      <c r="E148" s="1869"/>
      <c r="F148" s="1861">
        <v>0.05</v>
      </c>
    </row>
    <row r="149" spans="1:6" ht="24.75" thickBot="1">
      <c r="A149" s="1855" t="s">
        <v>1376</v>
      </c>
      <c r="B149" s="1859" t="s">
        <v>2079</v>
      </c>
      <c r="C149" s="1869"/>
      <c r="D149" s="1869"/>
      <c r="E149" s="1869"/>
      <c r="F149" s="1861">
        <v>0.05</v>
      </c>
    </row>
    <row r="150" spans="1:6" ht="24.75" thickBot="1">
      <c r="A150" s="1855" t="s">
        <v>1376</v>
      </c>
      <c r="B150" s="1859" t="s">
        <v>2080</v>
      </c>
      <c r="C150" s="1869"/>
      <c r="D150" s="1869"/>
      <c r="E150" s="1869"/>
      <c r="F150" s="1861">
        <v>0.05</v>
      </c>
    </row>
    <row r="151" spans="1:6" ht="24.75" thickBot="1">
      <c r="A151" s="1855" t="s">
        <v>1376</v>
      </c>
      <c r="B151" s="1859" t="s">
        <v>2081</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2082</v>
      </c>
      <c r="C153" s="1869"/>
      <c r="D153" s="1869"/>
      <c r="E153" s="1869"/>
      <c r="F153" s="1861">
        <v>0.05</v>
      </c>
    </row>
    <row r="154" spans="1:6" ht="14.25" thickBot="1">
      <c r="A154" s="1855" t="s">
        <v>1376</v>
      </c>
      <c r="B154" s="1859" t="s">
        <v>2083</v>
      </c>
      <c r="C154" s="1869"/>
      <c r="D154" s="1869"/>
      <c r="E154" s="1869"/>
      <c r="F154" s="1861">
        <v>0.05</v>
      </c>
    </row>
    <row r="155" spans="1:6" ht="24.75" thickBot="1">
      <c r="A155" s="1855" t="s">
        <v>1376</v>
      </c>
      <c r="B155" s="1859" t="s">
        <v>2084</v>
      </c>
      <c r="C155" s="1869"/>
      <c r="D155" s="1869"/>
      <c r="E155" s="1869"/>
      <c r="F155" s="1861">
        <v>0.05</v>
      </c>
    </row>
    <row r="156" spans="1:6" ht="24.75" thickBot="1">
      <c r="A156" s="1855" t="s">
        <v>1376</v>
      </c>
      <c r="B156" s="1859" t="s">
        <v>2085</v>
      </c>
      <c r="C156" s="1869"/>
      <c r="D156" s="1869"/>
      <c r="E156" s="1869"/>
      <c r="F156" s="1861">
        <v>0.05</v>
      </c>
    </row>
    <row r="157" spans="1:6" ht="14.25" thickBot="1">
      <c r="A157" s="1863" t="s">
        <v>1376</v>
      </c>
      <c r="B157" s="1870" t="s">
        <v>2086</v>
      </c>
      <c r="C157" s="1866"/>
      <c r="D157" s="1866"/>
      <c r="E157" s="1866"/>
      <c r="F157" s="1871">
        <v>0.05</v>
      </c>
    </row>
    <row r="158" spans="1:6" ht="14.25" thickBot="1">
      <c r="A158" s="1855" t="s">
        <v>1378</v>
      </c>
      <c r="B158" s="1856" t="s">
        <v>2087</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2088</v>
      </c>
      <c r="C171" s="1860">
        <v>0.127</v>
      </c>
      <c r="D171" s="1860">
        <v>0.126</v>
      </c>
      <c r="E171" s="1860">
        <v>0.126</v>
      </c>
      <c r="F171" s="1861">
        <v>0.11799999999999999</v>
      </c>
    </row>
    <row r="172" spans="1:6" ht="14.25" thickBot="1">
      <c r="A172" s="1855" t="s">
        <v>1378</v>
      </c>
      <c r="B172" s="1859" t="s">
        <v>2089</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2090</v>
      </c>
      <c r="C174" s="1860">
        <v>0.13</v>
      </c>
      <c r="D174" s="1860">
        <v>0.13</v>
      </c>
      <c r="E174" s="1860">
        <v>0.13</v>
      </c>
      <c r="F174" s="1861">
        <v>0.13</v>
      </c>
    </row>
    <row r="175" spans="1:6" ht="14.25" thickBot="1">
      <c r="A175" s="1855" t="s">
        <v>1378</v>
      </c>
      <c r="B175" s="1859" t="s">
        <v>2091</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2092</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2093</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2094</v>
      </c>
      <c r="C185" s="1860">
        <v>0.127</v>
      </c>
      <c r="D185" s="1860">
        <v>0.127</v>
      </c>
      <c r="E185" s="1860">
        <v>0.128</v>
      </c>
      <c r="F185" s="1861">
        <v>0.13</v>
      </c>
    </row>
    <row r="186" spans="1:6" ht="24.75" thickBot="1">
      <c r="A186" s="1855" t="s">
        <v>1378</v>
      </c>
      <c r="B186" s="1859" t="s">
        <v>2095</v>
      </c>
      <c r="C186" s="1869"/>
      <c r="D186" s="1869"/>
      <c r="E186" s="1869"/>
      <c r="F186" s="1861">
        <v>0.05</v>
      </c>
    </row>
    <row r="187" spans="1:6" ht="14.25" thickBot="1">
      <c r="A187" s="1855" t="s">
        <v>1378</v>
      </c>
      <c r="B187" s="1859" t="s">
        <v>2096</v>
      </c>
      <c r="C187" s="1869"/>
      <c r="D187" s="1869"/>
      <c r="E187" s="1869"/>
      <c r="F187" s="1861">
        <v>0.05</v>
      </c>
    </row>
    <row r="188" spans="1:6" ht="14.25" thickBot="1">
      <c r="A188" s="1855" t="s">
        <v>1378</v>
      </c>
      <c r="B188" s="1859" t="s">
        <v>2097</v>
      </c>
      <c r="C188" s="1869"/>
      <c r="D188" s="1869"/>
      <c r="E188" s="1869"/>
      <c r="F188" s="1861">
        <v>0.05</v>
      </c>
    </row>
    <row r="189" spans="1:6" ht="24.75" thickBot="1">
      <c r="A189" s="1855" t="s">
        <v>1378</v>
      </c>
      <c r="B189" s="1859" t="s">
        <v>2098</v>
      </c>
      <c r="C189" s="1869"/>
      <c r="D189" s="1869"/>
      <c r="E189" s="1869"/>
      <c r="F189" s="1861">
        <v>0.05</v>
      </c>
    </row>
    <row r="190" spans="1:6" ht="24.75" thickBot="1">
      <c r="A190" s="1855" t="s">
        <v>1378</v>
      </c>
      <c r="B190" s="1859" t="s">
        <v>2099</v>
      </c>
      <c r="C190" s="1869"/>
      <c r="D190" s="1869"/>
      <c r="E190" s="1869"/>
      <c r="F190" s="1861">
        <v>0.05</v>
      </c>
    </row>
    <row r="191" spans="1:6" ht="24.75" thickBot="1">
      <c r="A191" s="1855" t="s">
        <v>1378</v>
      </c>
      <c r="B191" s="1859" t="s">
        <v>2100</v>
      </c>
      <c r="C191" s="1869"/>
      <c r="D191" s="1869"/>
      <c r="E191" s="1869"/>
      <c r="F191" s="1861">
        <v>0.05</v>
      </c>
    </row>
    <row r="192" spans="1:6" ht="24.75" thickBot="1">
      <c r="A192" s="1855" t="s">
        <v>1378</v>
      </c>
      <c r="B192" s="1859" t="s">
        <v>2101</v>
      </c>
      <c r="C192" s="1869"/>
      <c r="D192" s="1869"/>
      <c r="E192" s="1869"/>
      <c r="F192" s="1861">
        <v>0.05</v>
      </c>
    </row>
    <row r="193" spans="1:6" ht="24.75" thickBot="1">
      <c r="A193" s="1855" t="s">
        <v>1378</v>
      </c>
      <c r="B193" s="1859" t="s">
        <v>2102</v>
      </c>
      <c r="C193" s="1869"/>
      <c r="D193" s="1869"/>
      <c r="E193" s="1869"/>
      <c r="F193" s="1861">
        <v>0.05</v>
      </c>
    </row>
    <row r="194" spans="1:6" ht="24.75" thickBot="1">
      <c r="A194" s="1855" t="s">
        <v>1378</v>
      </c>
      <c r="B194" s="1859" t="s">
        <v>2103</v>
      </c>
      <c r="C194" s="1869"/>
      <c r="D194" s="1869"/>
      <c r="E194" s="1869"/>
      <c r="F194" s="1861">
        <v>0.05</v>
      </c>
    </row>
    <row r="195" spans="1:6" ht="14.25" thickBot="1">
      <c r="A195" s="1855" t="s">
        <v>1378</v>
      </c>
      <c r="B195" s="1859" t="s">
        <v>2104</v>
      </c>
      <c r="C195" s="1869"/>
      <c r="D195" s="1869"/>
      <c r="E195" s="1869"/>
      <c r="F195" s="1861">
        <v>0.05</v>
      </c>
    </row>
    <row r="196" spans="1:6" ht="24.75" thickBot="1">
      <c r="A196" s="1855" t="s">
        <v>1378</v>
      </c>
      <c r="B196" s="1859" t="s">
        <v>2105</v>
      </c>
      <c r="C196" s="1869"/>
      <c r="D196" s="1869"/>
      <c r="E196" s="1869"/>
      <c r="F196" s="1861">
        <v>0.05</v>
      </c>
    </row>
    <row r="197" spans="1:6" ht="24.75" thickBot="1">
      <c r="A197" s="1855" t="s">
        <v>1378</v>
      </c>
      <c r="B197" s="1859" t="s">
        <v>2106</v>
      </c>
      <c r="C197" s="1869"/>
      <c r="D197" s="1869"/>
      <c r="E197" s="1869"/>
      <c r="F197" s="1861">
        <v>0.05</v>
      </c>
    </row>
    <row r="198" spans="1:6" ht="24.75" thickBot="1">
      <c r="A198" s="1855" t="s">
        <v>1378</v>
      </c>
      <c r="B198" s="1859" t="s">
        <v>2107</v>
      </c>
      <c r="C198" s="1869"/>
      <c r="D198" s="1869"/>
      <c r="E198" s="1869"/>
      <c r="F198" s="1861">
        <v>0.05</v>
      </c>
    </row>
    <row r="199" spans="1:6" ht="24.75" thickBot="1">
      <c r="A199" s="1855" t="s">
        <v>1378</v>
      </c>
      <c r="B199" s="1859" t="s">
        <v>2108</v>
      </c>
      <c r="C199" s="1869"/>
      <c r="D199" s="1869"/>
      <c r="E199" s="1869"/>
      <c r="F199" s="1861">
        <v>0.05</v>
      </c>
    </row>
    <row r="200" spans="1:6" ht="24.75" thickBot="1">
      <c r="A200" s="1855" t="s">
        <v>1378</v>
      </c>
      <c r="B200" s="1859" t="s">
        <v>2109</v>
      </c>
      <c r="C200" s="1869"/>
      <c r="D200" s="1869"/>
      <c r="E200" s="1869"/>
      <c r="F200" s="1861">
        <v>0.05</v>
      </c>
    </row>
    <row r="201" spans="1:6" ht="24.75" thickBot="1">
      <c r="A201" s="1855" t="s">
        <v>1378</v>
      </c>
      <c r="B201" s="1859" t="s">
        <v>2110</v>
      </c>
      <c r="C201" s="1869"/>
      <c r="D201" s="1869"/>
      <c r="E201" s="1869"/>
      <c r="F201" s="1861">
        <v>0.05</v>
      </c>
    </row>
    <row r="202" spans="1:6" ht="24.75" thickBot="1">
      <c r="A202" s="1855" t="s">
        <v>1378</v>
      </c>
      <c r="B202" s="1859" t="s">
        <v>2111</v>
      </c>
      <c r="C202" s="1869"/>
      <c r="D202" s="1869"/>
      <c r="E202" s="1869"/>
      <c r="F202" s="1861">
        <v>0.05</v>
      </c>
    </row>
    <row r="203" spans="1:6" ht="24.75" thickBot="1">
      <c r="A203" s="1855" t="s">
        <v>1378</v>
      </c>
      <c r="B203" s="1859" t="s">
        <v>2112</v>
      </c>
      <c r="C203" s="1869"/>
      <c r="D203" s="1869"/>
      <c r="E203" s="1869"/>
      <c r="F203" s="1861">
        <v>0.05</v>
      </c>
    </row>
    <row r="204" spans="1:6" ht="14.25" thickBot="1">
      <c r="A204" s="1855" t="s">
        <v>1378</v>
      </c>
      <c r="B204" s="1859" t="s">
        <v>2113</v>
      </c>
      <c r="C204" s="1869"/>
      <c r="D204" s="1869"/>
      <c r="E204" s="1869"/>
      <c r="F204" s="1861">
        <v>0.05</v>
      </c>
    </row>
    <row r="205" spans="1:6" ht="14.25" thickBot="1">
      <c r="A205" s="1863" t="s">
        <v>1378</v>
      </c>
      <c r="B205" s="1870" t="s">
        <v>2114</v>
      </c>
      <c r="C205" s="1866"/>
      <c r="D205" s="1866"/>
      <c r="E205" s="1866"/>
      <c r="F205" s="1871">
        <v>0.05</v>
      </c>
    </row>
    <row r="206" spans="1:6" ht="14.25" thickBot="1">
      <c r="A206" s="1855" t="s">
        <v>1380</v>
      </c>
      <c r="B206" s="1856" t="s">
        <v>2115</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2116</v>
      </c>
      <c r="C210" s="1860">
        <v>0.15</v>
      </c>
      <c r="D210" s="1860">
        <v>0.15</v>
      </c>
      <c r="E210" s="1860">
        <v>0.15</v>
      </c>
      <c r="F210" s="1861">
        <v>0.13800000000000001</v>
      </c>
    </row>
    <row r="211" spans="1:6" ht="14.25" thickBot="1">
      <c r="A211" s="1855" t="s">
        <v>1380</v>
      </c>
      <c r="B211" s="1859" t="s">
        <v>2117</v>
      </c>
      <c r="C211" s="1860">
        <v>0.13700000000000001</v>
      </c>
      <c r="D211" s="1860">
        <v>0.13500000000000001</v>
      </c>
      <c r="E211" s="1860">
        <v>0.13600000000000001</v>
      </c>
      <c r="F211" s="1861">
        <v>0.1</v>
      </c>
    </row>
    <row r="212" spans="1:6" ht="14.25" thickBot="1">
      <c r="A212" s="1855" t="s">
        <v>1380</v>
      </c>
      <c r="B212" s="1859" t="s">
        <v>2118</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2119</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2120</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2121</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2122</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2123</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2124</v>
      </c>
      <c r="C231" s="1860">
        <v>0.128</v>
      </c>
      <c r="D231" s="1860">
        <v>0.125</v>
      </c>
      <c r="E231" s="1860">
        <v>0.13200000000000001</v>
      </c>
      <c r="F231" s="1868"/>
    </row>
    <row r="232" spans="1:6" ht="14.25" thickBot="1">
      <c r="A232" s="1855" t="s">
        <v>1380</v>
      </c>
      <c r="B232" s="1859" t="s">
        <v>2125</v>
      </c>
      <c r="C232" s="1860">
        <v>0.14499999999999999</v>
      </c>
      <c r="D232" s="1860">
        <v>0.14399999999999999</v>
      </c>
      <c r="E232" s="1860">
        <v>0.14599999999999999</v>
      </c>
      <c r="F232" s="1861">
        <v>0.13800000000000001</v>
      </c>
    </row>
    <row r="233" spans="1:6" ht="14.25" thickBot="1">
      <c r="A233" s="1855" t="s">
        <v>1380</v>
      </c>
      <c r="B233" s="1859" t="s">
        <v>2126</v>
      </c>
      <c r="C233" s="1860">
        <v>0.14499999999999999</v>
      </c>
      <c r="D233" s="1860">
        <v>0.14299999999999999</v>
      </c>
      <c r="E233" s="1860">
        <v>0.14199999999999999</v>
      </c>
      <c r="F233" s="1868"/>
    </row>
    <row r="234" spans="1:6" ht="14.25" thickBot="1">
      <c r="A234" s="1855" t="s">
        <v>1380</v>
      </c>
      <c r="B234" s="1859" t="s">
        <v>2127</v>
      </c>
      <c r="C234" s="1860">
        <v>0.14000000000000001</v>
      </c>
      <c r="D234" s="1860">
        <v>0.14000000000000001</v>
      </c>
      <c r="E234" s="1860">
        <v>0.14399999999999999</v>
      </c>
      <c r="F234" s="1868"/>
    </row>
    <row r="235" spans="1:6" ht="14.25" thickBot="1">
      <c r="A235" s="1855" t="s">
        <v>1380</v>
      </c>
      <c r="B235" s="1859" t="s">
        <v>2128</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2129</v>
      </c>
      <c r="C237" s="1869"/>
      <c r="D237" s="1869"/>
      <c r="E237" s="1869"/>
      <c r="F237" s="1861">
        <v>0.05</v>
      </c>
    </row>
    <row r="238" spans="1:6" ht="24.75" thickBot="1">
      <c r="A238" s="1855" t="s">
        <v>1380</v>
      </c>
      <c r="B238" s="1859" t="s">
        <v>2130</v>
      </c>
      <c r="C238" s="1869"/>
      <c r="D238" s="1869"/>
      <c r="E238" s="1869"/>
      <c r="F238" s="1861">
        <v>0.05</v>
      </c>
    </row>
    <row r="239" spans="1:6" ht="24.75" thickBot="1">
      <c r="A239" s="1855" t="s">
        <v>1380</v>
      </c>
      <c r="B239" s="1859" t="s">
        <v>2131</v>
      </c>
      <c r="C239" s="1869"/>
      <c r="D239" s="1869"/>
      <c r="E239" s="1869"/>
      <c r="F239" s="1861">
        <v>0.05</v>
      </c>
    </row>
    <row r="240" spans="1:6" ht="24.75" thickBot="1">
      <c r="A240" s="1855" t="s">
        <v>1380</v>
      </c>
      <c r="B240" s="1859" t="s">
        <v>2132</v>
      </c>
      <c r="C240" s="1869"/>
      <c r="D240" s="1869"/>
      <c r="E240" s="1869"/>
      <c r="F240" s="1861">
        <v>0.05</v>
      </c>
    </row>
    <row r="241" spans="1:6" ht="24.75" thickBot="1">
      <c r="A241" s="1855" t="s">
        <v>1380</v>
      </c>
      <c r="B241" s="1859" t="s">
        <v>2133</v>
      </c>
      <c r="C241" s="1869"/>
      <c r="D241" s="1869"/>
      <c r="E241" s="1869"/>
      <c r="F241" s="1861">
        <v>0.05</v>
      </c>
    </row>
    <row r="242" spans="1:6" ht="24.75" thickBot="1">
      <c r="A242" s="1855" t="s">
        <v>1380</v>
      </c>
      <c r="B242" s="1859" t="s">
        <v>2134</v>
      </c>
      <c r="C242" s="1869"/>
      <c r="D242" s="1869"/>
      <c r="E242" s="1869"/>
      <c r="F242" s="1861">
        <v>0.05</v>
      </c>
    </row>
    <row r="243" spans="1:6" ht="24.75" thickBot="1">
      <c r="A243" s="1855" t="s">
        <v>1380</v>
      </c>
      <c r="B243" s="1859" t="s">
        <v>2135</v>
      </c>
      <c r="C243" s="1869"/>
      <c r="D243" s="1869"/>
      <c r="E243" s="1869"/>
      <c r="F243" s="1861">
        <v>0.05</v>
      </c>
    </row>
    <row r="244" spans="1:6" ht="24.75" thickBot="1">
      <c r="A244" s="1863" t="s">
        <v>1380</v>
      </c>
      <c r="B244" s="1870" t="s">
        <v>2136</v>
      </c>
      <c r="C244" s="1866"/>
      <c r="D244" s="1866"/>
      <c r="E244" s="1866"/>
      <c r="F244" s="1871">
        <v>0.05</v>
      </c>
    </row>
    <row r="245" spans="1:6" ht="14.25" thickBot="1">
      <c r="A245" s="1855" t="s">
        <v>1382</v>
      </c>
      <c r="B245" s="1856" t="s">
        <v>2137</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2138</v>
      </c>
      <c r="C247" s="1860">
        <v>0.15</v>
      </c>
      <c r="D247" s="1860">
        <v>0.15</v>
      </c>
      <c r="E247" s="1860">
        <v>0.15</v>
      </c>
      <c r="F247" s="1861">
        <v>0.15</v>
      </c>
    </row>
    <row r="248" spans="1:6" ht="14.25" thickBot="1">
      <c r="A248" s="1855" t="s">
        <v>1382</v>
      </c>
      <c r="B248" s="1859" t="s">
        <v>2139</v>
      </c>
      <c r="C248" s="1860">
        <v>0.15</v>
      </c>
      <c r="D248" s="1860">
        <v>0.15</v>
      </c>
      <c r="E248" s="1860">
        <v>0.15</v>
      </c>
      <c r="F248" s="1861">
        <v>0.14000000000000001</v>
      </c>
    </row>
    <row r="249" spans="1:6" ht="14.25" thickBot="1">
      <c r="A249" s="1855" t="s">
        <v>1382</v>
      </c>
      <c r="B249" s="1859" t="s">
        <v>2140</v>
      </c>
      <c r="C249" s="1860">
        <v>0.15</v>
      </c>
      <c r="D249" s="1860">
        <v>0.14899999999999999</v>
      </c>
      <c r="E249" s="1860">
        <v>0.15</v>
      </c>
      <c r="F249" s="1861">
        <v>0.1</v>
      </c>
    </row>
    <row r="250" spans="1:6" ht="14.25" thickBot="1">
      <c r="A250" s="1855" t="s">
        <v>1382</v>
      </c>
      <c r="B250" s="1859" t="s">
        <v>2141</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2142</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2143</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2144</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2145</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2146</v>
      </c>
      <c r="C273" s="1860">
        <v>0.14199999999999999</v>
      </c>
      <c r="D273" s="1860">
        <v>0.14299999999999999</v>
      </c>
      <c r="E273" s="1860">
        <v>0.15</v>
      </c>
      <c r="F273" s="1861">
        <v>0.1</v>
      </c>
    </row>
    <row r="274" spans="1:6" ht="14.25" thickBot="1">
      <c r="A274" s="1855" t="s">
        <v>1382</v>
      </c>
      <c r="B274" s="1859" t="s">
        <v>2147</v>
      </c>
      <c r="C274" s="1860">
        <v>0.14799999999999999</v>
      </c>
      <c r="D274" s="1860">
        <v>0.14799999999999999</v>
      </c>
      <c r="E274" s="1860">
        <v>0.15</v>
      </c>
      <c r="F274" s="1861">
        <v>6.7000000000000004E-2</v>
      </c>
    </row>
    <row r="275" spans="1:6" ht="14.25" thickBot="1">
      <c r="A275" s="1855" t="s">
        <v>1382</v>
      </c>
      <c r="B275" s="1859" t="s">
        <v>2148</v>
      </c>
      <c r="C275" s="1860">
        <v>0.15</v>
      </c>
      <c r="D275" s="1860">
        <v>0.15</v>
      </c>
      <c r="E275" s="1860">
        <v>0.15</v>
      </c>
      <c r="F275" s="1861">
        <v>0.15</v>
      </c>
    </row>
    <row r="276" spans="1:6" ht="14.25" thickBot="1">
      <c r="A276" s="1855" t="s">
        <v>1382</v>
      </c>
      <c r="B276" s="1859" t="s">
        <v>2149</v>
      </c>
      <c r="C276" s="1860">
        <v>0.14499999999999999</v>
      </c>
      <c r="D276" s="1860">
        <v>0.14299999999999999</v>
      </c>
      <c r="E276" s="1860">
        <v>0.15</v>
      </c>
      <c r="F276" s="1861">
        <v>5.8999999999999997E-2</v>
      </c>
    </row>
    <row r="277" spans="1:6" ht="14.25" thickBot="1">
      <c r="A277" s="1855" t="s">
        <v>1382</v>
      </c>
      <c r="B277" s="1859" t="s">
        <v>2150</v>
      </c>
      <c r="C277" s="1860">
        <v>0.15</v>
      </c>
      <c r="D277" s="1860">
        <v>0.15</v>
      </c>
      <c r="E277" s="1860">
        <v>0.15</v>
      </c>
      <c r="F277" s="1861">
        <v>0.121</v>
      </c>
    </row>
    <row r="278" spans="1:6" ht="14.25" thickBot="1">
      <c r="A278" s="1855" t="s">
        <v>1382</v>
      </c>
      <c r="B278" s="1859" t="s">
        <v>2151</v>
      </c>
      <c r="C278" s="1860">
        <v>0.15</v>
      </c>
      <c r="D278" s="1860">
        <v>0.15</v>
      </c>
      <c r="E278" s="1860">
        <v>0.15</v>
      </c>
      <c r="F278" s="1861">
        <v>0.13800000000000001</v>
      </c>
    </row>
    <row r="279" spans="1:6" ht="24.75" thickBot="1">
      <c r="A279" s="1855" t="s">
        <v>1382</v>
      </c>
      <c r="B279" s="1859" t="s">
        <v>2152</v>
      </c>
      <c r="C279" s="1869"/>
      <c r="D279" s="1869"/>
      <c r="E279" s="1869"/>
      <c r="F279" s="1861">
        <v>0.05</v>
      </c>
    </row>
    <row r="280" spans="1:6" ht="24.75" thickBot="1">
      <c r="A280" s="1855" t="s">
        <v>1382</v>
      </c>
      <c r="B280" s="1859" t="s">
        <v>2153</v>
      </c>
      <c r="C280" s="1869"/>
      <c r="D280" s="1869"/>
      <c r="E280" s="1869"/>
      <c r="F280" s="1861">
        <v>0.05</v>
      </c>
    </row>
    <row r="281" spans="1:6" ht="24.75" thickBot="1">
      <c r="A281" s="1855" t="s">
        <v>1382</v>
      </c>
      <c r="B281" s="1859" t="s">
        <v>2154</v>
      </c>
      <c r="C281" s="1869"/>
      <c r="D281" s="1869"/>
      <c r="E281" s="1869"/>
      <c r="F281" s="1861">
        <v>0.05</v>
      </c>
    </row>
    <row r="282" spans="1:6" ht="24.75" thickBot="1">
      <c r="A282" s="1855" t="s">
        <v>1382</v>
      </c>
      <c r="B282" s="1859" t="s">
        <v>2155</v>
      </c>
      <c r="C282" s="1869"/>
      <c r="D282" s="1869"/>
      <c r="E282" s="1869"/>
      <c r="F282" s="1861">
        <v>0.05</v>
      </c>
    </row>
    <row r="283" spans="1:6" ht="24.75" thickBot="1">
      <c r="A283" s="1855" t="s">
        <v>1382</v>
      </c>
      <c r="B283" s="1859" t="s">
        <v>2156</v>
      </c>
      <c r="C283" s="1869"/>
      <c r="D283" s="1869"/>
      <c r="E283" s="1869"/>
      <c r="F283" s="1861">
        <v>0.05</v>
      </c>
    </row>
    <row r="284" spans="1:6" ht="24.75" thickBot="1">
      <c r="A284" s="1855" t="s">
        <v>1382</v>
      </c>
      <c r="B284" s="1859" t="s">
        <v>2157</v>
      </c>
      <c r="C284" s="1869"/>
      <c r="D284" s="1869"/>
      <c r="E284" s="1869"/>
      <c r="F284" s="1861">
        <v>0.05</v>
      </c>
    </row>
    <row r="285" spans="1:6" ht="24.75" thickBot="1">
      <c r="A285" s="1855" t="s">
        <v>1382</v>
      </c>
      <c r="B285" s="1859" t="s">
        <v>2158</v>
      </c>
      <c r="C285" s="1869"/>
      <c r="D285" s="1869"/>
      <c r="E285" s="1869"/>
      <c r="F285" s="1861">
        <v>0.05</v>
      </c>
    </row>
    <row r="286" spans="1:6" ht="24.75" thickBot="1">
      <c r="A286" s="1855" t="s">
        <v>1382</v>
      </c>
      <c r="B286" s="1859" t="s">
        <v>2159</v>
      </c>
      <c r="C286" s="1869"/>
      <c r="D286" s="1869"/>
      <c r="E286" s="1869"/>
      <c r="F286" s="1861">
        <v>0.05</v>
      </c>
    </row>
    <row r="287" spans="1:6" ht="24.75" thickBot="1">
      <c r="A287" s="1855" t="s">
        <v>1382</v>
      </c>
      <c r="B287" s="1859" t="s">
        <v>2160</v>
      </c>
      <c r="C287" s="1869"/>
      <c r="D287" s="1869"/>
      <c r="E287" s="1869"/>
      <c r="F287" s="1861">
        <v>0.05</v>
      </c>
    </row>
    <row r="288" spans="1:6" ht="24.75" thickBot="1">
      <c r="A288" s="1855" t="s">
        <v>1382</v>
      </c>
      <c r="B288" s="1859" t="s">
        <v>2161</v>
      </c>
      <c r="C288" s="1869"/>
      <c r="D288" s="1869"/>
      <c r="E288" s="1869"/>
      <c r="F288" s="1861">
        <v>0.05</v>
      </c>
    </row>
    <row r="289" spans="1:6" ht="24.75" thickBot="1">
      <c r="A289" s="1863" t="s">
        <v>1382</v>
      </c>
      <c r="B289" s="1870" t="s">
        <v>2162</v>
      </c>
      <c r="C289" s="1866"/>
      <c r="D289" s="1866"/>
      <c r="E289" s="1866"/>
      <c r="F289" s="1871">
        <v>0.05</v>
      </c>
    </row>
    <row r="290" spans="1:6" ht="14.25" thickBot="1">
      <c r="A290" s="1855" t="s">
        <v>1386</v>
      </c>
      <c r="B290" s="1856" t="s">
        <v>2163</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2164</v>
      </c>
      <c r="C292" s="1860">
        <v>0.15</v>
      </c>
      <c r="D292" s="1860">
        <v>0.15</v>
      </c>
      <c r="E292" s="1860">
        <v>0.15</v>
      </c>
      <c r="F292" s="1861">
        <v>0.14699999999999999</v>
      </c>
    </row>
    <row r="293" spans="1:6" ht="14.25" thickBot="1">
      <c r="A293" s="1855" t="s">
        <v>1386</v>
      </c>
      <c r="B293" s="1859" t="s">
        <v>2165</v>
      </c>
      <c r="C293" s="1869"/>
      <c r="D293" s="1869"/>
      <c r="E293" s="1869"/>
      <c r="F293" s="1861">
        <v>0.1</v>
      </c>
    </row>
    <row r="294" spans="1:6" ht="14.25" thickBot="1">
      <c r="A294" s="1855" t="s">
        <v>1386</v>
      </c>
      <c r="B294" s="1859" t="s">
        <v>2166</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2167</v>
      </c>
      <c r="C296" s="1860">
        <v>0.15</v>
      </c>
      <c r="D296" s="1860">
        <v>0.15</v>
      </c>
      <c r="E296" s="1860">
        <v>0.15</v>
      </c>
      <c r="F296" s="1861">
        <v>0.15</v>
      </c>
    </row>
    <row r="297" spans="1:6" ht="14.25" thickBot="1">
      <c r="A297" s="1855" t="s">
        <v>1386</v>
      </c>
      <c r="B297" s="1859" t="s">
        <v>2168</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2169</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2170</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2171</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2172</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2173</v>
      </c>
      <c r="C310" s="1860">
        <v>0.15</v>
      </c>
      <c r="D310" s="1860">
        <v>0.15</v>
      </c>
      <c r="E310" s="1860">
        <v>0.15</v>
      </c>
      <c r="F310" s="1861">
        <v>0.13700000000000001</v>
      </c>
    </row>
    <row r="311" spans="1:6" ht="14.25" thickBot="1">
      <c r="A311" s="1855" t="s">
        <v>1386</v>
      </c>
      <c r="B311" s="1859" t="s">
        <v>2174</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2175</v>
      </c>
      <c r="C313" s="1860">
        <v>0.15</v>
      </c>
      <c r="D313" s="1860">
        <v>0.15</v>
      </c>
      <c r="E313" s="1860">
        <v>0.15</v>
      </c>
      <c r="F313" s="1861">
        <v>0.15</v>
      </c>
    </row>
    <row r="314" spans="1:6" ht="24.75" thickBot="1">
      <c r="A314" s="1855" t="s">
        <v>1386</v>
      </c>
      <c r="B314" s="1859" t="s">
        <v>2176</v>
      </c>
      <c r="C314" s="1869"/>
      <c r="D314" s="1869"/>
      <c r="E314" s="1869"/>
      <c r="F314" s="1861">
        <v>0.05</v>
      </c>
    </row>
    <row r="315" spans="1:6" ht="24.75" thickBot="1">
      <c r="A315" s="1855" t="s">
        <v>1386</v>
      </c>
      <c r="B315" s="1859" t="s">
        <v>2177</v>
      </c>
      <c r="C315" s="1869"/>
      <c r="D315" s="1869"/>
      <c r="E315" s="1869"/>
      <c r="F315" s="1861">
        <v>0.05</v>
      </c>
    </row>
    <row r="316" spans="1:6" ht="24.75" thickBot="1">
      <c r="A316" s="1863" t="s">
        <v>1386</v>
      </c>
      <c r="B316" s="1870" t="s">
        <v>2178</v>
      </c>
      <c r="C316" s="1866"/>
      <c r="D316" s="1866"/>
      <c r="E316" s="1866"/>
      <c r="F316" s="1871">
        <v>0.05</v>
      </c>
    </row>
    <row r="317" spans="1:6" ht="14.25" thickBot="1">
      <c r="A317" s="1855" t="s">
        <v>2179</v>
      </c>
      <c r="B317" s="1856" t="s">
        <v>2180</v>
      </c>
      <c r="C317" s="1857">
        <v>0.15</v>
      </c>
      <c r="D317" s="1857">
        <v>0.15</v>
      </c>
      <c r="E317" s="1857">
        <v>0.15</v>
      </c>
      <c r="F317" s="1858">
        <v>0.15</v>
      </c>
    </row>
    <row r="318" spans="1:6" ht="14.25" thickBot="1">
      <c r="A318" s="1855" t="s">
        <v>2179</v>
      </c>
      <c r="B318" s="1859" t="s">
        <v>2181</v>
      </c>
      <c r="C318" s="1860">
        <v>0.107</v>
      </c>
      <c r="D318" s="1860">
        <v>0.11</v>
      </c>
      <c r="E318" s="1860">
        <v>0.112</v>
      </c>
      <c r="F318" s="1868"/>
    </row>
    <row r="319" spans="1:6" ht="14.25" thickBot="1">
      <c r="A319" s="1855" t="s">
        <v>2179</v>
      </c>
      <c r="B319" s="1859" t="s">
        <v>2182</v>
      </c>
      <c r="C319" s="1860">
        <v>0.15</v>
      </c>
      <c r="D319" s="1860">
        <v>0.15</v>
      </c>
      <c r="E319" s="1860">
        <v>0.15</v>
      </c>
      <c r="F319" s="1861">
        <v>0.15</v>
      </c>
    </row>
    <row r="320" spans="1:6" ht="14.25" thickBot="1">
      <c r="A320" s="1855" t="s">
        <v>2179</v>
      </c>
      <c r="B320" s="1859" t="s">
        <v>1074</v>
      </c>
      <c r="C320" s="1860">
        <v>0.15</v>
      </c>
      <c r="D320" s="1860">
        <v>0.15</v>
      </c>
      <c r="E320" s="1860">
        <v>0.15</v>
      </c>
      <c r="F320" s="1868"/>
    </row>
    <row r="321" spans="1:6" ht="14.25" thickBot="1">
      <c r="A321" s="1855" t="s">
        <v>2179</v>
      </c>
      <c r="B321" s="1859" t="s">
        <v>2183</v>
      </c>
      <c r="C321" s="1860">
        <v>0.15</v>
      </c>
      <c r="D321" s="1860">
        <v>0.15</v>
      </c>
      <c r="E321" s="1860">
        <v>0.15</v>
      </c>
      <c r="F321" s="1868"/>
    </row>
    <row r="322" spans="1:6" ht="14.25" thickBot="1">
      <c r="A322" s="1855" t="s">
        <v>2179</v>
      </c>
      <c r="B322" s="1859" t="s">
        <v>2184</v>
      </c>
      <c r="C322" s="1860">
        <v>0.15</v>
      </c>
      <c r="D322" s="1860">
        <v>0.15</v>
      </c>
      <c r="E322" s="1860">
        <v>0.15</v>
      </c>
      <c r="F322" s="1861">
        <v>0.15</v>
      </c>
    </row>
    <row r="323" spans="1:6" ht="14.25" thickBot="1">
      <c r="A323" s="1855" t="s">
        <v>2179</v>
      </c>
      <c r="B323" s="1859" t="s">
        <v>2185</v>
      </c>
      <c r="C323" s="1860">
        <v>0.15</v>
      </c>
      <c r="D323" s="1860">
        <v>0.15</v>
      </c>
      <c r="E323" s="1860">
        <v>0.15</v>
      </c>
      <c r="F323" s="1868"/>
    </row>
    <row r="324" spans="1:6" ht="14.25" thickBot="1">
      <c r="A324" s="1855" t="s">
        <v>2179</v>
      </c>
      <c r="B324" s="1859" t="s">
        <v>2186</v>
      </c>
      <c r="C324" s="1860">
        <v>0.15</v>
      </c>
      <c r="D324" s="1860">
        <v>0.15</v>
      </c>
      <c r="E324" s="1860">
        <v>0.15</v>
      </c>
      <c r="F324" s="1868"/>
    </row>
    <row r="325" spans="1:6" ht="14.25" thickBot="1">
      <c r="A325" s="1855" t="s">
        <v>2179</v>
      </c>
      <c r="B325" s="1859" t="s">
        <v>2187</v>
      </c>
      <c r="C325" s="1860">
        <v>0.15</v>
      </c>
      <c r="D325" s="1860">
        <v>0.15</v>
      </c>
      <c r="E325" s="1860">
        <v>0.15</v>
      </c>
      <c r="F325" s="1861">
        <v>0.14699999999999999</v>
      </c>
    </row>
    <row r="326" spans="1:6" ht="14.25" thickBot="1">
      <c r="A326" s="1855" t="s">
        <v>2179</v>
      </c>
      <c r="B326" s="1859" t="s">
        <v>1143</v>
      </c>
      <c r="C326" s="1860">
        <v>0.15</v>
      </c>
      <c r="D326" s="1860">
        <v>0.15</v>
      </c>
      <c r="E326" s="1860">
        <v>0.15</v>
      </c>
      <c r="F326" s="1868"/>
    </row>
    <row r="327" spans="1:6" ht="14.25" thickBot="1">
      <c r="A327" s="1855" t="s">
        <v>2179</v>
      </c>
      <c r="B327" s="1859" t="s">
        <v>2188</v>
      </c>
      <c r="C327" s="1860">
        <v>0.15</v>
      </c>
      <c r="D327" s="1860">
        <v>0.15</v>
      </c>
      <c r="E327" s="1860">
        <v>0.15</v>
      </c>
      <c r="F327" s="1861">
        <v>0.15</v>
      </c>
    </row>
    <row r="328" spans="1:6" ht="14.25" thickBot="1">
      <c r="A328" s="1855" t="s">
        <v>2179</v>
      </c>
      <c r="B328" s="1859" t="s">
        <v>1163</v>
      </c>
      <c r="C328" s="1860">
        <v>0.15</v>
      </c>
      <c r="D328" s="1860">
        <v>0.15</v>
      </c>
      <c r="E328" s="1860">
        <v>0.15</v>
      </c>
      <c r="F328" s="1861">
        <v>0.14099999999999999</v>
      </c>
    </row>
    <row r="329" spans="1:6" ht="14.25" thickBot="1">
      <c r="A329" s="1855" t="s">
        <v>2179</v>
      </c>
      <c r="B329" s="1859" t="s">
        <v>1173</v>
      </c>
      <c r="C329" s="1860">
        <v>0.15</v>
      </c>
      <c r="D329" s="1860">
        <v>0.15</v>
      </c>
      <c r="E329" s="1860">
        <v>0.15</v>
      </c>
      <c r="F329" s="1861">
        <v>0.15</v>
      </c>
    </row>
    <row r="330" spans="1:6" ht="14.25" thickBot="1">
      <c r="A330" s="1855" t="s">
        <v>2179</v>
      </c>
      <c r="B330" s="1859" t="s">
        <v>1183</v>
      </c>
      <c r="C330" s="1860">
        <v>0.15</v>
      </c>
      <c r="D330" s="1860">
        <v>0.15</v>
      </c>
      <c r="E330" s="1860">
        <v>0.15</v>
      </c>
      <c r="F330" s="1868"/>
    </row>
    <row r="331" spans="1:6" ht="14.25" thickBot="1">
      <c r="A331" s="1855" t="s">
        <v>2179</v>
      </c>
      <c r="B331" s="1859" t="s">
        <v>2189</v>
      </c>
      <c r="C331" s="1860">
        <v>0.15</v>
      </c>
      <c r="D331" s="1860">
        <v>0.15</v>
      </c>
      <c r="E331" s="1860">
        <v>0.15</v>
      </c>
      <c r="F331" s="1861">
        <v>0.15</v>
      </c>
    </row>
    <row r="332" spans="1:6" ht="14.25" thickBot="1">
      <c r="A332" s="1855" t="s">
        <v>2179</v>
      </c>
      <c r="B332" s="1859" t="s">
        <v>1203</v>
      </c>
      <c r="C332" s="1860">
        <v>0.15</v>
      </c>
      <c r="D332" s="1860">
        <v>0.15</v>
      </c>
      <c r="E332" s="1860">
        <v>0.15</v>
      </c>
      <c r="F332" s="1861">
        <v>0.15</v>
      </c>
    </row>
    <row r="333" spans="1:6" ht="14.25" thickBot="1">
      <c r="A333" s="1855" t="s">
        <v>2179</v>
      </c>
      <c r="B333" s="1859" t="s">
        <v>2190</v>
      </c>
      <c r="C333" s="1860">
        <v>0.15</v>
      </c>
      <c r="D333" s="1860">
        <v>0.15</v>
      </c>
      <c r="E333" s="1860">
        <v>0.15</v>
      </c>
      <c r="F333" s="1861">
        <v>0.14099999999999999</v>
      </c>
    </row>
    <row r="334" spans="1:6" ht="14.25" thickBot="1">
      <c r="A334" s="1855" t="s">
        <v>2179</v>
      </c>
      <c r="B334" s="1859" t="s">
        <v>1223</v>
      </c>
      <c r="C334" s="1860">
        <v>0.15</v>
      </c>
      <c r="D334" s="1860">
        <v>0.15</v>
      </c>
      <c r="E334" s="1860">
        <v>0.15</v>
      </c>
      <c r="F334" s="1861">
        <v>0.15</v>
      </c>
    </row>
    <row r="335" spans="1:6" ht="14.25" thickBot="1">
      <c r="A335" s="1855" t="s">
        <v>2179</v>
      </c>
      <c r="B335" s="1859" t="s">
        <v>1233</v>
      </c>
      <c r="C335" s="1860">
        <v>0.15</v>
      </c>
      <c r="D335" s="1860">
        <v>0.15</v>
      </c>
      <c r="E335" s="1860">
        <v>0.15</v>
      </c>
      <c r="F335" s="1868"/>
    </row>
    <row r="336" spans="1:6" ht="14.25" thickBot="1">
      <c r="A336" s="1855" t="s">
        <v>2179</v>
      </c>
      <c r="B336" s="1859" t="s">
        <v>2191</v>
      </c>
      <c r="C336" s="1860">
        <v>0.15</v>
      </c>
      <c r="D336" s="1860">
        <v>0.15</v>
      </c>
      <c r="E336" s="1860">
        <v>0.15</v>
      </c>
      <c r="F336" s="1861">
        <v>0.11799999999999999</v>
      </c>
    </row>
    <row r="337" spans="1:6" ht="14.25" thickBot="1">
      <c r="A337" s="1863" t="s">
        <v>2179</v>
      </c>
      <c r="B337" s="1870" t="s">
        <v>1251</v>
      </c>
      <c r="C337" s="1866"/>
      <c r="D337" s="1866"/>
      <c r="E337" s="1866"/>
      <c r="F337" s="1871">
        <v>0.14299999999999999</v>
      </c>
    </row>
    <row r="338" spans="1:6" ht="14.25" thickBot="1">
      <c r="A338" s="1855" t="s">
        <v>2192</v>
      </c>
      <c r="B338" s="1856" t="s">
        <v>2193</v>
      </c>
      <c r="C338" s="1857">
        <v>0.15</v>
      </c>
      <c r="D338" s="1857">
        <v>0.15</v>
      </c>
      <c r="E338" s="1857">
        <v>0.15</v>
      </c>
      <c r="F338" s="1879"/>
    </row>
    <row r="339" spans="1:6" ht="14.25" thickBot="1">
      <c r="A339" s="1855" t="s">
        <v>2192</v>
      </c>
      <c r="B339" s="1859" t="s">
        <v>2194</v>
      </c>
      <c r="C339" s="1860">
        <v>0.15</v>
      </c>
      <c r="D339" s="1860">
        <v>0.15</v>
      </c>
      <c r="E339" s="1860">
        <v>0.15</v>
      </c>
      <c r="F339" s="1868"/>
    </row>
    <row r="340" spans="1:6" ht="14.25" thickBot="1">
      <c r="A340" s="1855" t="s">
        <v>2192</v>
      </c>
      <c r="B340" s="1859" t="s">
        <v>2195</v>
      </c>
      <c r="C340" s="1860">
        <v>0.15</v>
      </c>
      <c r="D340" s="1860">
        <v>0.15</v>
      </c>
      <c r="E340" s="1860">
        <v>0.15</v>
      </c>
      <c r="F340" s="1868"/>
    </row>
    <row r="341" spans="1:6" ht="14.25" thickBot="1">
      <c r="A341" s="1855" t="s">
        <v>2196</v>
      </c>
      <c r="B341" s="1859" t="s">
        <v>2197</v>
      </c>
      <c r="C341" s="1860">
        <v>0.15</v>
      </c>
      <c r="D341" s="1860">
        <v>0.15</v>
      </c>
      <c r="E341" s="1860">
        <v>0.15</v>
      </c>
      <c r="F341" s="1861">
        <v>0.15</v>
      </c>
    </row>
    <row r="342" spans="1:6" ht="14.25" thickBot="1">
      <c r="A342" s="1855" t="s">
        <v>2192</v>
      </c>
      <c r="B342" s="1859" t="s">
        <v>2198</v>
      </c>
      <c r="C342" s="1860">
        <v>0.15</v>
      </c>
      <c r="D342" s="1860">
        <v>0.15</v>
      </c>
      <c r="E342" s="1860">
        <v>0.15</v>
      </c>
      <c r="F342" s="1861">
        <v>0.15</v>
      </c>
    </row>
    <row r="343" spans="1:6" ht="14.25" thickBot="1">
      <c r="A343" s="1855" t="s">
        <v>2192</v>
      </c>
      <c r="B343" s="1859" t="s">
        <v>2199</v>
      </c>
      <c r="C343" s="1860">
        <v>0.15</v>
      </c>
      <c r="D343" s="1860">
        <v>0.15</v>
      </c>
      <c r="E343" s="1860">
        <v>0.15</v>
      </c>
      <c r="F343" s="1861">
        <v>0.15</v>
      </c>
    </row>
    <row r="344" spans="1:6" ht="14.25" thickBot="1">
      <c r="A344" s="1863" t="s">
        <v>2192</v>
      </c>
      <c r="B344" s="1870" t="s">
        <v>2200</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2908</v>
      </c>
      <c r="B1" s="3105"/>
      <c r="C1" s="3105"/>
      <c r="D1" s="3105"/>
      <c r="E1" s="3105"/>
      <c r="F1" s="3105"/>
    </row>
    <row r="2" spans="1:6" ht="14.25">
      <c r="A2" s="3106" t="s">
        <v>2903</v>
      </c>
      <c r="B2" s="3107" t="e">
        <f ca="1">SUMIF(B7:B14,"&lt;&gt;#ref!",B7:B14)</f>
        <v>#DIV/0!</v>
      </c>
      <c r="C2" s="3106" t="s">
        <v>2904</v>
      </c>
      <c r="D2" s="3105"/>
      <c r="E2" s="3105"/>
      <c r="F2" s="3105"/>
    </row>
    <row r="3" spans="1:6" ht="14.25">
      <c r="A3" s="3106" t="s">
        <v>2935</v>
      </c>
      <c r="B3" s="3107" t="e">
        <f ca="1">ROUND(B2*10000/E3,0)</f>
        <v>#DIV/0!</v>
      </c>
      <c r="C3" s="3106" t="s">
        <v>2041</v>
      </c>
      <c r="D3" s="3106" t="s">
        <v>2905</v>
      </c>
      <c r="E3" s="3107">
        <f ca="1">SUMIF(E7:E14,"&lt;&gt;#ref!",E7:E14)</f>
        <v>0</v>
      </c>
      <c r="F3" s="3105"/>
    </row>
    <row r="4" spans="1:6" ht="14.25">
      <c r="A4" s="3106" t="s">
        <v>2912</v>
      </c>
      <c r="B4" s="3107" t="e">
        <f ca="1">ROUND(B2*10000/E4,0)</f>
        <v>#DIV/0!</v>
      </c>
      <c r="C4" s="3106" t="s">
        <v>2041</v>
      </c>
      <c r="D4" s="3106" t="s">
        <v>2913</v>
      </c>
      <c r="E4" s="3107">
        <f ca="1">SUMIF(F7:F14,"&lt;&gt;#ref!",F7:F14)</f>
        <v>0</v>
      </c>
      <c r="F4" s="3105"/>
    </row>
    <row r="5" spans="1:6" ht="14.25">
      <c r="A5" s="3108"/>
      <c r="B5" s="1881"/>
      <c r="C5" s="1881"/>
      <c r="D5" s="1881"/>
      <c r="E5" s="1881"/>
      <c r="F5" s="3105"/>
    </row>
    <row r="6" spans="1:6" ht="28.5">
      <c r="A6" s="3109" t="s">
        <v>2909</v>
      </c>
      <c r="B6" s="3106" t="s">
        <v>2906</v>
      </c>
      <c r="C6" s="3107"/>
      <c r="D6" s="1881"/>
      <c r="E6" s="3106" t="s">
        <v>2907</v>
      </c>
      <c r="F6" s="3106" t="s">
        <v>2911</v>
      </c>
    </row>
    <row r="7" spans="1:6" ht="14.25">
      <c r="A7" s="260" t="s">
        <v>2910</v>
      </c>
      <c r="B7" s="3110" t="e">
        <f ca="1">SUMIF(INDIRECT("'"&amp;A7&amp;"'"&amp;"!A:A"),"总价",INDIRECT("'"&amp;A7&amp;"'"&amp;"!B:B"))</f>
        <v>#DIV/0!</v>
      </c>
      <c r="C7" s="3106" t="s">
        <v>2904</v>
      </c>
      <c r="D7" s="1881"/>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2904</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2904</v>
      </c>
      <c r="D9" s="1881"/>
      <c r="E9" s="3111" t="e">
        <f t="shared" ca="1" si="1"/>
        <v>#REF!</v>
      </c>
      <c r="F9" s="3111" t="e">
        <f t="shared" ca="1" si="2"/>
        <v>#REF!</v>
      </c>
    </row>
    <row r="10" spans="1:6" ht="14.25">
      <c r="A10" s="260"/>
      <c r="B10" s="3110" t="e">
        <f t="shared" ca="1" si="0"/>
        <v>#REF!</v>
      </c>
      <c r="C10" s="3106" t="s">
        <v>2904</v>
      </c>
      <c r="D10" s="1881"/>
      <c r="E10" s="3111" t="e">
        <f t="shared" ca="1" si="1"/>
        <v>#REF!</v>
      </c>
      <c r="F10" s="3111" t="e">
        <f t="shared" ca="1" si="2"/>
        <v>#REF!</v>
      </c>
    </row>
    <row r="11" spans="1:6" ht="14.25">
      <c r="A11" s="260"/>
      <c r="B11" s="3110" t="e">
        <f t="shared" ca="1" si="0"/>
        <v>#REF!</v>
      </c>
      <c r="C11" s="3106" t="s">
        <v>2904</v>
      </c>
      <c r="D11" s="1881"/>
      <c r="E11" s="3111" t="e">
        <f t="shared" ca="1" si="1"/>
        <v>#REF!</v>
      </c>
      <c r="F11" s="3111" t="e">
        <f t="shared" ca="1" si="2"/>
        <v>#REF!</v>
      </c>
    </row>
    <row r="12" spans="1:6" ht="14.25">
      <c r="A12" s="260"/>
      <c r="B12" s="3110" t="e">
        <f t="shared" ca="1" si="0"/>
        <v>#REF!</v>
      </c>
      <c r="C12" s="3106" t="s">
        <v>2904</v>
      </c>
      <c r="D12" s="1881"/>
      <c r="E12" s="3111" t="e">
        <f t="shared" ca="1" si="1"/>
        <v>#REF!</v>
      </c>
      <c r="F12" s="3111" t="e">
        <f t="shared" ca="1" si="2"/>
        <v>#REF!</v>
      </c>
    </row>
    <row r="13" spans="1:6" ht="14.25">
      <c r="A13" s="260"/>
      <c r="B13" s="3110" t="e">
        <f t="shared" ca="1" si="0"/>
        <v>#REF!</v>
      </c>
      <c r="C13" s="3106" t="s">
        <v>2904</v>
      </c>
      <c r="D13" s="1881"/>
      <c r="E13" s="3111" t="e">
        <f t="shared" ca="1" si="1"/>
        <v>#REF!</v>
      </c>
      <c r="F13" s="3111" t="e">
        <f t="shared" ca="1" si="2"/>
        <v>#REF!</v>
      </c>
    </row>
    <row r="14" spans="1:6" ht="14.25">
      <c r="A14" s="3104"/>
      <c r="B14" s="3110" t="e">
        <f t="shared" ca="1" si="0"/>
        <v>#REF!</v>
      </c>
      <c r="C14" s="3106" t="s">
        <v>2904</v>
      </c>
      <c r="D14" s="1881"/>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594</v>
      </c>
      <c r="B1" s="737"/>
      <c r="C1" s="772"/>
      <c r="D1" s="2050"/>
      <c r="E1" s="2387" t="s">
        <v>2337</v>
      </c>
      <c r="F1" s="2388">
        <f ca="1">J54</f>
        <v>-3</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595</v>
      </c>
      <c r="B2" s="774">
        <f ca="1">IF(ISERROR(C45+J31),0,C45+J31)</f>
        <v>0</v>
      </c>
      <c r="C2" s="1350"/>
      <c r="D2" s="2055"/>
      <c r="E2" s="2056"/>
      <c r="F2" s="2056"/>
      <c r="G2" s="1589"/>
      <c r="H2" s="1362"/>
      <c r="I2" s="2057"/>
      <c r="J2" s="2057"/>
      <c r="K2" s="2058"/>
      <c r="L2" s="2057"/>
      <c r="M2" s="2057"/>
    </row>
    <row r="3" spans="1:25" ht="18" customHeight="1">
      <c r="A3" s="1644" t="s">
        <v>1649</v>
      </c>
      <c r="B3" s="1390">
        <f ca="1">ROUND(B2*10000/'数据-汇总表'!E3,0)</f>
        <v>0</v>
      </c>
      <c r="C3" s="1350"/>
      <c r="D3" s="2055"/>
      <c r="E3" s="2056"/>
      <c r="F3" s="2056"/>
      <c r="G3" s="1589"/>
      <c r="H3" s="775" t="s">
        <v>661</v>
      </c>
      <c r="I3" s="2057"/>
      <c r="J3" s="2057"/>
      <c r="K3" s="2058"/>
      <c r="L3" s="2057"/>
      <c r="M3" s="2057"/>
    </row>
    <row r="4" spans="1:25" ht="18" customHeight="1">
      <c r="A4" s="1645" t="s">
        <v>662</v>
      </c>
      <c r="B4" s="1351">
        <f ca="1">ROUND(B2*10000/'数据-汇总表'!D3,0)</f>
        <v>0</v>
      </c>
      <c r="C4" s="428"/>
      <c r="D4" s="2055"/>
      <c r="E4" s="2056"/>
      <c r="F4" s="2056"/>
      <c r="G4" s="1589"/>
      <c r="H4" s="775"/>
      <c r="I4" s="2057"/>
      <c r="J4" s="2057"/>
      <c r="K4" s="2058"/>
      <c r="L4" s="2057"/>
      <c r="M4" s="2057"/>
    </row>
    <row r="5" spans="1:25" ht="18" customHeight="1" thickBot="1">
      <c r="A5" s="1646"/>
      <c r="B5" s="430">
        <f ca="1">ROUND(B2/('数据-汇总表'!D3/666.67),0)</f>
        <v>0</v>
      </c>
      <c r="C5" s="431" t="s">
        <v>663</v>
      </c>
      <c r="D5" s="2055"/>
      <c r="E5" s="2056"/>
      <c r="F5" s="2056"/>
      <c r="G5" s="1589"/>
      <c r="H5" s="775"/>
      <c r="I5" s="2057"/>
      <c r="J5" s="2057"/>
      <c r="K5" s="2058"/>
      <c r="L5" s="2057"/>
      <c r="M5" s="2057"/>
    </row>
    <row r="6" spans="1:25" ht="18" customHeight="1">
      <c r="A6" s="1828" t="s">
        <v>664</v>
      </c>
      <c r="B6" s="1820" t="s">
        <v>665</v>
      </c>
      <c r="C6" s="1820" t="s">
        <v>598</v>
      </c>
      <c r="D6" s="1820" t="s">
        <v>599</v>
      </c>
      <c r="E6" s="778" t="s">
        <v>600</v>
      </c>
      <c r="F6" s="779"/>
      <c r="G6" s="1591"/>
      <c r="H6" s="1828" t="s">
        <v>596</v>
      </c>
      <c r="I6" s="1820" t="s">
        <v>597</v>
      </c>
      <c r="J6" s="1820" t="s">
        <v>598</v>
      </c>
      <c r="K6" s="1820" t="s">
        <v>599</v>
      </c>
      <c r="L6" s="778" t="s">
        <v>600</v>
      </c>
      <c r="M6" s="779"/>
    </row>
    <row r="7" spans="1:25" ht="18" customHeight="1">
      <c r="A7" s="780">
        <v>1</v>
      </c>
      <c r="B7" s="781" t="s">
        <v>2421</v>
      </c>
      <c r="C7" s="53">
        <f ca="1">C8+C12+C14</f>
        <v>0</v>
      </c>
      <c r="D7" s="2496" t="s">
        <v>2424</v>
      </c>
      <c r="E7" s="2490"/>
      <c r="F7" s="2491"/>
      <c r="G7" s="1591"/>
      <c r="H7" s="780">
        <v>1</v>
      </c>
      <c r="I7" s="781" t="s">
        <v>2421</v>
      </c>
      <c r="J7" s="53">
        <f ca="1">J8+J12+J14</f>
        <v>0</v>
      </c>
      <c r="K7" s="2496" t="s">
        <v>2424</v>
      </c>
      <c r="L7" s="2490"/>
      <c r="M7" s="2491"/>
    </row>
    <row r="8" spans="1:25" ht="18" customHeight="1">
      <c r="A8" s="1830" t="s">
        <v>1787</v>
      </c>
      <c r="B8" s="3447" t="s">
        <v>2426</v>
      </c>
      <c r="C8" s="1825">
        <f ca="1">ROUND(F8*F10*F9*(1-F11)/10000,0)</f>
        <v>0</v>
      </c>
      <c r="D8" s="1822" t="s">
        <v>2497</v>
      </c>
      <c r="E8" s="61" t="s">
        <v>603</v>
      </c>
      <c r="F8" s="784">
        <f ca="1">INDIRECT("'数据-取费表'!u"&amp;$G$1)</f>
        <v>0</v>
      </c>
      <c r="G8" s="1591"/>
      <c r="H8" s="2504" t="s">
        <v>1787</v>
      </c>
      <c r="I8" s="3447" t="s">
        <v>2426</v>
      </c>
      <c r="J8" s="782">
        <f ca="1">ROUND(M8*M10*M9*(1-M11)/10000,0)</f>
        <v>0</v>
      </c>
      <c r="K8" s="341" t="s">
        <v>2497</v>
      </c>
      <c r="L8" s="783" t="s">
        <v>1701</v>
      </c>
      <c r="M8" s="784">
        <f ca="1">INDIRECT("'数据-取费表'!z"&amp;$G$1)</f>
        <v>0</v>
      </c>
    </row>
    <row r="9" spans="1:25" ht="18" customHeight="1">
      <c r="A9" s="2500"/>
      <c r="B9" s="3448"/>
      <c r="C9" s="1826"/>
      <c r="D9" s="1823"/>
      <c r="E9" s="61" t="s">
        <v>604</v>
      </c>
      <c r="F9" s="784">
        <f ca="1">IF(INDIRECT("'数据-取费表'!ah"&amp;$G$1)="",INDIRECT("'数据-取费表'!k"&amp;$G$1),INDIRECT("'数据-取费表'!ah"&amp;$G$1))</f>
        <v>0</v>
      </c>
      <c r="G9" s="1591"/>
      <c r="H9" s="2489"/>
      <c r="I9" s="3448"/>
      <c r="J9" s="787"/>
      <c r="K9" s="788"/>
      <c r="L9" s="783" t="s">
        <v>1702</v>
      </c>
      <c r="M9" s="784">
        <f ca="1">F9</f>
        <v>0</v>
      </c>
    </row>
    <row r="10" spans="1:25" ht="18" customHeight="1">
      <c r="A10" s="2493"/>
      <c r="B10" s="3449"/>
      <c r="C10" s="1826"/>
      <c r="D10" s="1823"/>
      <c r="E10" s="61" t="s">
        <v>605</v>
      </c>
      <c r="F10" s="784">
        <f ca="1">INDIRECT("'数据-取费表'!ai"&amp;$G$1)</f>
        <v>0</v>
      </c>
      <c r="G10" s="1591"/>
      <c r="H10" s="2489"/>
      <c r="I10" s="3449"/>
      <c r="J10" s="787"/>
      <c r="K10" s="788"/>
      <c r="L10" s="783" t="s">
        <v>1703</v>
      </c>
      <c r="M10" s="784">
        <f ca="1">INDIRECT("'数据-取费表'!ai"&amp;$G$1)</f>
        <v>0</v>
      </c>
    </row>
    <row r="11" spans="1:25" ht="18" customHeight="1">
      <c r="A11" s="785"/>
      <c r="B11" s="3450"/>
      <c r="C11" s="1826"/>
      <c r="D11" s="1823"/>
      <c r="E11" s="61" t="s">
        <v>606</v>
      </c>
      <c r="F11" s="793">
        <f ca="1">INDIRECT("'数据-取费表'!w"&amp;$G$1)</f>
        <v>0</v>
      </c>
      <c r="G11" s="1591"/>
      <c r="H11" s="2505"/>
      <c r="I11" s="3449"/>
      <c r="J11" s="787"/>
      <c r="K11" s="788"/>
      <c r="L11" s="794" t="s">
        <v>1704</v>
      </c>
      <c r="M11" s="795">
        <f ca="1">INDIRECT("'数据-取费表'!ab"&amp;$G$1)</f>
        <v>0</v>
      </c>
    </row>
    <row r="12" spans="1:25" ht="18" customHeight="1">
      <c r="A12" s="1830" t="s">
        <v>1788</v>
      </c>
      <c r="B12" s="2494" t="s">
        <v>2422</v>
      </c>
      <c r="C12" s="798">
        <f ca="1">ROUND(IF(F12="押一",C8/12*F13,IF(F12="押二",C8/12*2*F13,IF(F12="押三",C8/12*3*F13,C13*F13))),0)</f>
        <v>0</v>
      </c>
      <c r="D12" s="2501" t="s">
        <v>2931</v>
      </c>
      <c r="E12" s="2498" t="s">
        <v>2427</v>
      </c>
      <c r="F12" s="2621"/>
      <c r="G12" s="1591"/>
      <c r="H12" s="2561" t="s">
        <v>1788</v>
      </c>
      <c r="I12" s="2566" t="s">
        <v>2422</v>
      </c>
      <c r="J12" s="782">
        <f ca="1">ROUND(IF(M12="押一",J8/12*M13,IF(M12="押二",J8/12*2*M13,IF(M12="押三",J8/12*3*M13,J13*M13))),0)</f>
        <v>0</v>
      </c>
      <c r="K12" s="2501" t="s">
        <v>2931</v>
      </c>
      <c r="L12" s="2498" t="s">
        <v>2427</v>
      </c>
      <c r="M12" s="2621"/>
    </row>
    <row r="13" spans="1:25" ht="18" customHeight="1">
      <c r="A13" s="789"/>
      <c r="B13" s="2495" t="s">
        <v>2536</v>
      </c>
      <c r="C13" s="2499"/>
      <c r="D13" s="788"/>
      <c r="E13" s="2498" t="s">
        <v>2419</v>
      </c>
      <c r="F13" s="795">
        <f ca="1">'数据-取费表'!B39</f>
        <v>1.4999999999999999E-2</v>
      </c>
      <c r="G13" s="1591"/>
      <c r="H13" s="2562"/>
      <c r="I13" s="2495" t="s">
        <v>2536</v>
      </c>
      <c r="J13" s="2499"/>
      <c r="K13" s="2563"/>
      <c r="L13" s="2498" t="s">
        <v>2419</v>
      </c>
      <c r="M13" s="2492">
        <f ca="1">'数据-取费表'!B39</f>
        <v>1.4999999999999999E-2</v>
      </c>
    </row>
    <row r="14" spans="1:25" ht="18" customHeight="1" thickBot="1">
      <c r="A14" s="2537" t="s">
        <v>2430</v>
      </c>
      <c r="B14" s="2538" t="s">
        <v>2423</v>
      </c>
      <c r="C14" s="2539"/>
      <c r="D14" s="2540"/>
      <c r="E14" s="2541"/>
      <c r="F14" s="2542"/>
      <c r="G14" s="1591"/>
      <c r="H14" s="2551" t="s">
        <v>2430</v>
      </c>
      <c r="I14" s="2564" t="s">
        <v>2423</v>
      </c>
      <c r="J14" s="2565"/>
      <c r="K14" s="2540"/>
      <c r="L14" s="2541"/>
      <c r="M14" s="2554"/>
    </row>
    <row r="15" spans="1:25" ht="18" customHeight="1" thickTop="1">
      <c r="A15" s="1829" t="s">
        <v>1837</v>
      </c>
      <c r="B15" s="1827" t="s">
        <v>607</v>
      </c>
      <c r="C15" s="791">
        <f ca="1">ROUND(C31*F15,0)</f>
        <v>0</v>
      </c>
      <c r="D15" s="1834" t="s">
        <v>608</v>
      </c>
      <c r="E15" s="794" t="s">
        <v>609</v>
      </c>
      <c r="F15" s="799">
        <f ca="1">INDIRECT("'数据-取费表'!y"&amp;$G$1)</f>
        <v>0</v>
      </c>
      <c r="G15" s="1591"/>
      <c r="H15" s="1829" t="s">
        <v>1789</v>
      </c>
      <c r="I15" s="1827" t="s">
        <v>610</v>
      </c>
      <c r="J15" s="1819">
        <f ca="1">ROUND(J16*J17,0)</f>
        <v>0</v>
      </c>
      <c r="K15" s="1821" t="s">
        <v>608</v>
      </c>
      <c r="L15" s="800"/>
      <c r="M15" s="801"/>
    </row>
    <row r="16" spans="1:25" ht="18" customHeight="1">
      <c r="A16" s="802" t="s">
        <v>1838</v>
      </c>
      <c r="B16" s="783" t="s">
        <v>611</v>
      </c>
      <c r="C16" s="803">
        <f ca="1">INDIRECT("'数据-取费表'!m"&amp;$G$1)+INDIRECT("'数据-取费表'!t"&amp;$G$1)</f>
        <v>0</v>
      </c>
      <c r="D16" s="1979" t="s">
        <v>612</v>
      </c>
      <c r="E16" s="1980"/>
      <c r="F16" s="804"/>
      <c r="G16" s="1591"/>
      <c r="H16" s="802" t="s">
        <v>2032</v>
      </c>
      <c r="I16" s="2231" t="s">
        <v>2787</v>
      </c>
      <c r="J16" s="53">
        <f ca="1">C31</f>
        <v>0</v>
      </c>
      <c r="K16" s="26"/>
      <c r="L16" s="800"/>
      <c r="M16" s="801"/>
    </row>
    <row r="17" spans="1:25" s="2064" customFormat="1" ht="18" customHeight="1">
      <c r="A17" s="802" t="s">
        <v>1812</v>
      </c>
      <c r="B17" s="783" t="s">
        <v>613</v>
      </c>
      <c r="C17" s="53">
        <f ca="1">ROUND(C16*F17,0)</f>
        <v>0</v>
      </c>
      <c r="D17" s="805" t="s">
        <v>614</v>
      </c>
      <c r="E17" s="805" t="s">
        <v>615</v>
      </c>
      <c r="F17" s="806">
        <f>'数据-取费表'!B33</f>
        <v>0.05</v>
      </c>
      <c r="G17" s="1592"/>
      <c r="H17" s="802" t="s">
        <v>2033</v>
      </c>
      <c r="I17" s="783" t="s">
        <v>609</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1813</v>
      </c>
      <c r="B18" s="783" t="s">
        <v>616</v>
      </c>
      <c r="C18" s="53">
        <f ca="1">ROUND(INDIRECT("'数据-取费表'!m"&amp;$G$1)*F18,0)</f>
        <v>0</v>
      </c>
      <c r="D18" s="783" t="s">
        <v>614</v>
      </c>
      <c r="E18" s="783" t="s">
        <v>615</v>
      </c>
      <c r="F18" s="808">
        <f ca="1">IF(INDIRECT("'数据-取费表'!c"&amp;$G$1)="住宅",'数据-取费表'!B34,0)</f>
        <v>0</v>
      </c>
      <c r="G18" s="1591"/>
      <c r="H18" s="796" t="s">
        <v>1790</v>
      </c>
      <c r="I18" s="797" t="s">
        <v>617</v>
      </c>
      <c r="J18" s="798">
        <f ca="1">ROUND(J19+J24+J25+J26,0)</f>
        <v>0</v>
      </c>
      <c r="K18" s="26" t="s">
        <v>618</v>
      </c>
      <c r="L18" s="1982"/>
      <c r="M18" s="56"/>
    </row>
    <row r="19" spans="1:25" s="2064" customFormat="1" ht="18" customHeight="1">
      <c r="A19" s="802" t="s">
        <v>1814</v>
      </c>
      <c r="B19" s="783" t="s">
        <v>619</v>
      </c>
      <c r="C19" s="53">
        <f ca="1">ROUND(F19*(INDIRECT("'数据-取费表'!k"&amp;$G$1)+INDIRECT("'数据-取费表'!S"&amp;$G$1))/10000,0)</f>
        <v>0</v>
      </c>
      <c r="D19" s="783" t="s">
        <v>620</v>
      </c>
      <c r="E19" s="783" t="s">
        <v>621</v>
      </c>
      <c r="F19" s="56">
        <f>'数据-取费表'!B35</f>
        <v>200</v>
      </c>
      <c r="G19" s="1592"/>
      <c r="H19" s="802" t="s">
        <v>2032</v>
      </c>
      <c r="I19" s="783" t="s">
        <v>622</v>
      </c>
      <c r="J19" s="53">
        <f ca="1">ROUND(IF(项目基本情况!B11="自然人",J7*M19,J20+J21+J22),0)</f>
        <v>0</v>
      </c>
      <c r="K19" s="1979" t="s">
        <v>623</v>
      </c>
      <c r="L19" s="1977" t="s">
        <v>624</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1815</v>
      </c>
      <c r="B20" s="783" t="s">
        <v>625</v>
      </c>
      <c r="C20" s="53">
        <f ca="1">ROUND(C16*F20,0)</f>
        <v>0</v>
      </c>
      <c r="D20" s="783" t="s">
        <v>614</v>
      </c>
      <c r="E20" s="783" t="s">
        <v>615</v>
      </c>
      <c r="F20" s="808">
        <f>'数据-取费表'!B36</f>
        <v>1.4999999999999999E-2</v>
      </c>
      <c r="G20" s="1592"/>
      <c r="H20" s="802" t="s">
        <v>1794</v>
      </c>
      <c r="I20" s="783" t="s">
        <v>626</v>
      </c>
      <c r="J20" s="53">
        <f ca="1">ROUND(J7*M20/1.05,1)</f>
        <v>0</v>
      </c>
      <c r="K20" s="1977" t="s">
        <v>627</v>
      </c>
      <c r="L20" s="783" t="s">
        <v>615</v>
      </c>
      <c r="M20" s="808">
        <f>'数据-取费表'!B41</f>
        <v>5.6000000000000001E-2</v>
      </c>
      <c r="N20" s="2063"/>
      <c r="O20" s="2063"/>
      <c r="P20" s="2063"/>
      <c r="Q20" s="2063"/>
      <c r="R20" s="2063"/>
      <c r="S20" s="2063"/>
      <c r="T20" s="2063"/>
      <c r="U20" s="2063"/>
      <c r="V20" s="2063"/>
      <c r="W20" s="2063"/>
      <c r="X20" s="2063"/>
      <c r="Y20" s="2063"/>
    </row>
    <row r="21" spans="1:25" ht="18" customHeight="1">
      <c r="A21" s="802" t="s">
        <v>1839</v>
      </c>
      <c r="B21" s="783" t="s">
        <v>628</v>
      </c>
      <c r="C21" s="53">
        <f ca="1">SUM(C16:C20)</f>
        <v>0</v>
      </c>
      <c r="D21" s="261" t="s">
        <v>629</v>
      </c>
      <c r="E21" s="1982"/>
      <c r="F21" s="56"/>
      <c r="G21" s="1591"/>
      <c r="H21" s="1830" t="s">
        <v>1812</v>
      </c>
      <c r="I21" s="783" t="s">
        <v>630</v>
      </c>
      <c r="J21" s="53">
        <f ca="1">IF(K21="按租金收入计税",ROUND(J7*M21,1),ROUND(C31*F35*0.7,1))</f>
        <v>0</v>
      </c>
      <c r="K21" s="810" t="s">
        <v>631</v>
      </c>
      <c r="L21" s="783" t="s">
        <v>615</v>
      </c>
      <c r="M21" s="808">
        <f>IF(K21="按租金收入计税",'数据-取费表'!B51,'数据-取费表'!B50)</f>
        <v>1.2E-2</v>
      </c>
    </row>
    <row r="22" spans="1:25" s="2064" customFormat="1" ht="18" customHeight="1">
      <c r="A22" s="802" t="s">
        <v>1840</v>
      </c>
      <c r="B22" s="783" t="s">
        <v>632</v>
      </c>
      <c r="C22" s="53">
        <f ca="1">ROUND(C21*F22,0)</f>
        <v>0</v>
      </c>
      <c r="D22" s="811" t="s">
        <v>633</v>
      </c>
      <c r="E22" s="783" t="s">
        <v>615</v>
      </c>
      <c r="F22" s="808">
        <f>'数据-取费表'!B37</f>
        <v>0.03</v>
      </c>
      <c r="G22" s="1592"/>
      <c r="H22" s="1832" t="s">
        <v>1813</v>
      </c>
      <c r="I22" s="1822" t="s">
        <v>634</v>
      </c>
      <c r="J22" s="54">
        <f ca="1">ROUND(M22*M23/10000,0)</f>
        <v>0</v>
      </c>
      <c r="K22" s="813" t="s">
        <v>635</v>
      </c>
      <c r="L22" s="783" t="s">
        <v>636</v>
      </c>
      <c r="M22" s="639">
        <f>'数据-取费表'!B52</f>
        <v>8</v>
      </c>
      <c r="N22" s="2063"/>
      <c r="O22" s="2063"/>
      <c r="P22" s="2063"/>
      <c r="Q22" s="2063"/>
      <c r="R22" s="2063"/>
      <c r="S22" s="2063"/>
      <c r="T22" s="2063"/>
      <c r="U22" s="2063"/>
      <c r="V22" s="2063"/>
      <c r="W22" s="2063"/>
      <c r="X22" s="2063"/>
      <c r="Y22" s="2063"/>
    </row>
    <row r="23" spans="1:25" s="2064" customFormat="1" ht="18" customHeight="1">
      <c r="A23" s="802" t="s">
        <v>1841</v>
      </c>
      <c r="B23" s="783" t="s">
        <v>637</v>
      </c>
      <c r="C23" s="53" t="s">
        <v>1</v>
      </c>
      <c r="D23" s="811" t="s">
        <v>638</v>
      </c>
      <c r="E23" s="783" t="s">
        <v>639</v>
      </c>
      <c r="F23" s="808">
        <f>'数据-取费表'!B38</f>
        <v>0.03</v>
      </c>
      <c r="G23" s="1592"/>
      <c r="H23" s="1833"/>
      <c r="I23" s="1824"/>
      <c r="J23" s="69"/>
      <c r="K23" s="815"/>
      <c r="L23" s="783" t="s">
        <v>640</v>
      </c>
      <c r="M23" s="784">
        <f ca="1">INDIRECT("'数据-取费表'!r"&amp;$G$1)</f>
        <v>0</v>
      </c>
      <c r="N23" s="2063"/>
      <c r="O23" s="2063"/>
      <c r="P23" s="2063"/>
      <c r="Q23" s="2063"/>
      <c r="R23" s="2063"/>
      <c r="S23" s="2063"/>
      <c r="T23" s="2063"/>
      <c r="U23" s="2063"/>
      <c r="V23" s="2063"/>
      <c r="W23" s="2063"/>
      <c r="X23" s="2063"/>
      <c r="Y23" s="2063"/>
    </row>
    <row r="24" spans="1:25" ht="18" customHeight="1">
      <c r="A24" s="802" t="s">
        <v>1842</v>
      </c>
      <c r="B24" s="783" t="s">
        <v>641</v>
      </c>
      <c r="C24" s="53"/>
      <c r="D24" s="2572" t="str">
        <f>IF(F25&lt;=1,"单利计息。","复利计息。")&amp;"建造成本、管理费用、销售费用产生的利息。"</f>
        <v>复利计息。建造成本、管理费用、销售费用产生的利息。</v>
      </c>
      <c r="E24" s="1982"/>
      <c r="F24" s="56"/>
      <c r="G24" s="1591"/>
      <c r="H24" s="1831" t="s">
        <v>2033</v>
      </c>
      <c r="I24" s="783" t="s">
        <v>642</v>
      </c>
      <c r="J24" s="53">
        <f ca="1">ROUND(J16*M24,0)</f>
        <v>0</v>
      </c>
      <c r="K24" s="1977" t="s">
        <v>643</v>
      </c>
      <c r="L24" s="783" t="s">
        <v>615</v>
      </c>
      <c r="M24" s="816">
        <f ca="1">INDIRECT("'数据-取费表'!Ak"&amp;$G$1)</f>
        <v>0</v>
      </c>
    </row>
    <row r="25" spans="1:25" s="2064" customFormat="1" ht="18" customHeight="1">
      <c r="A25" s="802" t="s">
        <v>1838</v>
      </c>
      <c r="B25" s="783" t="s">
        <v>2400</v>
      </c>
      <c r="C25" s="53">
        <f ca="1">ROUND(IF('数据-取费表'!B22&lt;=1,(C21+C22)*F26*F25/2,(C21+C22)*(POWER((1+F26),F25/2)-1)),0)</f>
        <v>0</v>
      </c>
      <c r="D25" s="2571" t="str">
        <f>IF(F25&lt;=1,"(建造成本+管理费用)×利率×(建设周期÷2)","(建造成本+管理费用)×((1+利率)^(建设周期÷2)-1)")</f>
        <v>(建造成本+管理费用)×((1+利率)^(建设周期÷2)-1)</v>
      </c>
      <c r="E25" s="783" t="s">
        <v>644</v>
      </c>
      <c r="F25" s="639">
        <f>'数据-取费表'!B20</f>
        <v>3</v>
      </c>
      <c r="G25" s="1592"/>
      <c r="H25" s="802" t="s">
        <v>1841</v>
      </c>
      <c r="I25" s="783" t="s">
        <v>645</v>
      </c>
      <c r="J25" s="53">
        <f ca="1">ROUND(J15*M25,0)</f>
        <v>0</v>
      </c>
      <c r="K25" s="1977" t="s">
        <v>646</v>
      </c>
      <c r="L25" s="783" t="s">
        <v>615</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1812</v>
      </c>
      <c r="B26" s="783" t="s">
        <v>647</v>
      </c>
      <c r="C26" s="53">
        <f ca="1">ROUND(IF('数据-取费表'!B22&lt;=1,F23*F26*F25/2,F23*(POWER((1+F26),F25/2)-1)),4)</f>
        <v>2.2000000000000001E-3</v>
      </c>
      <c r="D26" s="2571" t="str">
        <f>IF(F25&lt;=1,"销售费用×利率×(建设周期÷2)","销售费用×((1+利率)^(建设周期÷2)-1)")</f>
        <v>销售费用×((1+利率)^(建设周期÷2)-1)</v>
      </c>
      <c r="E26" s="783" t="s">
        <v>648</v>
      </c>
      <c r="F26" s="818">
        <f ca="1">'数据-取费表'!B40</f>
        <v>4.7500000000000001E-2</v>
      </c>
      <c r="G26" s="1592"/>
      <c r="H26" s="802" t="s">
        <v>1842</v>
      </c>
      <c r="I26" s="783" t="s">
        <v>632</v>
      </c>
      <c r="J26" s="53">
        <f ca="1">ROUND(J7*M26,0)</f>
        <v>0</v>
      </c>
      <c r="K26" s="1977" t="s">
        <v>649</v>
      </c>
      <c r="L26" s="783" t="s">
        <v>615</v>
      </c>
      <c r="M26" s="793">
        <f ca="1">INDIRECT("'数据-取费表'!Am"&amp;$G$1)</f>
        <v>0</v>
      </c>
      <c r="N26" s="2063"/>
      <c r="O26" s="2063"/>
      <c r="P26" s="2063"/>
      <c r="Q26" s="2063"/>
      <c r="R26" s="2063"/>
      <c r="S26" s="2063"/>
      <c r="T26" s="2063"/>
      <c r="U26" s="2063"/>
      <c r="V26" s="2063"/>
      <c r="W26" s="2063"/>
      <c r="X26" s="2063"/>
      <c r="Y26" s="2063"/>
    </row>
    <row r="27" spans="1:25" ht="18" customHeight="1">
      <c r="A27" s="802" t="s">
        <v>1844</v>
      </c>
      <c r="B27" s="783" t="s">
        <v>650</v>
      </c>
      <c r="C27" s="53"/>
      <c r="D27" s="261" t="s">
        <v>651</v>
      </c>
      <c r="E27" s="1982"/>
      <c r="F27" s="56"/>
      <c r="G27" s="1591"/>
      <c r="H27" s="796" t="s">
        <v>1791</v>
      </c>
      <c r="I27" s="3011" t="s">
        <v>2784</v>
      </c>
      <c r="J27" s="798">
        <f ca="1">J7-J18</f>
        <v>0</v>
      </c>
      <c r="K27" s="1979" t="s">
        <v>666</v>
      </c>
      <c r="L27" s="1981"/>
      <c r="M27" s="819"/>
    </row>
    <row r="28" spans="1:25" ht="18" customHeight="1">
      <c r="A28" s="802" t="s">
        <v>1838</v>
      </c>
      <c r="B28" s="783" t="s">
        <v>2401</v>
      </c>
      <c r="C28" s="53">
        <f ca="1">ROUND((C21+C22)*F28,0)</f>
        <v>0</v>
      </c>
      <c r="D28" s="811" t="s">
        <v>667</v>
      </c>
      <c r="E28" s="794" t="s">
        <v>668</v>
      </c>
      <c r="F28" s="793">
        <f ca="1">INDIRECT("'数据-取费表'!q"&amp;$G$1)</f>
        <v>0</v>
      </c>
      <c r="G28" s="1591"/>
      <c r="H28" s="780" t="s">
        <v>1800</v>
      </c>
      <c r="I28" s="781" t="s">
        <v>669</v>
      </c>
      <c r="J28" s="782">
        <f ca="1">IF(J7&lt;&gt;0,ROUND(J27*(1-((1+M30)/(1+M28))^M29)/(M28-M30),0),0)</f>
        <v>0</v>
      </c>
      <c r="K28" s="813" t="s">
        <v>670</v>
      </c>
      <c r="L28" s="783" t="s">
        <v>671</v>
      </c>
      <c r="M28" s="793">
        <f ca="1">INDIRECT("'数据-取费表'!I"&amp;$G$1)</f>
        <v>0</v>
      </c>
    </row>
    <row r="29" spans="1:25" ht="18" customHeight="1">
      <c r="A29" s="802" t="s">
        <v>1812</v>
      </c>
      <c r="B29" s="783" t="s">
        <v>652</v>
      </c>
      <c r="C29" s="53">
        <f ca="1">ROUND(F23*F28,4)</f>
        <v>0</v>
      </c>
      <c r="D29" s="811" t="s">
        <v>672</v>
      </c>
      <c r="E29" s="805"/>
      <c r="F29" s="806"/>
      <c r="G29" s="1591"/>
      <c r="H29" s="785"/>
      <c r="I29" s="786"/>
      <c r="J29" s="787"/>
      <c r="K29" s="820" t="s">
        <v>673</v>
      </c>
      <c r="L29" s="783" t="s">
        <v>674</v>
      </c>
      <c r="M29" s="821">
        <f ca="1">INDIRECT("'数据-取费表'!ag"&amp;$G$1)</f>
        <v>0</v>
      </c>
    </row>
    <row r="30" spans="1:25" s="2064" customFormat="1" ht="18" customHeight="1">
      <c r="A30" s="802" t="s">
        <v>1845</v>
      </c>
      <c r="B30" s="783" t="s">
        <v>653</v>
      </c>
      <c r="C30" s="53">
        <f>ROUND(F30/(1+'数据-取费表'!C42),4)</f>
        <v>5.33E-2</v>
      </c>
      <c r="D30" s="811" t="s">
        <v>675</v>
      </c>
      <c r="E30" s="783" t="s">
        <v>615</v>
      </c>
      <c r="F30" s="808">
        <f>'数据-取费表'!B41</f>
        <v>5.6000000000000001E-2</v>
      </c>
      <c r="G30" s="1592"/>
      <c r="H30" s="789"/>
      <c r="I30" s="790"/>
      <c r="J30" s="791"/>
      <c r="K30" s="815"/>
      <c r="L30" s="783" t="s">
        <v>676</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1846</v>
      </c>
      <c r="B31" s="2541" t="s">
        <v>2785</v>
      </c>
      <c r="C31" s="2544">
        <f ca="1">ROUND((C21+C22+C25+C28)/(1-F23-C26-C29-C30),0)</f>
        <v>0</v>
      </c>
      <c r="D31" s="2545"/>
      <c r="E31" s="2546"/>
      <c r="F31" s="2547"/>
      <c r="G31" s="1592"/>
      <c r="H31" s="822" t="s">
        <v>1835</v>
      </c>
      <c r="I31" s="3012" t="s">
        <v>2786</v>
      </c>
      <c r="J31" s="824">
        <f ca="1">ROUND(J28/(1+F45)^F46,0)</f>
        <v>0</v>
      </c>
      <c r="K31" s="825" t="s">
        <v>654</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655</v>
      </c>
      <c r="C32" s="791">
        <f ca="1">ROUND(C33+C38+C39+C40,0)</f>
        <v>0</v>
      </c>
      <c r="D32" s="1821" t="s">
        <v>618</v>
      </c>
      <c r="E32" s="2487"/>
      <c r="F32" s="2491"/>
      <c r="G32" s="2062"/>
      <c r="H32" s="2065"/>
      <c r="I32" s="2066"/>
      <c r="J32" s="2067"/>
      <c r="K32" s="2068"/>
      <c r="L32" s="2069"/>
      <c r="M32" s="2070"/>
    </row>
    <row r="33" spans="1:18" ht="18" customHeight="1">
      <c r="A33" s="802" t="s">
        <v>1839</v>
      </c>
      <c r="B33" s="783" t="s">
        <v>622</v>
      </c>
      <c r="C33" s="53">
        <f ca="1">ROUND(IF(项目基本情况!B11="自然人",C7*F33,C34+C35+C36),1)</f>
        <v>0</v>
      </c>
      <c r="D33" s="1979" t="s">
        <v>623</v>
      </c>
      <c r="E33" s="1977" t="s">
        <v>656</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1838</v>
      </c>
      <c r="B34" s="783" t="s">
        <v>626</v>
      </c>
      <c r="C34" s="53">
        <f ca="1">ROUND(C7*F34/1.05,1)</f>
        <v>0</v>
      </c>
      <c r="D34" s="1977" t="s">
        <v>627</v>
      </c>
      <c r="E34" s="783" t="s">
        <v>615</v>
      </c>
      <c r="F34" s="808">
        <f>'数据-取费表'!B41</f>
        <v>5.6000000000000001E-2</v>
      </c>
      <c r="G34" s="2062"/>
      <c r="H34" s="2071"/>
      <c r="I34" s="2072"/>
      <c r="J34" s="2073"/>
      <c r="K34" s="2074"/>
      <c r="L34" s="2075"/>
      <c r="M34" s="2076"/>
    </row>
    <row r="35" spans="1:18" ht="18" customHeight="1">
      <c r="A35" s="802" t="s">
        <v>1812</v>
      </c>
      <c r="B35" s="783" t="s">
        <v>630</v>
      </c>
      <c r="C35" s="53">
        <f ca="1">IF(D35="按租金收入计税",ROUND(C7*F35,1),IF(D35="按房产原值计税",ROUND(C31*F35*0.7,1),INDIRECT("'数据-取费表'!Aj"&amp;$G$1)))</f>
        <v>0</v>
      </c>
      <c r="D35" s="810" t="s">
        <v>1646</v>
      </c>
      <c r="E35" s="783" t="s">
        <v>615</v>
      </c>
      <c r="F35" s="808">
        <f>IF(D35="按租金收入计税",'数据-取费表'!B51,'数据-取费表'!B50)</f>
        <v>1.2E-2</v>
      </c>
      <c r="G35" s="2062"/>
      <c r="H35" s="2077"/>
      <c r="I35" s="2077"/>
      <c r="J35" s="2077"/>
      <c r="K35" s="2078"/>
      <c r="L35" s="2077"/>
      <c r="M35" s="2077"/>
    </row>
    <row r="36" spans="1:18" ht="18" customHeight="1">
      <c r="A36" s="812" t="s">
        <v>1843</v>
      </c>
      <c r="B36" s="341" t="s">
        <v>634</v>
      </c>
      <c r="C36" s="54">
        <f ca="1">ROUND(F36*F37/10000,1)</f>
        <v>0</v>
      </c>
      <c r="D36" s="813" t="s">
        <v>635</v>
      </c>
      <c r="E36" s="783" t="s">
        <v>636</v>
      </c>
      <c r="F36" s="639">
        <f>'数据-取费表'!B52</f>
        <v>8</v>
      </c>
      <c r="G36" s="2062"/>
      <c r="H36" s="2065"/>
      <c r="I36" s="3446"/>
      <c r="J36" s="2079"/>
      <c r="K36" s="2080"/>
      <c r="L36" s="2079"/>
      <c r="M36" s="2079"/>
    </row>
    <row r="37" spans="1:18" ht="18" customHeight="1">
      <c r="A37" s="814"/>
      <c r="B37" s="792"/>
      <c r="C37" s="69"/>
      <c r="D37" s="815"/>
      <c r="E37" s="783" t="s">
        <v>640</v>
      </c>
      <c r="F37" s="784">
        <f ca="1">INDIRECT("'数据-取费表'!r"&amp;$G$1)</f>
        <v>0</v>
      </c>
      <c r="G37" s="2062"/>
      <c r="H37" s="2065"/>
      <c r="I37" s="3446"/>
      <c r="J37" s="2077"/>
      <c r="K37" s="2078"/>
      <c r="L37" s="2077"/>
      <c r="M37" s="2077"/>
    </row>
    <row r="38" spans="1:18" ht="18" customHeight="1">
      <c r="A38" s="802" t="s">
        <v>1840</v>
      </c>
      <c r="B38" s="783" t="s">
        <v>642</v>
      </c>
      <c r="C38" s="53">
        <f ca="1">ROUND(C31*F38,1)</f>
        <v>0</v>
      </c>
      <c r="D38" s="1977" t="s">
        <v>657</v>
      </c>
      <c r="E38" s="783" t="s">
        <v>615</v>
      </c>
      <c r="F38" s="816">
        <f ca="1">INDIRECT("'数据-取费表'!Ak"&amp;$G$1)</f>
        <v>0</v>
      </c>
      <c r="G38" s="2062"/>
      <c r="H38" s="2077"/>
      <c r="I38" s="2081"/>
      <c r="J38" s="1988"/>
      <c r="K38" s="2082"/>
      <c r="L38" s="2077"/>
      <c r="M38" s="2077"/>
    </row>
    <row r="39" spans="1:18" ht="18" customHeight="1">
      <c r="A39" s="802" t="s">
        <v>1841</v>
      </c>
      <c r="B39" s="783" t="s">
        <v>645</v>
      </c>
      <c r="C39" s="53">
        <f ca="1">ROUND(C15*F39,1)</f>
        <v>0</v>
      </c>
      <c r="D39" s="1977" t="s">
        <v>646</v>
      </c>
      <c r="E39" s="783" t="s">
        <v>615</v>
      </c>
      <c r="F39" s="817">
        <f ca="1">INDIRECT("'数据-取费表'!Al"&amp;$G$1)</f>
        <v>0</v>
      </c>
      <c r="G39" s="2062"/>
      <c r="H39" s="2077"/>
      <c r="I39" s="2081"/>
      <c r="J39" s="1988"/>
      <c r="K39" s="2082"/>
      <c r="L39" s="2077"/>
      <c r="M39" s="2077"/>
    </row>
    <row r="40" spans="1:18" ht="18" customHeight="1" thickBot="1">
      <c r="A40" s="2560" t="s">
        <v>1842</v>
      </c>
      <c r="B40" s="2546" t="s">
        <v>632</v>
      </c>
      <c r="C40" s="2544">
        <f ca="1">ROUND(C7*F40,1)</f>
        <v>0</v>
      </c>
      <c r="D40" s="2545" t="s">
        <v>649</v>
      </c>
      <c r="E40" s="2546" t="s">
        <v>615</v>
      </c>
      <c r="F40" s="2542">
        <f ca="1">INDIRECT("'数据-取费表'!Am"&amp;$G$1)</f>
        <v>0</v>
      </c>
      <c r="G40" s="2062"/>
      <c r="H40" s="2077"/>
      <c r="I40" s="2081"/>
      <c r="J40" s="1988"/>
      <c r="K40" s="2083"/>
      <c r="L40" s="2077"/>
      <c r="M40" s="2077"/>
    </row>
    <row r="41" spans="1:18" ht="18" customHeight="1" thickTop="1">
      <c r="A41" s="1829">
        <v>4</v>
      </c>
      <c r="B41" s="1827" t="s">
        <v>658</v>
      </c>
      <c r="C41" s="1352"/>
      <c r="D41" s="1353"/>
      <c r="E41" s="1353"/>
      <c r="F41" s="1354"/>
      <c r="G41" s="2062"/>
      <c r="H41" s="2062"/>
      <c r="I41" s="2062"/>
      <c r="J41" s="2062"/>
      <c r="K41" s="2083"/>
      <c r="L41" s="2062"/>
      <c r="M41" s="2062"/>
    </row>
    <row r="42" spans="1:18" ht="18" customHeight="1">
      <c r="A42" s="802" t="s">
        <v>1839</v>
      </c>
      <c r="B42" s="834" t="s">
        <v>659</v>
      </c>
      <c r="C42" s="828">
        <f ca="1">C7-C32</f>
        <v>0</v>
      </c>
      <c r="D42" s="1979" t="s">
        <v>660</v>
      </c>
      <c r="E42" s="1981"/>
      <c r="F42" s="819"/>
      <c r="G42" s="2062"/>
      <c r="H42" s="2062"/>
      <c r="I42" s="2062"/>
      <c r="J42" s="2062"/>
      <c r="K42" s="2083"/>
      <c r="L42" s="2062"/>
      <c r="M42" s="2062"/>
    </row>
    <row r="43" spans="1:18" ht="18" customHeight="1">
      <c r="A43" s="802" t="s">
        <v>1840</v>
      </c>
      <c r="B43" s="834" t="s">
        <v>677</v>
      </c>
      <c r="C43" s="835">
        <f ca="1">ROUND(C15*F43,0)</f>
        <v>0</v>
      </c>
      <c r="D43" s="1355" t="s">
        <v>678</v>
      </c>
      <c r="E43" s="3122" t="s">
        <v>2920</v>
      </c>
      <c r="F43" s="3123">
        <f ca="1">INDIRECT("'数据-取费表'!j"&amp;$G$1)</f>
        <v>0</v>
      </c>
      <c r="G43" s="2062"/>
      <c r="H43" s="2062"/>
      <c r="I43" s="2062"/>
      <c r="J43" s="2062"/>
      <c r="K43" s="2083"/>
      <c r="L43" s="2062"/>
      <c r="M43" s="2062"/>
    </row>
    <row r="44" spans="1:18" ht="18" customHeight="1">
      <c r="A44" s="802" t="s">
        <v>1841</v>
      </c>
      <c r="B44" s="834" t="s">
        <v>679</v>
      </c>
      <c r="C44" s="1356">
        <f ca="1">C42-C43</f>
        <v>0</v>
      </c>
      <c r="D44" s="463" t="s">
        <v>680</v>
      </c>
      <c r="E44" s="464"/>
      <c r="F44" s="465"/>
      <c r="G44" s="2062"/>
      <c r="H44" s="2062"/>
      <c r="I44" s="2062"/>
      <c r="J44" s="2062"/>
      <c r="K44" s="2083"/>
      <c r="L44" s="2062"/>
      <c r="M44" s="2062"/>
    </row>
    <row r="45" spans="1:18" ht="18" customHeight="1">
      <c r="A45" s="802" t="s">
        <v>1842</v>
      </c>
      <c r="B45" s="1355" t="s">
        <v>681</v>
      </c>
      <c r="C45" s="3038">
        <f ca="1">ROUND(-PV(F45,F46,C44,0),0)</f>
        <v>0</v>
      </c>
      <c r="D45" s="1357" t="s">
        <v>682</v>
      </c>
      <c r="E45" s="805" t="s">
        <v>683</v>
      </c>
      <c r="F45" s="829">
        <f ca="1">INDIRECT("'数据-取费表'!h"&amp;$G$1)</f>
        <v>0</v>
      </c>
      <c r="G45" s="2062"/>
      <c r="H45" s="2062"/>
      <c r="I45" s="2062"/>
      <c r="J45" s="2062"/>
      <c r="K45" s="2083"/>
      <c r="L45" s="2062"/>
      <c r="M45" s="2062"/>
    </row>
    <row r="46" spans="1:18" ht="18" customHeight="1" thickBot="1">
      <c r="A46" s="830"/>
      <c r="B46" s="1358"/>
      <c r="C46" s="1359"/>
      <c r="D46" s="1360"/>
      <c r="E46" s="3124" t="s">
        <v>2922</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2306</v>
      </c>
      <c r="J47" s="2379"/>
      <c r="K47" s="2380"/>
      <c r="L47" s="3160" t="str">
        <f ca="1">IF(M48="住宅",0,IF(L49&gt;J52,L61,J61))</f>
        <v>0</v>
      </c>
      <c r="O47" s="2394" t="s">
        <v>2373</v>
      </c>
      <c r="P47" s="1591"/>
      <c r="Q47" s="1603"/>
      <c r="R47" s="1591"/>
    </row>
    <row r="48" spans="1:18" s="2059" customFormat="1" ht="18" customHeight="1" thickBot="1">
      <c r="A48" s="2084"/>
      <c r="C48" s="2087"/>
      <c r="D48" s="2088"/>
      <c r="E48" s="2088"/>
      <c r="F48" s="2089"/>
      <c r="G48" s="2090"/>
      <c r="I48" s="3150" t="s">
        <v>2307</v>
      </c>
      <c r="J48" s="2381"/>
      <c r="K48" s="3157" t="s">
        <v>2312</v>
      </c>
      <c r="L48" s="3161">
        <f ca="1">INDIRECT("'数据-取费表'!d"&amp;$G$1)</f>
        <v>0</v>
      </c>
      <c r="M48" s="3121" t="str">
        <f>IF(ISNUMBER(FIND("住宅",C1)),"住宅","非住宅")</f>
        <v>非住宅</v>
      </c>
      <c r="O48" s="2395" t="s">
        <v>2338</v>
      </c>
      <c r="P48" s="2396" t="s">
        <v>2339</v>
      </c>
      <c r="Q48" s="2397" t="s">
        <v>2340</v>
      </c>
      <c r="R48" s="2396" t="s">
        <v>2341</v>
      </c>
    </row>
    <row r="49" spans="1:18" s="2059" customFormat="1" ht="18" customHeight="1" thickBot="1">
      <c r="A49" s="2084"/>
      <c r="D49" s="2091"/>
      <c r="E49" s="2092"/>
      <c r="F49" s="2089"/>
      <c r="G49" s="2090"/>
      <c r="H49" s="2093"/>
      <c r="I49" s="3126" t="s">
        <v>2308</v>
      </c>
      <c r="J49" s="2382"/>
      <c r="K49" s="3158" t="s">
        <v>2314</v>
      </c>
      <c r="L49" s="1908">
        <f ca="1">INDIRECT("'数据-取费表'!f"&amp;$G$1)</f>
        <v>0</v>
      </c>
      <c r="O49" s="2398" t="s">
        <v>2342</v>
      </c>
      <c r="P49" s="2399" t="s">
        <v>2368</v>
      </c>
      <c r="Q49" s="2400">
        <f ca="1">C41+J31</f>
        <v>0</v>
      </c>
      <c r="R49" s="2399" t="s">
        <v>2343</v>
      </c>
    </row>
    <row r="50" spans="1:18" s="2059" customFormat="1" ht="18" customHeight="1" thickBot="1">
      <c r="A50" s="2084"/>
      <c r="D50" s="2094"/>
      <c r="E50" s="2094"/>
      <c r="F50" s="2088"/>
      <c r="G50" s="2095"/>
      <c r="H50" s="2093"/>
      <c r="I50" s="3126" t="s">
        <v>2309</v>
      </c>
      <c r="J50" s="2383"/>
      <c r="K50" s="3159" t="s">
        <v>2315</v>
      </c>
      <c r="L50" s="2384"/>
      <c r="O50" s="2398" t="s">
        <v>2344</v>
      </c>
      <c r="P50" s="2399" t="s">
        <v>2369</v>
      </c>
      <c r="Q50" s="2400" t="str">
        <f ca="1">J61</f>
        <v>0</v>
      </c>
      <c r="R50" s="2399" t="s">
        <v>2345</v>
      </c>
    </row>
    <row r="51" spans="1:18" s="2059" customFormat="1" ht="18" customHeight="1" thickBot="1">
      <c r="A51" s="2096"/>
      <c r="D51" s="2094"/>
      <c r="E51" s="2094"/>
      <c r="F51" s="2085"/>
      <c r="H51" s="2093"/>
      <c r="I51" s="3126" t="s">
        <v>2310</v>
      </c>
      <c r="J51" s="3154">
        <f>SUMPRODUCT((I64:I66=J48)*(J63:L63=J49)*(J64:L66))</f>
        <v>0</v>
      </c>
      <c r="K51" s="3159" t="s">
        <v>2316</v>
      </c>
      <c r="L51" s="2384"/>
      <c r="O51" s="2401" t="s">
        <v>2346</v>
      </c>
      <c r="P51" s="2399" t="s">
        <v>2370</v>
      </c>
      <c r="Q51" s="2400">
        <f ca="1">C31</f>
        <v>0</v>
      </c>
      <c r="R51" s="2399" t="s">
        <v>2343</v>
      </c>
    </row>
    <row r="52" spans="1:18" s="2059" customFormat="1" ht="18" customHeight="1" thickBot="1">
      <c r="A52" s="2096"/>
      <c r="F52" s="2085"/>
      <c r="I52" s="3151" t="s">
        <v>2311</v>
      </c>
      <c r="J52" s="3155">
        <f>IF(J50="",J51,J50+J51-YEAR('数据-取费表'!B3))</f>
        <v>0</v>
      </c>
      <c r="K52" s="3126" t="s">
        <v>2317</v>
      </c>
      <c r="L52" s="3162">
        <f ca="1">ROUND(-PV(INDIRECT("'数据-取费表'!h"&amp;$G$1),L49,(C40-C14*J36),0),0)</f>
        <v>0</v>
      </c>
      <c r="O52" s="2401" t="s">
        <v>2347</v>
      </c>
      <c r="P52" s="2399" t="s">
        <v>2348</v>
      </c>
      <c r="Q52" s="2402" t="e">
        <f ca="1">J59</f>
        <v>#VALUE!</v>
      </c>
      <c r="R52" s="2403"/>
    </row>
    <row r="53" spans="1:18" s="2059" customFormat="1" ht="18" customHeight="1" thickBot="1">
      <c r="A53" s="2096"/>
      <c r="F53" s="2085"/>
      <c r="I53" s="3152" t="s">
        <v>2384</v>
      </c>
      <c r="J53" s="2385"/>
      <c r="K53" s="3152" t="s">
        <v>2383</v>
      </c>
      <c r="L53" s="2385"/>
      <c r="O53" s="2401" t="s">
        <v>2349</v>
      </c>
      <c r="P53" s="2399" t="s">
        <v>2350</v>
      </c>
      <c r="Q53" s="2402">
        <f>J53</f>
        <v>0</v>
      </c>
      <c r="R53" s="2403"/>
    </row>
    <row r="54" spans="1:18" s="2059" customFormat="1" ht="29.25" thickBot="1">
      <c r="A54" s="2096"/>
      <c r="I54" s="3153" t="s">
        <v>2936</v>
      </c>
      <c r="J54" s="3156">
        <f ca="1">IF(M48="住宅",MAX(J52,L49-'数据-取费表'!B20),MIN(J52,L49-'数据-取费表'!B20))</f>
        <v>-3</v>
      </c>
      <c r="K54" s="3451"/>
      <c r="L54" s="3452"/>
      <c r="O54" s="2401" t="s">
        <v>2351</v>
      </c>
      <c r="P54" s="2399" t="s">
        <v>2352</v>
      </c>
      <c r="Q54" s="2400">
        <f ca="1">J54</f>
        <v>-3</v>
      </c>
      <c r="R54" s="2399" t="s">
        <v>2353</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2354</v>
      </c>
      <c r="P55" s="2399" t="s">
        <v>2371</v>
      </c>
      <c r="Q55" s="2400">
        <f ca="1">Q49+Q50</f>
        <v>0</v>
      </c>
      <c r="R55" s="2403" t="s">
        <v>2355</v>
      </c>
    </row>
    <row r="56" spans="1:18" s="2059" customFormat="1" ht="16.5" thickBot="1">
      <c r="A56" s="2096"/>
      <c r="B56" s="2097"/>
      <c r="C56" s="2097"/>
      <c r="I56" s="3165" t="s">
        <v>2318</v>
      </c>
      <c r="J56" s="3101" t="e">
        <f ca="1">ROUND(IF(J48="钢混",J58/J51,1-(1-2%)*(J51-J58)/J51),3)</f>
        <v>#VALUE!</v>
      </c>
      <c r="K56" s="3166" t="s">
        <v>2319</v>
      </c>
      <c r="L56" s="2386"/>
      <c r="O56" s="2404" t="s">
        <v>2374</v>
      </c>
      <c r="P56" s="1591"/>
      <c r="Q56" s="1603"/>
      <c r="R56" s="1591"/>
    </row>
    <row r="57" spans="1:18" s="2059" customFormat="1" ht="43.5" thickBot="1">
      <c r="A57" s="2096"/>
      <c r="B57" s="2097"/>
      <c r="C57" s="2097"/>
      <c r="I57" s="3167" t="s">
        <v>2320</v>
      </c>
      <c r="J57" s="3177" t="s">
        <v>1644</v>
      </c>
      <c r="K57" s="3126" t="s">
        <v>2325</v>
      </c>
      <c r="L57" s="1908">
        <f ca="1">IF(L49&lt;J52,"——",L49-J52)</f>
        <v>0</v>
      </c>
      <c r="O57" s="2395" t="s">
        <v>2338</v>
      </c>
      <c r="P57" s="2396" t="s">
        <v>2339</v>
      </c>
      <c r="Q57" s="2397" t="s">
        <v>2340</v>
      </c>
      <c r="R57" s="2396" t="s">
        <v>2341</v>
      </c>
    </row>
    <row r="58" spans="1:18" s="2059" customFormat="1" ht="29.25" thickBot="1">
      <c r="A58" s="2096"/>
      <c r="B58" s="2097"/>
      <c r="C58" s="2097"/>
      <c r="I58" s="3168" t="s">
        <v>2321</v>
      </c>
      <c r="J58" s="3169" t="str">
        <f ca="1">IF(OR(M48="住宅",J52&lt;L49,J57="是"),"——",J52-L49)</f>
        <v>——</v>
      </c>
      <c r="K58" s="3126" t="s">
        <v>2326</v>
      </c>
      <c r="L58" s="1908">
        <f ca="1">IF(L49&lt;J52,"——",IF(L56="比较法",L50,IF(L56="基准地价",L51,L52)))</f>
        <v>0</v>
      </c>
      <c r="O58" s="2398" t="s">
        <v>2342</v>
      </c>
      <c r="P58" s="2399" t="s">
        <v>2368</v>
      </c>
      <c r="Q58" s="2400">
        <f ca="1">C41+J31</f>
        <v>0</v>
      </c>
      <c r="R58" s="2399" t="s">
        <v>2343</v>
      </c>
    </row>
    <row r="59" spans="1:18" s="2059" customFormat="1" ht="29.25" thickBot="1">
      <c r="A59" s="2096"/>
      <c r="B59" s="2097"/>
      <c r="C59" s="2097"/>
      <c r="I59" s="3168" t="s">
        <v>2322</v>
      </c>
      <c r="J59" s="3102" t="e">
        <f ca="1">IF(J56&lt;0.4,0.4,J56)</f>
        <v>#VALUE!</v>
      </c>
      <c r="K59" s="3126" t="s">
        <v>2327</v>
      </c>
      <c r="L59" s="1908">
        <f ca="1">IF(ISERROR(POWER(1+L53,L48-L49)*(POWER(1+L53,L49)-1)/(POWER(1+L53,L48)-1)),0,POWER(1+L53,L48-L49)*(POWER(1+L53,L49)-1)/(POWER(1+L53,L48)-1))</f>
        <v>0</v>
      </c>
      <c r="O59" s="2398" t="s">
        <v>2344</v>
      </c>
      <c r="P59" s="2399" t="s">
        <v>2375</v>
      </c>
      <c r="Q59" s="2400" t="e">
        <f ca="1">L61</f>
        <v>#DIV/0!</v>
      </c>
      <c r="R59" s="2403" t="s">
        <v>2377</v>
      </c>
    </row>
    <row r="60" spans="1:18" s="2059" customFormat="1" ht="29.25" thickBot="1">
      <c r="A60" s="2096"/>
      <c r="B60" s="2097"/>
      <c r="C60" s="2097"/>
      <c r="I60" s="3168" t="s">
        <v>2323</v>
      </c>
      <c r="J60" s="3169" t="str">
        <f ca="1">IF(OR(M48="住宅",J52&lt;L49,J57="是"),"——",ROUND(C30*J59,0))</f>
        <v>——</v>
      </c>
      <c r="K60" s="3126" t="s">
        <v>2328</v>
      </c>
      <c r="L60" s="1908">
        <f ca="1">IF(ISERROR(POWER(1+L53,L48-J52)*(POWER(1+L53,J52)-1)/(POWER(1+L53,L48)-1)),0,POWER(1+L53,L48-J52)*(POWER(1+L53,J52)-1)/(POWER(1+L53,L48)-1))</f>
        <v>0</v>
      </c>
      <c r="O60" s="2401" t="s">
        <v>2346</v>
      </c>
      <c r="P60" s="2399" t="s">
        <v>2376</v>
      </c>
      <c r="Q60" s="2400">
        <f>IF(L56="比较法",L50,IF(L56="基准地价",L51,0))</f>
        <v>0</v>
      </c>
      <c r="R60" s="2399" t="s">
        <v>2343</v>
      </c>
    </row>
    <row r="61" spans="1:18" s="2059" customFormat="1" ht="15.75" thickBot="1">
      <c r="A61" s="2096"/>
      <c r="B61" s="2097"/>
      <c r="C61" s="2097"/>
      <c r="I61" s="3170" t="s">
        <v>2324</v>
      </c>
      <c r="J61" s="3171" t="str">
        <f ca="1">IF(OR(M48="住宅",J52&lt;L49,J57="是"),"0",ROUND(J60/(1+J53)^J54,0))</f>
        <v>0</v>
      </c>
      <c r="K61" s="3172" t="s">
        <v>2329</v>
      </c>
      <c r="L61" s="3171" t="e">
        <f ca="1">IF(OR(M48="住宅",L49&lt;J52),0,ROUND(L58*(L59/L60-1),0))</f>
        <v>#DIV/0!</v>
      </c>
      <c r="O61" s="2401" t="s">
        <v>2347</v>
      </c>
      <c r="P61" s="2399" t="s">
        <v>2356</v>
      </c>
      <c r="Q61" s="2402">
        <f>L53</f>
        <v>0</v>
      </c>
      <c r="R61" s="2403"/>
    </row>
    <row r="62" spans="1:18" s="2059" customFormat="1" ht="20.25" thickBot="1">
      <c r="A62" s="2096"/>
      <c r="B62" s="2097"/>
      <c r="C62" s="2097"/>
      <c r="K62" s="2086"/>
      <c r="O62" s="2401" t="s">
        <v>2349</v>
      </c>
      <c r="P62" s="2399" t="s">
        <v>2357</v>
      </c>
      <c r="Q62" s="2400">
        <f ca="1">L59</f>
        <v>0</v>
      </c>
      <c r="R62" s="2403" t="s">
        <v>2358</v>
      </c>
    </row>
    <row r="63" spans="1:18" s="2059" customFormat="1" ht="20.25" thickBot="1">
      <c r="A63" s="2096"/>
      <c r="B63" s="2097"/>
      <c r="C63" s="2097"/>
      <c r="I63" s="3173" t="s">
        <v>2330</v>
      </c>
      <c r="J63" s="3174" t="s">
        <v>2331</v>
      </c>
      <c r="K63" s="3174" t="s">
        <v>2332</v>
      </c>
      <c r="L63" s="3174" t="s">
        <v>2313</v>
      </c>
      <c r="M63" s="3175" t="s">
        <v>2901</v>
      </c>
      <c r="O63" s="2401" t="s">
        <v>2351</v>
      </c>
      <c r="P63" s="2399" t="s">
        <v>2359</v>
      </c>
      <c r="Q63" s="2400">
        <f ca="1">L60</f>
        <v>0</v>
      </c>
      <c r="R63" s="2403" t="s">
        <v>2360</v>
      </c>
    </row>
    <row r="64" spans="1:18" s="2059" customFormat="1" ht="15.75" thickBot="1">
      <c r="A64" s="2096"/>
      <c r="B64" s="2097"/>
      <c r="C64" s="2097"/>
      <c r="I64" s="3173" t="s">
        <v>2333</v>
      </c>
      <c r="J64" s="3174">
        <v>70</v>
      </c>
      <c r="K64" s="3174">
        <v>50</v>
      </c>
      <c r="L64" s="3174">
        <v>80</v>
      </c>
      <c r="M64" s="3176">
        <v>0.02</v>
      </c>
      <c r="O64" s="2398" t="s">
        <v>2354</v>
      </c>
      <c r="P64" s="2399" t="s">
        <v>2371</v>
      </c>
      <c r="Q64" s="2400" t="e">
        <f ca="1">Q58+Q59</f>
        <v>#DIV/0!</v>
      </c>
      <c r="R64" s="2403" t="s">
        <v>2355</v>
      </c>
    </row>
    <row r="65" spans="1:18" s="2059" customFormat="1" ht="16.5" thickBot="1">
      <c r="A65" s="2096"/>
      <c r="B65" s="2097"/>
      <c r="C65" s="2097"/>
      <c r="I65" s="3173" t="s">
        <v>2334</v>
      </c>
      <c r="J65" s="3174">
        <v>50</v>
      </c>
      <c r="K65" s="3174">
        <v>35</v>
      </c>
      <c r="L65" s="3174">
        <v>60</v>
      </c>
      <c r="M65" s="845">
        <v>0</v>
      </c>
      <c r="O65" s="2404" t="s">
        <v>2378</v>
      </c>
      <c r="P65" s="1591"/>
      <c r="Q65" s="1603"/>
      <c r="R65" s="1591"/>
    </row>
    <row r="66" spans="1:18" s="2059" customFormat="1" ht="15.75" thickBot="1">
      <c r="A66" s="2096"/>
      <c r="B66" s="2097"/>
      <c r="C66" s="2097"/>
      <c r="I66" s="3173" t="s">
        <v>2335</v>
      </c>
      <c r="J66" s="3174">
        <v>40</v>
      </c>
      <c r="K66" s="3174">
        <v>30</v>
      </c>
      <c r="L66" s="3174">
        <v>50</v>
      </c>
      <c r="M66" s="3176">
        <v>0.02</v>
      </c>
      <c r="O66" s="2395" t="s">
        <v>2338</v>
      </c>
      <c r="P66" s="2396" t="s">
        <v>2339</v>
      </c>
      <c r="Q66" s="2397" t="s">
        <v>2340</v>
      </c>
      <c r="R66" s="2396" t="s">
        <v>2341</v>
      </c>
    </row>
    <row r="67" spans="1:18" s="2059" customFormat="1" ht="15.75" thickBot="1">
      <c r="A67" s="2096"/>
      <c r="B67" s="2097"/>
      <c r="C67" s="2097"/>
      <c r="K67" s="2086"/>
      <c r="O67" s="2398" t="s">
        <v>2342</v>
      </c>
      <c r="P67" s="2399" t="s">
        <v>2368</v>
      </c>
      <c r="Q67" s="2400">
        <f ca="1">C41+J31</f>
        <v>0</v>
      </c>
      <c r="R67" s="2399" t="s">
        <v>2343</v>
      </c>
    </row>
    <row r="68" spans="1:18" s="2059" customFormat="1" ht="20.25" thickBot="1">
      <c r="A68" s="2096"/>
      <c r="B68" s="2097"/>
      <c r="C68" s="2097"/>
      <c r="K68" s="2086"/>
      <c r="O68" s="2398" t="s">
        <v>2344</v>
      </c>
      <c r="P68" s="2399" t="s">
        <v>2375</v>
      </c>
      <c r="Q68" s="2400" t="e">
        <f ca="1">L61</f>
        <v>#DIV/0!</v>
      </c>
      <c r="R68" s="2403" t="s">
        <v>2377</v>
      </c>
    </row>
    <row r="69" spans="1:18" s="2059" customFormat="1" ht="21.75" thickBot="1">
      <c r="A69" s="2096"/>
      <c r="B69" s="2097"/>
      <c r="C69" s="2097"/>
      <c r="K69" s="2086"/>
      <c r="O69" s="2401" t="s">
        <v>2346</v>
      </c>
      <c r="P69" s="2399" t="s">
        <v>2376</v>
      </c>
      <c r="Q69" s="2405">
        <f ca="1">L52</f>
        <v>0</v>
      </c>
      <c r="R69" s="2406" t="s">
        <v>2379</v>
      </c>
    </row>
    <row r="70" spans="1:18" s="2059" customFormat="1" ht="20.25" thickBot="1">
      <c r="A70" s="2096"/>
      <c r="B70" s="2097"/>
      <c r="C70" s="2097"/>
      <c r="K70" s="2086"/>
      <c r="O70" s="2401" t="s">
        <v>2347</v>
      </c>
      <c r="P70" s="2407" t="s">
        <v>2361</v>
      </c>
      <c r="Q70" s="2400">
        <f ca="1">ROUND(Q71-Q72*Q73,0)</f>
        <v>0</v>
      </c>
      <c r="R70" s="2403"/>
    </row>
    <row r="71" spans="1:18" s="2059" customFormat="1" ht="15.75" thickBot="1">
      <c r="A71" s="2096"/>
      <c r="B71" s="2097"/>
      <c r="C71" s="2097"/>
      <c r="K71" s="2086"/>
      <c r="O71" s="2401" t="s">
        <v>2362</v>
      </c>
      <c r="P71" s="2407" t="s">
        <v>2363</v>
      </c>
      <c r="Q71" s="2400">
        <f ca="1">C42</f>
        <v>0</v>
      </c>
      <c r="R71" s="2399" t="s">
        <v>2343</v>
      </c>
    </row>
    <row r="72" spans="1:18" s="2059" customFormat="1" ht="15.75" thickBot="1">
      <c r="A72" s="2096"/>
      <c r="B72" s="2097"/>
      <c r="C72" s="2097"/>
      <c r="K72" s="2086"/>
      <c r="O72" s="2401" t="s">
        <v>2364</v>
      </c>
      <c r="P72" s="2407" t="s">
        <v>2365</v>
      </c>
      <c r="Q72" s="2400">
        <f ca="1">C15</f>
        <v>0</v>
      </c>
      <c r="R72" s="2399" t="s">
        <v>2343</v>
      </c>
    </row>
    <row r="73" spans="1:18" s="2059" customFormat="1" ht="15.75" thickBot="1">
      <c r="A73" s="2096"/>
      <c r="B73" s="2097"/>
      <c r="C73" s="2097"/>
      <c r="K73" s="2086"/>
      <c r="O73" s="2401" t="s">
        <v>2366</v>
      </c>
      <c r="P73" s="2407" t="s">
        <v>2367</v>
      </c>
      <c r="Q73" s="2402">
        <f ca="1">F43</f>
        <v>0</v>
      </c>
      <c r="R73" s="2403"/>
    </row>
    <row r="74" spans="1:18" s="2059" customFormat="1" ht="15.75" thickBot="1">
      <c r="A74" s="2096"/>
      <c r="B74" s="2097"/>
      <c r="C74" s="2097"/>
      <c r="K74" s="2086"/>
      <c r="O74" s="2401" t="s">
        <v>2349</v>
      </c>
      <c r="P74" s="2399" t="s">
        <v>2356</v>
      </c>
      <c r="Q74" s="2402">
        <f>L53</f>
        <v>0</v>
      </c>
      <c r="R74" s="2403"/>
    </row>
    <row r="75" spans="1:18" s="2059" customFormat="1" ht="20.25" thickBot="1">
      <c r="A75" s="2096"/>
      <c r="B75" s="2097"/>
      <c r="C75" s="2097"/>
      <c r="K75" s="2086"/>
      <c r="O75" s="2401" t="s">
        <v>2351</v>
      </c>
      <c r="P75" s="2399" t="s">
        <v>2357</v>
      </c>
      <c r="Q75" s="2400">
        <f ca="1">L59</f>
        <v>0</v>
      </c>
      <c r="R75" s="2403" t="s">
        <v>2358</v>
      </c>
    </row>
    <row r="76" spans="1:18" s="2059" customFormat="1" ht="20.25" thickBot="1">
      <c r="A76" s="2096"/>
      <c r="B76" s="2097"/>
      <c r="C76" s="2097"/>
      <c r="K76" s="2086"/>
      <c r="O76" s="2401" t="s">
        <v>2380</v>
      </c>
      <c r="P76" s="2399" t="s">
        <v>2359</v>
      </c>
      <c r="Q76" s="2400">
        <f ca="1">L60</f>
        <v>0</v>
      </c>
      <c r="R76" s="2403" t="s">
        <v>2360</v>
      </c>
    </row>
    <row r="77" spans="1:18" s="2059" customFormat="1" ht="15.75" thickBot="1">
      <c r="A77" s="2096"/>
      <c r="B77" s="2097"/>
      <c r="C77" s="2097"/>
      <c r="K77" s="2086"/>
      <c r="O77" s="2398" t="s">
        <v>2354</v>
      </c>
      <c r="P77" s="2399" t="s">
        <v>2371</v>
      </c>
      <c r="Q77" s="2400" t="e">
        <f ca="1">Q67+Q68</f>
        <v>#DIV/0!</v>
      </c>
      <c r="R77" s="2403" t="s">
        <v>2355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9" t="s">
        <v>2539</v>
      </c>
      <c r="C1" s="3459"/>
      <c r="D1" s="3459"/>
      <c r="E1" s="3459"/>
      <c r="F1" s="3459"/>
      <c r="G1" s="3458" t="s">
        <v>2540</v>
      </c>
      <c r="H1" s="3458"/>
      <c r="I1" s="3458"/>
      <c r="J1" s="3458"/>
      <c r="K1" s="3458"/>
      <c r="L1" s="3458"/>
      <c r="N1" s="3458" t="s">
        <v>2541</v>
      </c>
      <c r="O1" s="3458"/>
      <c r="P1" s="3458"/>
      <c r="Q1" s="3458"/>
      <c r="R1" s="2654"/>
      <c r="S1" s="3458" t="s">
        <v>2542</v>
      </c>
      <c r="T1" s="3458"/>
      <c r="U1" s="3458"/>
      <c r="V1" s="3458"/>
      <c r="X1" s="3457" t="s">
        <v>2602</v>
      </c>
      <c r="Y1" s="3458"/>
      <c r="Z1" s="3458"/>
      <c r="AA1" s="3458"/>
      <c r="AB1" s="3458"/>
      <c r="AD1" s="3457" t="s">
        <v>2606</v>
      </c>
      <c r="AE1" s="3458"/>
      <c r="AF1" s="3458"/>
      <c r="AG1" s="3458"/>
      <c r="AH1" s="3458"/>
    </row>
    <row r="2" spans="1:34" s="2756" customFormat="1" ht="14.25" thickBot="1">
      <c r="B2" s="2764" t="s">
        <v>2543</v>
      </c>
      <c r="C2" s="2764" t="s">
        <v>2604</v>
      </c>
      <c r="D2" s="2757" t="s">
        <v>1610</v>
      </c>
      <c r="E2" s="2757" t="s">
        <v>1914</v>
      </c>
      <c r="F2" s="2764" t="s">
        <v>2605</v>
      </c>
      <c r="G2" s="2760"/>
      <c r="H2" s="2759"/>
      <c r="I2" s="2764" t="s">
        <v>2914</v>
      </c>
      <c r="J2" s="2757" t="s">
        <v>2916</v>
      </c>
      <c r="K2" s="2757" t="s">
        <v>2917</v>
      </c>
      <c r="L2" s="2764" t="s">
        <v>2918</v>
      </c>
      <c r="N2" s="2764" t="s">
        <v>2543</v>
      </c>
      <c r="O2" s="2757" t="s">
        <v>2915</v>
      </c>
      <c r="P2" s="2757" t="s">
        <v>1914</v>
      </c>
      <c r="Q2" s="2764" t="s">
        <v>2605</v>
      </c>
      <c r="R2" s="2758"/>
      <c r="S2" s="2764" t="s">
        <v>2543</v>
      </c>
      <c r="T2" s="2757" t="s">
        <v>2915</v>
      </c>
      <c r="U2" s="2757" t="s">
        <v>1914</v>
      </c>
      <c r="V2" s="2764" t="s">
        <v>2605</v>
      </c>
      <c r="X2" s="2764" t="s">
        <v>2543</v>
      </c>
      <c r="Y2" s="2764" t="s">
        <v>2604</v>
      </c>
      <c r="Z2" s="2757" t="s">
        <v>1610</v>
      </c>
      <c r="AA2" s="2757" t="s">
        <v>1914</v>
      </c>
      <c r="AB2" s="2764" t="s">
        <v>2605</v>
      </c>
      <c r="AD2" s="2764" t="s">
        <v>2543</v>
      </c>
      <c r="AE2" s="2764" t="s">
        <v>2604</v>
      </c>
      <c r="AF2" s="2757" t="s">
        <v>1610</v>
      </c>
      <c r="AG2" s="2757" t="s">
        <v>1914</v>
      </c>
      <c r="AH2" s="2764" t="s">
        <v>2605</v>
      </c>
    </row>
    <row r="3" spans="1:34" s="3134" customFormat="1" ht="14.25">
      <c r="A3" s="3146" t="s">
        <v>2926</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2937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4">
        <v>3</v>
      </c>
      <c r="I5" s="3128">
        <v>1.49</v>
      </c>
      <c r="J5" s="3128">
        <v>0.96</v>
      </c>
      <c r="K5" s="3128">
        <v>1.58</v>
      </c>
      <c r="L5" s="3128">
        <v>2.44</v>
      </c>
      <c r="N5" s="2762">
        <f t="shared" ref="N5" si="6">I5/100</f>
        <v>1.49E-2</v>
      </c>
      <c r="O5" s="2762">
        <f t="shared" ref="O5" si="7">J5/100</f>
        <v>9.5999999999999992E-3</v>
      </c>
      <c r="P5" s="2762">
        <f t="shared" ref="P5" si="8">K5/100</f>
        <v>1.5800000000000002E-2</v>
      </c>
      <c r="Q5" s="2762">
        <f t="shared" ref="Q5" si="9">L5/100</f>
        <v>2.4399999999999998E-2</v>
      </c>
      <c r="R5" s="3116"/>
      <c r="S5" s="3117"/>
      <c r="T5" s="3116"/>
      <c r="U5" s="3116"/>
      <c r="V5" s="3116"/>
      <c r="W5" s="3144" t="s">
        <v>2927</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1" customFormat="1" ht="13.5" thickBot="1">
      <c r="A6" s="2655" t="s">
        <v>2938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2933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2924</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2544</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2545</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937</v>
      </c>
      <c r="B12" s="2661">
        <v>392</v>
      </c>
      <c r="C12" s="2661">
        <v>302</v>
      </c>
      <c r="D12" s="2661">
        <f t="shared" si="23"/>
        <v>302</v>
      </c>
      <c r="E12" s="2661">
        <v>553</v>
      </c>
      <c r="F12" s="2662">
        <v>266</v>
      </c>
      <c r="G12" s="3456">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936</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926</v>
      </c>
      <c r="B14" s="2669">
        <f t="shared" si="44"/>
        <v>360.06949782209392</v>
      </c>
      <c r="C14" s="2669">
        <f t="shared" si="44"/>
        <v>289.84672674747821</v>
      </c>
      <c r="D14" s="2669">
        <f t="shared" si="45"/>
        <v>289.84672674747821</v>
      </c>
      <c r="E14" s="2669">
        <f t="shared" si="46"/>
        <v>501.06543001181495</v>
      </c>
      <c r="F14" s="2669">
        <f t="shared" si="46"/>
        <v>256.82882500744967</v>
      </c>
      <c r="G14" s="345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935</v>
      </c>
      <c r="B15" s="2669">
        <f t="shared" si="44"/>
        <v>346.720748986128</v>
      </c>
      <c r="C15" s="2669">
        <f t="shared" si="44"/>
        <v>284.30282172386285</v>
      </c>
      <c r="D15" s="2669">
        <f t="shared" si="45"/>
        <v>284.30282172386285</v>
      </c>
      <c r="E15" s="2669">
        <f t="shared" si="46"/>
        <v>479.58023546306947</v>
      </c>
      <c r="F15" s="2669">
        <f t="shared" si="46"/>
        <v>253.25788877571213</v>
      </c>
      <c r="G15" s="345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934</v>
      </c>
      <c r="B16" s="2661">
        <v>333</v>
      </c>
      <c r="C16" s="2661">
        <v>277</v>
      </c>
      <c r="D16" s="2661">
        <f t="shared" si="45"/>
        <v>277</v>
      </c>
      <c r="E16" s="2661">
        <v>459</v>
      </c>
      <c r="F16" s="2662">
        <v>249</v>
      </c>
      <c r="G16" s="345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933</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932</v>
      </c>
      <c r="B18" s="2669">
        <f t="shared" si="48"/>
        <v>322.34053690220776</v>
      </c>
      <c r="C18" s="2669">
        <f t="shared" si="48"/>
        <v>271.46160770422546</v>
      </c>
      <c r="D18" s="2669">
        <f t="shared" si="45"/>
        <v>271.46160770422546</v>
      </c>
      <c r="E18" s="2669">
        <f t="shared" si="49"/>
        <v>442.69434542172456</v>
      </c>
      <c r="F18" s="2669">
        <f t="shared" si="49"/>
        <v>241.34030753190925</v>
      </c>
      <c r="G18" s="345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931</v>
      </c>
      <c r="B19" s="2669">
        <f t="shared" si="48"/>
        <v>319.87748030386797</v>
      </c>
      <c r="C19" s="2669">
        <f t="shared" si="48"/>
        <v>269.60135833173649</v>
      </c>
      <c r="D19" s="2669">
        <f t="shared" si="45"/>
        <v>269.60135833173649</v>
      </c>
      <c r="E19" s="2669">
        <f t="shared" si="49"/>
        <v>439.18089823583784</v>
      </c>
      <c r="F19" s="2669">
        <f t="shared" si="49"/>
        <v>239.23503918706311</v>
      </c>
      <c r="G19" s="345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930</v>
      </c>
      <c r="B20" s="2683">
        <v>318</v>
      </c>
      <c r="C20" s="2683">
        <v>268</v>
      </c>
      <c r="D20" s="2683">
        <f t="shared" si="45"/>
        <v>268</v>
      </c>
      <c r="E20" s="2683">
        <v>437</v>
      </c>
      <c r="F20" s="2684">
        <v>237</v>
      </c>
      <c r="G20" s="345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929</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928</v>
      </c>
      <c r="B22" s="2669">
        <f t="shared" si="50"/>
        <v>314.72141172386546</v>
      </c>
      <c r="C22" s="2669">
        <f t="shared" si="50"/>
        <v>263.03901319069001</v>
      </c>
      <c r="D22" s="2669">
        <f t="shared" si="45"/>
        <v>263.03901319069001</v>
      </c>
      <c r="E22" s="2669">
        <f t="shared" si="51"/>
        <v>433.65745506782821</v>
      </c>
      <c r="F22" s="2669">
        <f t="shared" si="51"/>
        <v>233.23005080045735</v>
      </c>
      <c r="G22" s="345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927</v>
      </c>
      <c r="B23" s="2688">
        <f t="shared" si="50"/>
        <v>307.34512863658733</v>
      </c>
      <c r="C23" s="2688">
        <f t="shared" si="50"/>
        <v>257.80556031626975</v>
      </c>
      <c r="D23" s="2688">
        <f t="shared" si="45"/>
        <v>257.80556031626975</v>
      </c>
      <c r="E23" s="2688">
        <f t="shared" si="51"/>
        <v>422.70928459677179</v>
      </c>
      <c r="F23" s="2688">
        <f t="shared" si="51"/>
        <v>229.73803270336617</v>
      </c>
      <c r="G23" s="345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2603</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2546</v>
      </c>
      <c r="B24" s="2661">
        <v>299</v>
      </c>
      <c r="C24" s="2661">
        <v>252</v>
      </c>
      <c r="D24" s="2661">
        <f t="shared" si="45"/>
        <v>252</v>
      </c>
      <c r="E24" s="2661">
        <v>409</v>
      </c>
      <c r="F24" s="2662">
        <v>227</v>
      </c>
      <c r="G24" s="346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2547</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2548</v>
      </c>
      <c r="B26" s="2669">
        <f t="shared" si="54"/>
        <v>288.2649053828776</v>
      </c>
      <c r="C26" s="2669">
        <f t="shared" si="54"/>
        <v>243.64564425013293</v>
      </c>
      <c r="D26" s="2669">
        <f t="shared" si="45"/>
        <v>243.64564425013293</v>
      </c>
      <c r="E26" s="2669">
        <f t="shared" si="55"/>
        <v>393.31080825986544</v>
      </c>
      <c r="F26" s="2669">
        <f t="shared" si="55"/>
        <v>223.07903790551154</v>
      </c>
      <c r="G26" s="346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2549</v>
      </c>
      <c r="B27" s="2669">
        <f t="shared" si="54"/>
        <v>282.50186729015837</v>
      </c>
      <c r="C27" s="2669">
        <f t="shared" si="54"/>
        <v>238.09796174155468</v>
      </c>
      <c r="D27" s="2669">
        <f t="shared" si="45"/>
        <v>238.09796174155468</v>
      </c>
      <c r="E27" s="2669">
        <f t="shared" si="55"/>
        <v>385.33438646014054</v>
      </c>
      <c r="F27" s="2669">
        <f t="shared" si="55"/>
        <v>221.55034055567739</v>
      </c>
      <c r="G27" s="346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2550</v>
      </c>
      <c r="B28" s="2699">
        <v>278</v>
      </c>
      <c r="C28" s="2699">
        <v>234</v>
      </c>
      <c r="D28" s="2699">
        <f t="shared" si="45"/>
        <v>234</v>
      </c>
      <c r="E28" s="2699">
        <v>379</v>
      </c>
      <c r="F28" s="2700">
        <v>220</v>
      </c>
      <c r="G28" s="345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2551</v>
      </c>
      <c r="B29" s="2669">
        <f>B28/(1+N28)</f>
        <v>275.49301357645425</v>
      </c>
      <c r="C29" s="2669">
        <f>C28/(1+O28)</f>
        <v>232.41954707985698</v>
      </c>
      <c r="D29" s="2669">
        <f t="shared" si="45"/>
        <v>232.41954707985698</v>
      </c>
      <c r="E29" s="2669">
        <f t="shared" ref="E29:F31" si="56">E28/(1+P28)</f>
        <v>375.32184591008121</v>
      </c>
      <c r="F29" s="2669">
        <f t="shared" si="56"/>
        <v>218.03766105054513</v>
      </c>
      <c r="G29" s="345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2552</v>
      </c>
      <c r="B30" s="2669">
        <f>B29/(1+N29)</f>
        <v>275.24529281292263</v>
      </c>
      <c r="C30" s="2669">
        <f>C29/(1+O29)</f>
        <v>231.74747938962707</v>
      </c>
      <c r="D30" s="2669">
        <f t="shared" si="45"/>
        <v>231.74747938962707</v>
      </c>
      <c r="E30" s="2669">
        <f t="shared" si="56"/>
        <v>375.35938184826603</v>
      </c>
      <c r="F30" s="2669">
        <f t="shared" si="56"/>
        <v>216.78033510692495</v>
      </c>
      <c r="G30" s="345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2553</v>
      </c>
      <c r="B31" s="2669">
        <f>B30/(1+N30)</f>
        <v>275.19025476197027</v>
      </c>
      <c r="C31" s="2701">
        <v>232</v>
      </c>
      <c r="D31" s="2701">
        <f t="shared" si="45"/>
        <v>232</v>
      </c>
      <c r="E31" s="2669">
        <f t="shared" si="56"/>
        <v>375.65990977608692</v>
      </c>
      <c r="F31" s="2669">
        <f t="shared" si="56"/>
        <v>214.12518283971252</v>
      </c>
      <c r="G31" s="345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2554</v>
      </c>
      <c r="B32" s="2661">
        <v>275</v>
      </c>
      <c r="C32" s="2661">
        <v>232</v>
      </c>
      <c r="D32" s="2661">
        <f t="shared" si="45"/>
        <v>232</v>
      </c>
      <c r="E32" s="2661">
        <v>376</v>
      </c>
      <c r="F32" s="2662">
        <v>213</v>
      </c>
      <c r="G32" s="345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2555</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2556</v>
      </c>
      <c r="B34" s="2669">
        <f t="shared" si="57"/>
        <v>275.19335084830601</v>
      </c>
      <c r="C34" s="2669">
        <f t="shared" si="57"/>
        <v>230.18088050139744</v>
      </c>
      <c r="D34" s="2669">
        <f t="shared" si="45"/>
        <v>230.18088050139744</v>
      </c>
      <c r="E34" s="2669">
        <f t="shared" si="58"/>
        <v>377.58482925212331</v>
      </c>
      <c r="F34" s="2669">
        <f t="shared" si="58"/>
        <v>210.90687997847917</v>
      </c>
      <c r="G34" s="345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2557</v>
      </c>
      <c r="B35" s="2669">
        <f t="shared" si="57"/>
        <v>276.29854502841971</v>
      </c>
      <c r="C35" s="2669">
        <f t="shared" si="57"/>
        <v>229.79023709833027</v>
      </c>
      <c r="D35" s="2669">
        <f t="shared" si="45"/>
        <v>229.79023709833027</v>
      </c>
      <c r="E35" s="2669">
        <f t="shared" si="58"/>
        <v>379.78759731655936</v>
      </c>
      <c r="F35" s="2669">
        <f t="shared" si="58"/>
        <v>211.32953905659235</v>
      </c>
      <c r="G35" s="345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2558</v>
      </c>
      <c r="B36" s="2661">
        <v>269</v>
      </c>
      <c r="C36" s="2661">
        <v>221</v>
      </c>
      <c r="D36" s="2661">
        <f t="shared" si="45"/>
        <v>221</v>
      </c>
      <c r="E36" s="2661">
        <v>373</v>
      </c>
      <c r="F36" s="2662">
        <v>196</v>
      </c>
      <c r="G36" s="345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2559</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2560</v>
      </c>
      <c r="B38" s="2669">
        <f t="shared" si="59"/>
        <v>242.95398227588385</v>
      </c>
      <c r="C38" s="2669">
        <f t="shared" si="59"/>
        <v>199.59137053614126</v>
      </c>
      <c r="D38" s="2669">
        <f t="shared" si="45"/>
        <v>199.59137053614126</v>
      </c>
      <c r="E38" s="2669">
        <f t="shared" si="60"/>
        <v>335.92189522342125</v>
      </c>
      <c r="F38" s="2669">
        <f t="shared" si="60"/>
        <v>183.10139991109489</v>
      </c>
      <c r="G38" s="345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2561</v>
      </c>
      <c r="B39" s="2669">
        <f t="shared" si="59"/>
        <v>232.06990378821649</v>
      </c>
      <c r="C39" s="2669">
        <f t="shared" si="59"/>
        <v>192.74878854286936</v>
      </c>
      <c r="D39" s="2669">
        <f t="shared" si="45"/>
        <v>192.74878854286936</v>
      </c>
      <c r="E39" s="2669">
        <f t="shared" si="60"/>
        <v>319.71247284992984</v>
      </c>
      <c r="F39" s="2669">
        <f t="shared" si="60"/>
        <v>175.67053622862409</v>
      </c>
      <c r="G39" s="345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2562</v>
      </c>
      <c r="B40" s="2661">
        <v>220</v>
      </c>
      <c r="C40" s="2661">
        <v>187</v>
      </c>
      <c r="D40" s="2661">
        <f t="shared" si="45"/>
        <v>187</v>
      </c>
      <c r="E40" s="2661">
        <v>301</v>
      </c>
      <c r="F40" s="2662">
        <v>168</v>
      </c>
      <c r="G40" s="345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2563</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2564</v>
      </c>
      <c r="B42" s="2669">
        <f t="shared" si="61"/>
        <v>210.630522469011</v>
      </c>
      <c r="C42" s="2669">
        <f t="shared" si="61"/>
        <v>181.69567812247232</v>
      </c>
      <c r="D42" s="2669">
        <f t="shared" si="45"/>
        <v>181.69567812247232</v>
      </c>
      <c r="E42" s="2669">
        <f t="shared" si="62"/>
        <v>286.13517466736738</v>
      </c>
      <c r="F42" s="2669">
        <f t="shared" si="62"/>
        <v>165.47535084591149</v>
      </c>
      <c r="G42" s="345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2565</v>
      </c>
      <c r="B43" s="2669">
        <f t="shared" si="61"/>
        <v>208.83454537875372</v>
      </c>
      <c r="C43" s="2669">
        <f t="shared" si="61"/>
        <v>183.77230517090351</v>
      </c>
      <c r="D43" s="2669">
        <f t="shared" si="45"/>
        <v>183.77230517090351</v>
      </c>
      <c r="E43" s="2669">
        <f t="shared" si="62"/>
        <v>281.10342338870947</v>
      </c>
      <c r="F43" s="2669">
        <f t="shared" si="62"/>
        <v>168.97309388942256</v>
      </c>
      <c r="G43" s="345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2566</v>
      </c>
      <c r="B44" s="2699">
        <v>214</v>
      </c>
      <c r="C44" s="2699">
        <v>188</v>
      </c>
      <c r="D44" s="2699">
        <f t="shared" si="45"/>
        <v>188</v>
      </c>
      <c r="E44" s="2699">
        <v>289</v>
      </c>
      <c r="F44" s="2700">
        <v>166</v>
      </c>
      <c r="G44" s="345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2567</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2568</v>
      </c>
      <c r="B46" s="2669">
        <f t="shared" si="63"/>
        <v>206.31694671589116</v>
      </c>
      <c r="C46" s="2669">
        <f t="shared" si="63"/>
        <v>183.61041121036101</v>
      </c>
      <c r="D46" s="2669">
        <f t="shared" si="45"/>
        <v>183.61041121036101</v>
      </c>
      <c r="E46" s="2669">
        <f t="shared" si="64"/>
        <v>276.66850301795557</v>
      </c>
      <c r="F46" s="2669">
        <f t="shared" si="64"/>
        <v>165.1360938278614</v>
      </c>
      <c r="G46" s="345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2569</v>
      </c>
      <c r="B47" s="2702">
        <f t="shared" si="63"/>
        <v>196.62341248059772</v>
      </c>
      <c r="C47" s="2702">
        <f t="shared" si="63"/>
        <v>170.99125648199012</v>
      </c>
      <c r="D47" s="2702">
        <f t="shared" si="45"/>
        <v>170.99125648199012</v>
      </c>
      <c r="E47" s="2702">
        <f t="shared" si="64"/>
        <v>266.07857570490052</v>
      </c>
      <c r="F47" s="2702">
        <f t="shared" si="64"/>
        <v>154.53499328828505</v>
      </c>
      <c r="G47" s="345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2570</v>
      </c>
      <c r="B48" s="2661">
        <v>188</v>
      </c>
      <c r="C48" s="2661">
        <v>165</v>
      </c>
      <c r="D48" s="2661">
        <f t="shared" si="45"/>
        <v>165</v>
      </c>
      <c r="E48" s="2661">
        <v>254</v>
      </c>
      <c r="F48" s="2662">
        <v>148</v>
      </c>
      <c r="G48" s="345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2571</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2572</v>
      </c>
      <c r="B50" s="2669">
        <f t="shared" si="67"/>
        <v>168.82017748715555</v>
      </c>
      <c r="C50" s="2669">
        <f t="shared" si="67"/>
        <v>148.06267029972753</v>
      </c>
      <c r="D50" s="2669">
        <f t="shared" si="45"/>
        <v>148.06267029972753</v>
      </c>
      <c r="E50" s="2669">
        <f t="shared" si="68"/>
        <v>216.46288379323747</v>
      </c>
      <c r="F50" s="2669">
        <f t="shared" si="68"/>
        <v>134.23529411764704</v>
      </c>
      <c r="G50" s="345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2573</v>
      </c>
      <c r="B51" s="2669">
        <f t="shared" si="67"/>
        <v>163.84913591779542</v>
      </c>
      <c r="C51" s="2669">
        <f t="shared" si="67"/>
        <v>145.0283378746594</v>
      </c>
      <c r="D51" s="2669">
        <f t="shared" si="45"/>
        <v>145.0283378746594</v>
      </c>
      <c r="E51" s="2669">
        <f t="shared" si="68"/>
        <v>204.95180722891567</v>
      </c>
      <c r="F51" s="2669">
        <f t="shared" si="68"/>
        <v>125.95920303605313</v>
      </c>
      <c r="G51" s="345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2574</v>
      </c>
      <c r="B52" s="2683">
        <v>159</v>
      </c>
      <c r="C52" s="2683">
        <v>141</v>
      </c>
      <c r="D52" s="2683">
        <f t="shared" si="45"/>
        <v>141</v>
      </c>
      <c r="E52" s="2683">
        <v>195</v>
      </c>
      <c r="F52" s="2684">
        <v>122</v>
      </c>
      <c r="G52" s="345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2575</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2576</v>
      </c>
      <c r="B54" s="2669">
        <f t="shared" si="71"/>
        <v>146.57412060301507</v>
      </c>
      <c r="C54" s="2669">
        <f t="shared" si="71"/>
        <v>136.46831955922866</v>
      </c>
      <c r="D54" s="2669">
        <f t="shared" si="45"/>
        <v>136.46831955922866</v>
      </c>
      <c r="E54" s="2669">
        <f t="shared" si="72"/>
        <v>166.73864894795128</v>
      </c>
      <c r="F54" s="2669">
        <f t="shared" si="72"/>
        <v>115.05882352941177</v>
      </c>
      <c r="G54" s="345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2577</v>
      </c>
      <c r="B55" s="2669">
        <f t="shared" si="71"/>
        <v>144.04145728643215</v>
      </c>
      <c r="C55" s="2669">
        <f t="shared" si="71"/>
        <v>136.12396694214877</v>
      </c>
      <c r="D55" s="2669">
        <f t="shared" si="45"/>
        <v>136.12396694214877</v>
      </c>
      <c r="E55" s="2669">
        <f t="shared" si="72"/>
        <v>158.32225913621264</v>
      </c>
      <c r="F55" s="2669">
        <f t="shared" si="72"/>
        <v>114.04278074866311</v>
      </c>
      <c r="G55" s="345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2578</v>
      </c>
      <c r="B56" s="2683">
        <v>138</v>
      </c>
      <c r="C56" s="2683">
        <v>131</v>
      </c>
      <c r="D56" s="2683">
        <f t="shared" si="45"/>
        <v>131</v>
      </c>
      <c r="E56" s="2683">
        <v>155</v>
      </c>
      <c r="F56" s="2684">
        <v>114</v>
      </c>
      <c r="G56" s="345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2579</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2580</v>
      </c>
      <c r="B58" s="2669">
        <f t="shared" si="75"/>
        <v>124.29032258064517</v>
      </c>
      <c r="C58" s="2669">
        <f t="shared" si="75"/>
        <v>123.8968609865471</v>
      </c>
      <c r="D58" s="2669">
        <f t="shared" si="45"/>
        <v>123.8968609865471</v>
      </c>
      <c r="E58" s="2669">
        <f t="shared" si="76"/>
        <v>138.00507614213197</v>
      </c>
      <c r="F58" s="2669">
        <f t="shared" si="76"/>
        <v>107.96106557377048</v>
      </c>
      <c r="G58" s="345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2581</v>
      </c>
      <c r="B59" s="2669">
        <f t="shared" si="75"/>
        <v>122.57204301075269</v>
      </c>
      <c r="C59" s="2669">
        <f t="shared" si="75"/>
        <v>123.4932735426009</v>
      </c>
      <c r="D59" s="2669">
        <f t="shared" si="45"/>
        <v>123.4932735426009</v>
      </c>
      <c r="E59" s="2669">
        <f t="shared" si="76"/>
        <v>129.82233502538071</v>
      </c>
      <c r="F59" s="2669">
        <f t="shared" si="76"/>
        <v>107.39446721311475</v>
      </c>
      <c r="G59" s="345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2582</v>
      </c>
      <c r="B60" s="2699">
        <v>121</v>
      </c>
      <c r="C60" s="2699">
        <v>122</v>
      </c>
      <c r="D60" s="2699">
        <f t="shared" si="45"/>
        <v>122</v>
      </c>
      <c r="E60" s="2699">
        <v>124</v>
      </c>
      <c r="F60" s="2700">
        <v>107</v>
      </c>
      <c r="G60" s="345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2583</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2584</v>
      </c>
      <c r="B62" s="2669">
        <f t="shared" si="79"/>
        <v>116.99099099099099</v>
      </c>
      <c r="C62" s="2669">
        <f t="shared" si="79"/>
        <v>118.84848484848486</v>
      </c>
      <c r="D62" s="2669">
        <f t="shared" si="45"/>
        <v>118.84848484848486</v>
      </c>
      <c r="E62" s="2669">
        <f t="shared" si="80"/>
        <v>117.60960960960961</v>
      </c>
      <c r="F62" s="2669">
        <f t="shared" si="80"/>
        <v>104</v>
      </c>
      <c r="G62" s="345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2585</v>
      </c>
      <c r="B63" s="2702">
        <f t="shared" si="79"/>
        <v>112.48648648648648</v>
      </c>
      <c r="C63" s="2702">
        <f t="shared" si="79"/>
        <v>115.21212121212122</v>
      </c>
      <c r="D63" s="2702">
        <f t="shared" si="45"/>
        <v>115.21212121212122</v>
      </c>
      <c r="E63" s="2702">
        <f t="shared" si="80"/>
        <v>110.4024024024024</v>
      </c>
      <c r="F63" s="2702">
        <f t="shared" si="80"/>
        <v>104</v>
      </c>
      <c r="G63" s="345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2586</v>
      </c>
      <c r="B64" s="2720">
        <v>111</v>
      </c>
      <c r="C64" s="2720">
        <v>114</v>
      </c>
      <c r="D64" s="2720">
        <f t="shared" si="45"/>
        <v>114</v>
      </c>
      <c r="E64" s="2720">
        <v>108</v>
      </c>
      <c r="F64" s="2721">
        <v>104</v>
      </c>
      <c r="G64" s="3453">
        <v>2003</v>
      </c>
      <c r="H64" s="2710">
        <v>4</v>
      </c>
      <c r="I64" s="2722"/>
      <c r="J64" s="2722"/>
      <c r="K64" s="2722"/>
      <c r="L64" s="2722"/>
      <c r="N64" s="2723"/>
      <c r="O64" s="2722"/>
      <c r="P64" s="2722"/>
      <c r="Q64" s="2722"/>
      <c r="S64" s="2723"/>
      <c r="T64" s="2722"/>
      <c r="U64" s="2722"/>
      <c r="V64" s="2722"/>
      <c r="X64" s="2714"/>
      <c r="Y64" s="2714"/>
      <c r="Z64" s="2714"/>
    </row>
    <row r="65" spans="1:26">
      <c r="A65" s="2655" t="s">
        <v>2587</v>
      </c>
      <c r="B65" s="2724">
        <f t="shared" ref="B65:C67" si="81">B66+(B$64-B$68)/4</f>
        <v>109.75</v>
      </c>
      <c r="C65" s="2724">
        <f t="shared" si="81"/>
        <v>112.25</v>
      </c>
      <c r="D65" s="2724">
        <f t="shared" si="45"/>
        <v>112.25</v>
      </c>
      <c r="E65" s="2724">
        <f t="shared" ref="E65:F67" si="82">E66+(E$64-E$68)/4</f>
        <v>107.25</v>
      </c>
      <c r="F65" s="2724">
        <f t="shared" si="82"/>
        <v>103.5</v>
      </c>
      <c r="G65" s="3454">
        <v>2003</v>
      </c>
      <c r="H65" s="2680">
        <v>3</v>
      </c>
      <c r="I65" s="2722"/>
      <c r="J65" s="2722"/>
      <c r="K65" s="2722"/>
      <c r="L65" s="2722"/>
      <c r="X65" s="2714"/>
      <c r="Y65" s="2714"/>
      <c r="Z65" s="2714"/>
    </row>
    <row r="66" spans="1:26">
      <c r="A66" s="2655" t="s">
        <v>2588</v>
      </c>
      <c r="B66" s="2724">
        <f t="shared" si="81"/>
        <v>108.5</v>
      </c>
      <c r="C66" s="2724">
        <f t="shared" si="81"/>
        <v>110.5</v>
      </c>
      <c r="D66" s="2724">
        <f t="shared" si="45"/>
        <v>110.5</v>
      </c>
      <c r="E66" s="2724">
        <f t="shared" si="82"/>
        <v>106.5</v>
      </c>
      <c r="F66" s="2724">
        <f t="shared" si="82"/>
        <v>103</v>
      </c>
      <c r="G66" s="3454">
        <v>2003</v>
      </c>
      <c r="H66" s="2660">
        <v>2</v>
      </c>
      <c r="I66" s="2722"/>
      <c r="J66" s="2722"/>
      <c r="K66" s="2722"/>
      <c r="L66" s="2722"/>
      <c r="X66" s="2714"/>
      <c r="Y66" s="2714"/>
      <c r="Z66" s="2714"/>
    </row>
    <row r="67" spans="1:26" ht="13.5" thickBot="1">
      <c r="A67" s="2655" t="s">
        <v>2589</v>
      </c>
      <c r="B67" s="2724">
        <f t="shared" si="81"/>
        <v>107.25</v>
      </c>
      <c r="C67" s="2724">
        <f t="shared" si="81"/>
        <v>108.75</v>
      </c>
      <c r="D67" s="2724">
        <f t="shared" si="45"/>
        <v>108.75</v>
      </c>
      <c r="E67" s="2724">
        <f t="shared" si="82"/>
        <v>105.75</v>
      </c>
      <c r="F67" s="2724">
        <f t="shared" si="82"/>
        <v>102.5</v>
      </c>
      <c r="G67" s="3455">
        <v>2003</v>
      </c>
      <c r="H67" s="2725">
        <v>1</v>
      </c>
      <c r="I67" s="2722"/>
      <c r="J67" s="2722"/>
      <c r="K67" s="2722"/>
      <c r="L67" s="2722"/>
      <c r="S67" s="2664"/>
      <c r="T67" s="2665"/>
      <c r="U67" s="2665"/>
      <c r="X67" s="2714"/>
      <c r="Y67" s="2714"/>
      <c r="Z67" s="2714"/>
    </row>
    <row r="68" spans="1:26" ht="13.5" thickBot="1">
      <c r="A68" s="2655" t="s">
        <v>2590</v>
      </c>
      <c r="B68" s="2726">
        <v>106</v>
      </c>
      <c r="C68" s="2726">
        <v>107</v>
      </c>
      <c r="D68" s="2726">
        <f t="shared" si="45"/>
        <v>107</v>
      </c>
      <c r="E68" s="2726">
        <v>105</v>
      </c>
      <c r="F68" s="2727">
        <v>102</v>
      </c>
      <c r="G68" s="3453">
        <v>2002</v>
      </c>
      <c r="H68" s="2675">
        <v>4</v>
      </c>
      <c r="I68" s="2722"/>
      <c r="J68" s="2722"/>
      <c r="K68" s="2722"/>
      <c r="L68" s="2722"/>
      <c r="N68" s="2723"/>
      <c r="O68" s="2722"/>
      <c r="P68" s="2722"/>
      <c r="Q68" s="2722"/>
      <c r="S68" s="2723"/>
      <c r="T68" s="2722"/>
      <c r="U68" s="2722"/>
      <c r="V68" s="2722"/>
      <c r="X68" s="2714"/>
      <c r="Y68" s="2714"/>
      <c r="Z68" s="2714"/>
    </row>
    <row r="69" spans="1:26">
      <c r="A69" s="2655" t="s">
        <v>2591</v>
      </c>
      <c r="B69" s="2724">
        <f t="shared" ref="B69:C71" si="83">B70+(B$68-B$72)/4</f>
        <v>105</v>
      </c>
      <c r="C69" s="2724">
        <f t="shared" si="83"/>
        <v>106</v>
      </c>
      <c r="D69" s="2724">
        <f t="shared" si="45"/>
        <v>106</v>
      </c>
      <c r="E69" s="2724">
        <f t="shared" ref="E69:F71" si="84">E70+(E$68-E$72)/4</f>
        <v>104.5</v>
      </c>
      <c r="F69" s="2724">
        <f t="shared" si="84"/>
        <v>101.5</v>
      </c>
      <c r="G69" s="3454">
        <v>2002</v>
      </c>
      <c r="H69" s="2680">
        <v>3</v>
      </c>
      <c r="I69" s="2722"/>
      <c r="J69" s="2722"/>
      <c r="K69" s="2722"/>
      <c r="L69" s="2722"/>
      <c r="X69" s="2714"/>
      <c r="Y69" s="2714"/>
      <c r="Z69" s="2714"/>
    </row>
    <row r="70" spans="1:26">
      <c r="A70" s="2655" t="s">
        <v>2592</v>
      </c>
      <c r="B70" s="2724">
        <f t="shared" si="83"/>
        <v>104</v>
      </c>
      <c r="C70" s="2724">
        <f t="shared" si="83"/>
        <v>105</v>
      </c>
      <c r="D70" s="2724">
        <f t="shared" si="45"/>
        <v>105</v>
      </c>
      <c r="E70" s="2724">
        <f t="shared" si="84"/>
        <v>104</v>
      </c>
      <c r="F70" s="2724">
        <f t="shared" si="84"/>
        <v>101</v>
      </c>
      <c r="G70" s="3454">
        <v>2002</v>
      </c>
      <c r="H70" s="2660">
        <v>2</v>
      </c>
      <c r="I70" s="2722"/>
      <c r="J70" s="2722"/>
      <c r="K70" s="2722"/>
      <c r="L70" s="2722"/>
      <c r="X70" s="2714"/>
      <c r="Y70" s="2714"/>
      <c r="Z70" s="2714"/>
    </row>
    <row r="71" spans="1:26" s="2691" customFormat="1" ht="13.5" thickBot="1">
      <c r="A71" s="2687" t="s">
        <v>2593</v>
      </c>
      <c r="B71" s="2728">
        <f t="shared" si="83"/>
        <v>103</v>
      </c>
      <c r="C71" s="2728">
        <f t="shared" si="83"/>
        <v>104</v>
      </c>
      <c r="D71" s="2728">
        <f t="shared" si="45"/>
        <v>104</v>
      </c>
      <c r="E71" s="2728">
        <f t="shared" si="84"/>
        <v>103.5</v>
      </c>
      <c r="F71" s="2728">
        <f t="shared" si="84"/>
        <v>100.5</v>
      </c>
      <c r="G71" s="345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2594</v>
      </c>
      <c r="G74" s="2738"/>
      <c r="N74" s="2738"/>
      <c r="S74" s="2738"/>
    </row>
    <row r="75" spans="1:26" s="2737" customFormat="1">
      <c r="A75" s="2737" t="s">
        <v>2595</v>
      </c>
      <c r="G75" s="2738"/>
      <c r="N75" s="2738"/>
      <c r="S75" s="2738"/>
    </row>
    <row r="76" spans="1:26" s="2737" customFormat="1">
      <c r="A76" s="2737" t="s">
        <v>2596</v>
      </c>
      <c r="G76" s="2738"/>
      <c r="I76" s="2739"/>
      <c r="J76" s="2739"/>
      <c r="K76" s="2739"/>
      <c r="L76" s="2739"/>
      <c r="N76" s="2740"/>
      <c r="O76" s="2739"/>
      <c r="P76" s="2739"/>
      <c r="Q76" s="2739"/>
      <c r="S76" s="2740"/>
      <c r="T76" s="2739"/>
      <c r="U76" s="2739"/>
      <c r="V76" s="2739"/>
    </row>
    <row r="77" spans="1:26" s="2737" customFormat="1">
      <c r="A77" s="2737" t="s">
        <v>2597</v>
      </c>
      <c r="G77" s="2738"/>
      <c r="N77" s="2738"/>
      <c r="S77" s="2738"/>
    </row>
    <row r="84" spans="7:22" ht="13.5" thickBot="1"/>
    <row r="85" spans="7:22">
      <c r="G85" s="2663"/>
      <c r="S85" s="2741" t="s">
        <v>2598</v>
      </c>
      <c r="T85" s="2742" t="s">
        <v>2599</v>
      </c>
      <c r="U85" s="2742" t="s">
        <v>2600</v>
      </c>
      <c r="V85" s="2742" t="s">
        <v>2601</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56.25">
      <c r="A7" s="1795" t="s">
        <v>2709</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2900</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18.75">
      <c r="A21" s="1791" t="s">
        <v>2037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本次估价对象为出让国有建设用地使用权，《国有土地使用证》证载土地终止日期为商业2045年4月1日、办公2055年4月1日。截至估价期日，出让国有建设用地使用权剩余土地使用年限为。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G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c r="D1" s="3125" t="s">
        <v>918</v>
      </c>
      <c r="E1" s="2387" t="s">
        <v>2337</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1689</v>
      </c>
      <c r="B2" s="774" t="e">
        <f ca="1">C40+J29+L46</f>
        <v>#DIV/0!</v>
      </c>
      <c r="C2" s="2057"/>
      <c r="D2" s="2055"/>
      <c r="E2" s="2056"/>
      <c r="F2" s="2056"/>
      <c r="G2" s="1589"/>
      <c r="H2" s="2057"/>
      <c r="I2" s="2057"/>
      <c r="J2" s="2057"/>
      <c r="K2" s="2058"/>
      <c r="L2" s="2057"/>
      <c r="M2" s="2057"/>
    </row>
    <row r="3" spans="1:33" ht="18" customHeight="1" thickBot="1">
      <c r="A3" s="832" t="s">
        <v>1690</v>
      </c>
      <c r="B3" s="833">
        <f ca="1">IF(ISERROR(B2*10000/F43),0,ROUND(B2*10000/F43,0))</f>
        <v>0</v>
      </c>
      <c r="C3" s="2057"/>
      <c r="D3" s="2055"/>
      <c r="E3" s="2056"/>
      <c r="F3" s="2056"/>
      <c r="G3" s="1589"/>
      <c r="H3" s="775" t="s">
        <v>661</v>
      </c>
      <c r="I3" s="1362"/>
      <c r="J3" s="1362"/>
      <c r="K3" s="1590"/>
      <c r="L3" s="1362"/>
      <c r="M3" s="1362"/>
    </row>
    <row r="4" spans="1:33" ht="18" customHeight="1">
      <c r="A4" s="776" t="s">
        <v>1691</v>
      </c>
      <c r="B4" s="777" t="s">
        <v>1692</v>
      </c>
      <c r="C4" s="777" t="s">
        <v>1693</v>
      </c>
      <c r="D4" s="777" t="s">
        <v>599</v>
      </c>
      <c r="E4" s="778" t="s">
        <v>1694</v>
      </c>
      <c r="F4" s="779"/>
      <c r="G4" s="1591"/>
      <c r="H4" s="776" t="s">
        <v>1695</v>
      </c>
      <c r="I4" s="777" t="s">
        <v>1696</v>
      </c>
      <c r="J4" s="777" t="s">
        <v>1697</v>
      </c>
      <c r="K4" s="777" t="s">
        <v>1698</v>
      </c>
      <c r="L4" s="778" t="s">
        <v>1699</v>
      </c>
      <c r="M4" s="779"/>
    </row>
    <row r="5" spans="1:33" ht="18" customHeight="1">
      <c r="A5" s="780">
        <v>1</v>
      </c>
      <c r="B5" s="781" t="s">
        <v>2421</v>
      </c>
      <c r="C5" s="55">
        <f ca="1">C6+C10+C12</f>
        <v>0</v>
      </c>
      <c r="D5" s="2496" t="s">
        <v>2424</v>
      </c>
      <c r="E5" s="2490"/>
      <c r="F5" s="2491"/>
      <c r="G5" s="1591"/>
      <c r="H5" s="780">
        <v>1</v>
      </c>
      <c r="I5" s="781" t="s">
        <v>2421</v>
      </c>
      <c r="J5" s="55">
        <f ca="1">J6+J10+J12</f>
        <v>0</v>
      </c>
      <c r="K5" s="2496" t="s">
        <v>2424</v>
      </c>
      <c r="L5" s="2490"/>
      <c r="M5" s="2491"/>
    </row>
    <row r="6" spans="1:33" ht="18" customHeight="1">
      <c r="A6" s="1830" t="s">
        <v>1787</v>
      </c>
      <c r="B6" s="3447" t="s">
        <v>2426</v>
      </c>
      <c r="C6" s="782">
        <f ca="1">ROUND(F6*F8*F7*(1-F9)/10000,0)</f>
        <v>0</v>
      </c>
      <c r="D6" s="2497" t="s">
        <v>2425</v>
      </c>
      <c r="E6" s="783" t="s">
        <v>1701</v>
      </c>
      <c r="F6" s="784">
        <f ca="1">INDIRECT("'数据-取费表'!u"&amp;$G$1)</f>
        <v>0</v>
      </c>
      <c r="G6" s="1591"/>
      <c r="H6" s="2504" t="s">
        <v>2431</v>
      </c>
      <c r="I6" s="3447" t="s">
        <v>2426</v>
      </c>
      <c r="J6" s="782">
        <f ca="1">ROUND(M6*M8*M7*(1-M9)/10000,0)</f>
        <v>0</v>
      </c>
      <c r="K6" s="341" t="s">
        <v>1700</v>
      </c>
      <c r="L6" s="783" t="s">
        <v>1701</v>
      </c>
      <c r="M6" s="784">
        <f ca="1">INDIRECT("'数据-取费表'!z"&amp;$G$1)</f>
        <v>0</v>
      </c>
    </row>
    <row r="7" spans="1:33" ht="18" customHeight="1">
      <c r="A7" s="2500"/>
      <c r="B7" s="3448"/>
      <c r="C7" s="787"/>
      <c r="D7" s="788"/>
      <c r="E7" s="783" t="s">
        <v>1702</v>
      </c>
      <c r="F7" s="784">
        <f ca="1">IF(INDIRECT("'数据-取费表'!ah"&amp;$G$1)="",INDIRECT("'数据-取费表'!k"&amp;$G$1),INDIRECT("'数据-取费表'!ah"&amp;$G$1))</f>
        <v>0</v>
      </c>
      <c r="G7" s="1591"/>
      <c r="H7" s="2489"/>
      <c r="I7" s="3448"/>
      <c r="J7" s="787"/>
      <c r="K7" s="788"/>
      <c r="L7" s="783" t="s">
        <v>1702</v>
      </c>
      <c r="M7" s="784">
        <f ca="1">F7</f>
        <v>0</v>
      </c>
    </row>
    <row r="8" spans="1:33" ht="18" customHeight="1">
      <c r="A8" s="2493"/>
      <c r="B8" s="3449"/>
      <c r="C8" s="787"/>
      <c r="D8" s="788"/>
      <c r="E8" s="783" t="s">
        <v>1703</v>
      </c>
      <c r="F8" s="784">
        <f ca="1">INDIRECT("'数据-取费表'!ai"&amp;$G$1)</f>
        <v>0</v>
      </c>
      <c r="G8" s="1591"/>
      <c r="H8" s="2489"/>
      <c r="I8" s="3449"/>
      <c r="J8" s="787"/>
      <c r="K8" s="788"/>
      <c r="L8" s="783" t="s">
        <v>1703</v>
      </c>
      <c r="M8" s="784">
        <f ca="1">INDIRECT("'数据-取费表'!ai"&amp;$G$1)</f>
        <v>0</v>
      </c>
    </row>
    <row r="9" spans="1:33" ht="18" customHeight="1">
      <c r="A9" s="785"/>
      <c r="B9" s="3450"/>
      <c r="C9" s="787"/>
      <c r="D9" s="788"/>
      <c r="E9" s="783" t="s">
        <v>1704</v>
      </c>
      <c r="F9" s="793">
        <f ca="1">INDIRECT("'数据-取费表'!w"&amp;$G$1)</f>
        <v>0</v>
      </c>
      <c r="G9" s="1591"/>
      <c r="H9" s="2505"/>
      <c r="I9" s="3449"/>
      <c r="J9" s="787"/>
      <c r="K9" s="788"/>
      <c r="L9" s="794" t="s">
        <v>1704</v>
      </c>
      <c r="M9" s="795">
        <f ca="1">INDIRECT("'数据-取费表'!ab"&amp;$G$1)</f>
        <v>0</v>
      </c>
    </row>
    <row r="10" spans="1:33" ht="18" customHeight="1">
      <c r="A10" s="1830" t="s">
        <v>2429</v>
      </c>
      <c r="B10" s="2494" t="s">
        <v>2422</v>
      </c>
      <c r="C10" s="798">
        <f ca="1">ROUND(IF(F10="押一",C6/12*F11,IF(F10="押二",C6/12*2*F11,IF(F10="押三",C6/12*3*F11,C11*F11))),0)</f>
        <v>0</v>
      </c>
      <c r="D10" s="2501" t="s">
        <v>2931</v>
      </c>
      <c r="E10" s="2498" t="s">
        <v>2427</v>
      </c>
      <c r="F10" s="2621"/>
      <c r="G10" s="1591"/>
      <c r="H10" s="2561" t="s">
        <v>2432</v>
      </c>
      <c r="I10" s="2566" t="s">
        <v>2422</v>
      </c>
      <c r="J10" s="782">
        <f ca="1">ROUND(IF(M10="押一",J6/12*M11,IF(M10="押二",J6/12*2*M11,IF(M10="押三",J6/12*3*M11,J11*M11))),0)</f>
        <v>0</v>
      </c>
      <c r="K10" s="2501" t="s">
        <v>2931</v>
      </c>
      <c r="L10" s="2498" t="s">
        <v>2427</v>
      </c>
      <c r="M10" s="2621"/>
    </row>
    <row r="11" spans="1:33" ht="18" customHeight="1">
      <c r="A11" s="789"/>
      <c r="B11" s="2495" t="s">
        <v>2536</v>
      </c>
      <c r="C11" s="2499"/>
      <c r="D11" s="788"/>
      <c r="E11" s="2498" t="s">
        <v>2428</v>
      </c>
      <c r="F11" s="795">
        <f ca="1">'数据-取费表'!B39</f>
        <v>1.4999999999999999E-2</v>
      </c>
      <c r="G11" s="1591"/>
      <c r="H11" s="2562"/>
      <c r="I11" s="2495" t="s">
        <v>2536</v>
      </c>
      <c r="J11" s="2499"/>
      <c r="K11" s="2563"/>
      <c r="L11" s="2498" t="s">
        <v>2428</v>
      </c>
      <c r="M11" s="2492">
        <f ca="1">'数据-取费表'!B39</f>
        <v>1.4999999999999999E-2</v>
      </c>
    </row>
    <row r="12" spans="1:33" ht="18" customHeight="1" thickBot="1">
      <c r="A12" s="2537" t="s">
        <v>2430</v>
      </c>
      <c r="B12" s="2538" t="s">
        <v>2423</v>
      </c>
      <c r="C12" s="2539"/>
      <c r="D12" s="2540"/>
      <c r="E12" s="2541"/>
      <c r="F12" s="2542"/>
      <c r="G12" s="1591"/>
      <c r="H12" s="2551" t="s">
        <v>2433</v>
      </c>
      <c r="I12" s="2564" t="s">
        <v>2423</v>
      </c>
      <c r="J12" s="2565"/>
      <c r="K12" s="2540"/>
      <c r="L12" s="2541"/>
      <c r="M12" s="2554"/>
    </row>
    <row r="13" spans="1:33" ht="18" customHeight="1" thickTop="1">
      <c r="A13" s="1829">
        <v>2</v>
      </c>
      <c r="B13" s="1827" t="s">
        <v>1705</v>
      </c>
      <c r="C13" s="791">
        <f ca="1">ROUND(C29*F13,0)</f>
        <v>0</v>
      </c>
      <c r="D13" s="1834" t="s">
        <v>2260</v>
      </c>
      <c r="E13" s="1834" t="s">
        <v>1707</v>
      </c>
      <c r="F13" s="2536">
        <f ca="1">INDIRECT("'数据-取费表'!y"&amp;$G$1)</f>
        <v>0</v>
      </c>
      <c r="G13" s="1591"/>
      <c r="H13" s="1829">
        <v>2</v>
      </c>
      <c r="I13" s="1827" t="s">
        <v>1705</v>
      </c>
      <c r="J13" s="1819">
        <f ca="1">ROUND(J14*J15,0)</f>
        <v>0</v>
      </c>
      <c r="K13" s="1821" t="s">
        <v>1706</v>
      </c>
      <c r="L13" s="2552"/>
      <c r="M13" s="2553"/>
    </row>
    <row r="14" spans="1:33" ht="18" customHeight="1">
      <c r="A14" s="1647" t="s">
        <v>1847</v>
      </c>
      <c r="B14" s="783" t="s">
        <v>611</v>
      </c>
      <c r="C14" s="803">
        <f ca="1">INDIRECT("'数据-取费表'!m"&amp;$G$1)+INDIRECT("'数据-取费表'!t"&amp;$G$1)</f>
        <v>0</v>
      </c>
      <c r="D14" s="1979" t="s">
        <v>1708</v>
      </c>
      <c r="E14" s="1980"/>
      <c r="F14" s="804"/>
      <c r="G14" s="1591"/>
      <c r="H14" s="1648" t="s">
        <v>1793</v>
      </c>
      <c r="I14" s="2231" t="s">
        <v>2788</v>
      </c>
      <c r="J14" s="53">
        <f ca="1">C29</f>
        <v>0</v>
      </c>
      <c r="K14" s="26"/>
      <c r="L14" s="800"/>
      <c r="M14" s="801"/>
    </row>
    <row r="15" spans="1:33" s="2064" customFormat="1" ht="18" customHeight="1" thickBot="1">
      <c r="A15" s="1647" t="s">
        <v>1848</v>
      </c>
      <c r="B15" s="783" t="s">
        <v>613</v>
      </c>
      <c r="C15" s="53">
        <f ca="1">ROUND(C14*F15,0)</f>
        <v>0</v>
      </c>
      <c r="D15" s="805" t="s">
        <v>1709</v>
      </c>
      <c r="E15" s="805" t="s">
        <v>1710</v>
      </c>
      <c r="F15" s="806">
        <f>'数据-取费表'!B33</f>
        <v>0.05</v>
      </c>
      <c r="G15" s="1592"/>
      <c r="H15" s="2551" t="s">
        <v>1852</v>
      </c>
      <c r="I15" s="2546" t="s">
        <v>1707</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1849</v>
      </c>
      <c r="B16" s="783" t="s">
        <v>616</v>
      </c>
      <c r="C16" s="53">
        <f ca="1">ROUND(INDIRECT("'数据-取费表'!m"&amp;$G$1)*F16,0)</f>
        <v>0</v>
      </c>
      <c r="D16" s="783" t="s">
        <v>1709</v>
      </c>
      <c r="E16" s="783" t="s">
        <v>1710</v>
      </c>
      <c r="F16" s="808">
        <f ca="1">IF(INDIRECT("'数据-取费表'!c"&amp;$G$1)="住宅",'数据-取费表'!B34,0)</f>
        <v>0</v>
      </c>
      <c r="G16" s="1591"/>
      <c r="H16" s="1829" t="s">
        <v>1711</v>
      </c>
      <c r="I16" s="1827" t="s">
        <v>1712</v>
      </c>
      <c r="J16" s="791">
        <f ca="1">ROUND(J17+J22+J23+J24,0)</f>
        <v>0</v>
      </c>
      <c r="K16" s="1821" t="s">
        <v>1713</v>
      </c>
      <c r="L16" s="2486"/>
      <c r="M16" s="2491"/>
    </row>
    <row r="17" spans="1:33" s="2064" customFormat="1" ht="18" customHeight="1">
      <c r="A17" s="1647" t="s">
        <v>1850</v>
      </c>
      <c r="B17" s="783" t="s">
        <v>619</v>
      </c>
      <c r="C17" s="53">
        <f ca="1">ROUND(F17*(F43+INDIRECT("'数据-取费表'!S"&amp;$G$1))/10000,0)</f>
        <v>0</v>
      </c>
      <c r="D17" s="783" t="s">
        <v>1714</v>
      </c>
      <c r="E17" s="783" t="s">
        <v>1715</v>
      </c>
      <c r="F17" s="56">
        <f>'数据-取费表'!B35</f>
        <v>200</v>
      </c>
      <c r="G17" s="1592"/>
      <c r="H17" s="1648" t="s">
        <v>1793</v>
      </c>
      <c r="I17" s="783" t="s">
        <v>622</v>
      </c>
      <c r="J17" s="53">
        <f ca="1">ROUND(IF(项目基本情况!B11="自然人",J5*M17,J18+J19+J20),0)</f>
        <v>0</v>
      </c>
      <c r="K17" s="2485" t="s">
        <v>1716</v>
      </c>
      <c r="L17" s="2484" t="s">
        <v>1717</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1851</v>
      </c>
      <c r="B18" s="783" t="s">
        <v>625</v>
      </c>
      <c r="C18" s="53">
        <f ca="1">ROUND(C14*F18,0)</f>
        <v>0</v>
      </c>
      <c r="D18" s="783" t="s">
        <v>1709</v>
      </c>
      <c r="E18" s="783" t="s">
        <v>1710</v>
      </c>
      <c r="F18" s="808">
        <f>'数据-取费表'!B36</f>
        <v>1.4999999999999999E-2</v>
      </c>
      <c r="G18" s="1592"/>
      <c r="H18" s="1647" t="s">
        <v>1847</v>
      </c>
      <c r="I18" s="783" t="s">
        <v>1718</v>
      </c>
      <c r="J18" s="53">
        <f ca="1">ROUND(J5*M18/1.05,1)</f>
        <v>0</v>
      </c>
      <c r="K18" s="2484" t="s">
        <v>1719</v>
      </c>
      <c r="L18" s="783" t="s">
        <v>1710</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1793</v>
      </c>
      <c r="B19" s="783" t="s">
        <v>628</v>
      </c>
      <c r="C19" s="53">
        <f ca="1">SUM(C14:C18)</f>
        <v>0</v>
      </c>
      <c r="D19" s="261" t="s">
        <v>1720</v>
      </c>
      <c r="E19" s="1982"/>
      <c r="F19" s="56"/>
      <c r="G19" s="1591"/>
      <c r="H19" s="1647" t="s">
        <v>1848</v>
      </c>
      <c r="I19" s="783" t="s">
        <v>1721</v>
      </c>
      <c r="J19" s="53">
        <f ca="1">IF(K19="按租金收入计税",ROUND(J5*M19,1),ROUND(C29*F33*0.7,1))</f>
        <v>0</v>
      </c>
      <c r="K19" s="810" t="s">
        <v>631</v>
      </c>
      <c r="L19" s="783" t="s">
        <v>1710</v>
      </c>
      <c r="M19" s="808">
        <f>IF(K19="按租金收入计税",'数据-取费表'!B51,'数据-取费表'!B50)</f>
        <v>1.2E-2</v>
      </c>
    </row>
    <row r="20" spans="1:33" s="2064" customFormat="1" ht="18" customHeight="1">
      <c r="A20" s="1648" t="s">
        <v>1852</v>
      </c>
      <c r="B20" s="783" t="s">
        <v>632</v>
      </c>
      <c r="C20" s="53">
        <f ca="1">ROUND(C19*F20,0)</f>
        <v>0</v>
      </c>
      <c r="D20" s="811" t="s">
        <v>1722</v>
      </c>
      <c r="E20" s="783" t="s">
        <v>1710</v>
      </c>
      <c r="F20" s="808">
        <f>'数据-取费表'!B37</f>
        <v>0.03</v>
      </c>
      <c r="G20" s="1592"/>
      <c r="H20" s="1650" t="s">
        <v>1843</v>
      </c>
      <c r="I20" s="341" t="s">
        <v>1723</v>
      </c>
      <c r="J20" s="54">
        <f ca="1">ROUND(M20*M21/10000,0)</f>
        <v>0</v>
      </c>
      <c r="K20" s="813" t="s">
        <v>1724</v>
      </c>
      <c r="L20" s="783" t="s">
        <v>1725</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1853</v>
      </c>
      <c r="B21" s="783" t="s">
        <v>1726</v>
      </c>
      <c r="C21" s="53" t="s">
        <v>1727</v>
      </c>
      <c r="D21" s="811" t="s">
        <v>2261</v>
      </c>
      <c r="E21" s="783" t="s">
        <v>1728</v>
      </c>
      <c r="F21" s="808">
        <f>'数据-取费表'!B38</f>
        <v>0.03</v>
      </c>
      <c r="G21" s="1592"/>
      <c r="H21" s="2506"/>
      <c r="I21" s="792"/>
      <c r="J21" s="69"/>
      <c r="K21" s="815"/>
      <c r="L21" s="783" t="s">
        <v>1729</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1854</v>
      </c>
      <c r="B22" s="783" t="s">
        <v>1730</v>
      </c>
      <c r="C22" s="53"/>
      <c r="D22" s="2572" t="str">
        <f>IF(F23&lt;=1,"单利计息。","复利计息。")&amp;"建造成本、管理费用、销售费用产生的利息。"</f>
        <v>复利计息。建造成本、管理费用、销售费用产生的利息。</v>
      </c>
      <c r="E22" s="1982"/>
      <c r="F22" s="56"/>
      <c r="G22" s="1591"/>
      <c r="H22" s="1648" t="s">
        <v>1852</v>
      </c>
      <c r="I22" s="783" t="s">
        <v>1731</v>
      </c>
      <c r="J22" s="53">
        <f ca="1">ROUND(J14*M22,0)</f>
        <v>0</v>
      </c>
      <c r="K22" s="2484" t="s">
        <v>1732</v>
      </c>
      <c r="L22" s="783" t="s">
        <v>1710</v>
      </c>
      <c r="M22" s="816">
        <f ca="1">INDIRECT("'数据-取费表'!Ak"&amp;$G$1)</f>
        <v>0</v>
      </c>
    </row>
    <row r="23" spans="1:33" s="2064" customFormat="1" ht="18" customHeight="1">
      <c r="A23" s="1647" t="s">
        <v>1794</v>
      </c>
      <c r="B23" s="783" t="s">
        <v>2498</v>
      </c>
      <c r="C23" s="53">
        <f ca="1">ROUND(IF('数据-取费表'!B22&lt;=1,(C19+C20)*F24*F23/2,(C19+C20)*(POWER((1+F24),F23/2)-1)),0)</f>
        <v>0</v>
      </c>
      <c r="D23" s="2571" t="str">
        <f>IF(F23&lt;=1,"(建造成本+管理费用)×利率×(建设周期÷2)","(建造成本+管理费用)×((1+利率)^(建设周期÷2)-1)")</f>
        <v>(建造成本+管理费用)×((1+利率)^(建设周期÷2)-1)</v>
      </c>
      <c r="E23" s="783" t="s">
        <v>1733</v>
      </c>
      <c r="F23" s="639">
        <f>'数据-取费表'!B20</f>
        <v>3</v>
      </c>
      <c r="G23" s="1592"/>
      <c r="H23" s="1648" t="s">
        <v>1853</v>
      </c>
      <c r="I23" s="783" t="s">
        <v>645</v>
      </c>
      <c r="J23" s="53">
        <f ca="1">ROUND(J13*M23,0)</f>
        <v>0</v>
      </c>
      <c r="K23" s="2484" t="s">
        <v>1734</v>
      </c>
      <c r="L23" s="783" t="s">
        <v>1710</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1795</v>
      </c>
      <c r="B24" s="783" t="s">
        <v>1735</v>
      </c>
      <c r="C24" s="53">
        <f ca="1">ROUND(IF('数据-取费表'!B22&lt;=1,F21*F24*F23/2,F21*(POWER((1+F24),F23/2)-1)),4)</f>
        <v>2.2000000000000001E-3</v>
      </c>
      <c r="D24" s="2571" t="str">
        <f>IF(F23&lt;=1,"销售费用×利率×(建设周期÷2)","销售费用×((1+利率)^(建设周期÷2)-1)")</f>
        <v>销售费用×((1+利率)^(建设周期÷2)-1)</v>
      </c>
      <c r="E24" s="783" t="s">
        <v>1736</v>
      </c>
      <c r="F24" s="818">
        <f ca="1">'数据-取费表'!B40</f>
        <v>4.7500000000000001E-2</v>
      </c>
      <c r="G24" s="1592"/>
      <c r="H24" s="2551" t="s">
        <v>1854</v>
      </c>
      <c r="I24" s="2546" t="s">
        <v>632</v>
      </c>
      <c r="J24" s="2544">
        <f ca="1">ROUND(J5*M24,0)</f>
        <v>0</v>
      </c>
      <c r="K24" s="2545" t="s">
        <v>1737</v>
      </c>
      <c r="L24" s="2546" t="s">
        <v>1710</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1803</v>
      </c>
      <c r="B25" s="783" t="s">
        <v>650</v>
      </c>
      <c r="C25" s="53"/>
      <c r="D25" s="261" t="s">
        <v>1738</v>
      </c>
      <c r="E25" s="1982"/>
      <c r="F25" s="56"/>
      <c r="G25" s="1591"/>
      <c r="H25" s="1829" t="s">
        <v>1739</v>
      </c>
      <c r="I25" s="3010" t="s">
        <v>2784</v>
      </c>
      <c r="J25" s="791">
        <f ca="1">J5-J16</f>
        <v>0</v>
      </c>
      <c r="K25" s="2548" t="s">
        <v>1740</v>
      </c>
      <c r="L25" s="2549"/>
      <c r="M25" s="2550"/>
    </row>
    <row r="26" spans="1:33" ht="18" customHeight="1">
      <c r="A26" s="1647" t="s">
        <v>1794</v>
      </c>
      <c r="B26" s="783" t="s">
        <v>2401</v>
      </c>
      <c r="C26" s="53">
        <f ca="1">ROUND((C19+C20)*F26,0)</f>
        <v>0</v>
      </c>
      <c r="D26" s="811" t="s">
        <v>1741</v>
      </c>
      <c r="E26" s="794" t="s">
        <v>1742</v>
      </c>
      <c r="F26" s="793">
        <f ca="1">INDIRECT("'数据-取费表'!q"&amp;$G$1)</f>
        <v>0</v>
      </c>
      <c r="G26" s="1591"/>
      <c r="H26" s="2502" t="s">
        <v>1743</v>
      </c>
      <c r="I26" s="2232" t="s">
        <v>2789</v>
      </c>
      <c r="J26" s="782">
        <f ca="1">IF(J5&lt;&gt;0,ROUND(J25*(1-((1+M28)/(1+M26))^M27)/(M26-M28),0),0)</f>
        <v>0</v>
      </c>
      <c r="K26" s="813" t="s">
        <v>1744</v>
      </c>
      <c r="L26" s="783" t="s">
        <v>2382</v>
      </c>
      <c r="M26" s="793">
        <f ca="1">INDIRECT("'数据-取费表'!I"&amp;$G$1)</f>
        <v>0</v>
      </c>
    </row>
    <row r="27" spans="1:33" ht="18" customHeight="1">
      <c r="A27" s="1647" t="s">
        <v>1795</v>
      </c>
      <c r="B27" s="783" t="s">
        <v>652</v>
      </c>
      <c r="C27" s="53">
        <f ca="1">ROUND(F21*F26,4)</f>
        <v>0</v>
      </c>
      <c r="D27" s="811" t="s">
        <v>1745</v>
      </c>
      <c r="E27" s="805"/>
      <c r="F27" s="806"/>
      <c r="G27" s="1591"/>
      <c r="H27" s="2503"/>
      <c r="I27" s="786"/>
      <c r="J27" s="787"/>
      <c r="K27" s="820" t="s">
        <v>1746</v>
      </c>
      <c r="L27" s="783" t="s">
        <v>1747</v>
      </c>
      <c r="M27" s="821">
        <f ca="1">INDIRECT("'数据-取费表'!ag"&amp;$G$1)</f>
        <v>0</v>
      </c>
    </row>
    <row r="28" spans="1:33" s="2064" customFormat="1" ht="18" customHeight="1">
      <c r="A28" s="1649" t="s">
        <v>1804</v>
      </c>
      <c r="B28" s="783" t="s">
        <v>653</v>
      </c>
      <c r="C28" s="53">
        <f>ROUND(F28/(1+'数据-取费表'!C42),4)</f>
        <v>5.33E-2</v>
      </c>
      <c r="D28" s="811" t="s">
        <v>2262</v>
      </c>
      <c r="E28" s="783" t="s">
        <v>1748</v>
      </c>
      <c r="F28" s="808">
        <f>'数据-取费表'!B41</f>
        <v>5.6000000000000001E-2</v>
      </c>
      <c r="G28" s="1592"/>
      <c r="H28" s="1829"/>
      <c r="I28" s="790"/>
      <c r="J28" s="791"/>
      <c r="K28" s="815"/>
      <c r="L28" s="783" t="s">
        <v>1749</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1855</v>
      </c>
      <c r="B29" s="2541" t="s">
        <v>2263</v>
      </c>
      <c r="C29" s="2544">
        <f ca="1">ROUND((C19+C20+C23+C26)/(1-F21-C24-C27-C28),0)</f>
        <v>0</v>
      </c>
      <c r="D29" s="2545"/>
      <c r="E29" s="2546"/>
      <c r="F29" s="2547"/>
      <c r="G29" s="1592"/>
      <c r="H29" s="822" t="s">
        <v>1750</v>
      </c>
      <c r="I29" s="823" t="s">
        <v>1751</v>
      </c>
      <c r="J29" s="824">
        <f ca="1">ROUND(J26/(1+F40)^F41,0)</f>
        <v>0</v>
      </c>
      <c r="K29" s="825" t="s">
        <v>1752</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1856</v>
      </c>
      <c r="B30" s="1827" t="s">
        <v>1753</v>
      </c>
      <c r="C30" s="791">
        <f ca="1">ROUND(C31+C36+C37+C38,0)</f>
        <v>0</v>
      </c>
      <c r="D30" s="1821" t="s">
        <v>1754</v>
      </c>
      <c r="E30" s="2486"/>
      <c r="F30" s="2491"/>
      <c r="G30" s="2062"/>
      <c r="H30" s="2065"/>
      <c r="I30" s="2066"/>
      <c r="J30" s="2067"/>
      <c r="K30" s="2068"/>
      <c r="L30" s="2069"/>
      <c r="M30" s="2070"/>
    </row>
    <row r="31" spans="1:33" ht="18" customHeight="1">
      <c r="A31" s="1648" t="s">
        <v>1793</v>
      </c>
      <c r="B31" s="783" t="s">
        <v>622</v>
      </c>
      <c r="C31" s="53">
        <f ca="1">ROUND(IF(项目基本情况!B11="自然人",C5*F31,C32+C33+C34),1)</f>
        <v>0</v>
      </c>
      <c r="D31" s="1979" t="s">
        <v>1755</v>
      </c>
      <c r="E31" s="1977" t="s">
        <v>1756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1794</v>
      </c>
      <c r="B32" s="783" t="s">
        <v>1757</v>
      </c>
      <c r="C32" s="53">
        <f ca="1">ROUND(C5*F32/1.05,1)</f>
        <v>0</v>
      </c>
      <c r="D32" s="1977" t="s">
        <v>1758</v>
      </c>
      <c r="E32" s="783" t="s">
        <v>1759</v>
      </c>
      <c r="F32" s="808">
        <f>'数据-取费表'!B41</f>
        <v>5.6000000000000001E-2</v>
      </c>
      <c r="G32" s="2062"/>
      <c r="H32" s="2071"/>
      <c r="I32" s="2072"/>
      <c r="J32" s="2073"/>
      <c r="K32" s="2074"/>
      <c r="L32" s="2075"/>
      <c r="M32" s="2076"/>
    </row>
    <row r="33" spans="1:18" ht="18" customHeight="1">
      <c r="A33" s="1647" t="s">
        <v>1795</v>
      </c>
      <c r="B33" s="783" t="s">
        <v>1760</v>
      </c>
      <c r="C33" s="53">
        <f ca="1">IF(D33="按租金收入计税",ROUND(C5*F33,1),IF(D33="按房产原值计税",ROUND(C29*F33*0.7,1),INDIRECT("'数据-取费表'!Aj"&amp;$G$1)))</f>
        <v>0</v>
      </c>
      <c r="D33" s="810" t="s">
        <v>1646</v>
      </c>
      <c r="E33" s="783" t="s">
        <v>1759</v>
      </c>
      <c r="F33" s="808">
        <f>IF(D33="按租金收入计税",'数据-取费表'!B51,'数据-取费表'!B50)</f>
        <v>1.2E-2</v>
      </c>
      <c r="G33" s="2062"/>
      <c r="H33" s="2077"/>
      <c r="I33" s="2077"/>
      <c r="J33" s="2077"/>
      <c r="K33" s="2078"/>
      <c r="L33" s="2077"/>
      <c r="M33" s="2077"/>
    </row>
    <row r="34" spans="1:18" ht="18" customHeight="1">
      <c r="A34" s="1650" t="s">
        <v>1796</v>
      </c>
      <c r="B34" s="341" t="s">
        <v>1761</v>
      </c>
      <c r="C34" s="54">
        <f ca="1">ROUND(F34*F35/10000,1)</f>
        <v>0</v>
      </c>
      <c r="D34" s="813" t="s">
        <v>1762</v>
      </c>
      <c r="E34" s="783" t="s">
        <v>1763</v>
      </c>
      <c r="F34" s="639">
        <f>'数据-取费表'!B52</f>
        <v>8</v>
      </c>
      <c r="G34" s="2062"/>
      <c r="H34" s="2065"/>
      <c r="I34" s="834" t="s">
        <v>1776</v>
      </c>
      <c r="J34" s="835"/>
      <c r="K34" s="2080"/>
      <c r="L34" s="2079"/>
      <c r="M34" s="2079"/>
    </row>
    <row r="35" spans="1:18" ht="18" customHeight="1">
      <c r="A35" s="814"/>
      <c r="B35" s="792"/>
      <c r="C35" s="69"/>
      <c r="D35" s="815"/>
      <c r="E35" s="783" t="s">
        <v>1764</v>
      </c>
      <c r="F35" s="784">
        <f ca="1">INDIRECT("'数据-取费表'!r"&amp;$G$1)</f>
        <v>0</v>
      </c>
      <c r="G35" s="2062"/>
      <c r="H35" s="2065"/>
      <c r="I35" s="836" t="s">
        <v>1777</v>
      </c>
      <c r="J35" s="837">
        <f ca="1">ROUND(C13*J36,0)</f>
        <v>0</v>
      </c>
      <c r="K35" s="2078"/>
      <c r="L35" s="2077"/>
      <c r="M35" s="2077"/>
    </row>
    <row r="36" spans="1:18" ht="18" customHeight="1">
      <c r="A36" s="1648" t="s">
        <v>1852</v>
      </c>
      <c r="B36" s="783" t="s">
        <v>1765</v>
      </c>
      <c r="C36" s="53">
        <f ca="1">ROUND(C29*F36,1)</f>
        <v>0</v>
      </c>
      <c r="D36" s="1977" t="s">
        <v>1766</v>
      </c>
      <c r="E36" s="783" t="s">
        <v>1759</v>
      </c>
      <c r="F36" s="816">
        <f ca="1">INDIRECT("'数据-取费表'!Ak"&amp;$G$1)</f>
        <v>0</v>
      </c>
      <c r="G36" s="2062"/>
      <c r="H36" s="2077"/>
      <c r="I36" s="838" t="s">
        <v>1778</v>
      </c>
      <c r="J36" s="839">
        <f ca="1">INDIRECT("'数据-取费表'!j"&amp;$G$1)</f>
        <v>0</v>
      </c>
      <c r="K36" s="2082"/>
      <c r="L36" s="2077"/>
      <c r="M36" s="2077"/>
    </row>
    <row r="37" spans="1:18" ht="18" customHeight="1">
      <c r="A37" s="1648" t="s">
        <v>1853</v>
      </c>
      <c r="B37" s="783" t="s">
        <v>645</v>
      </c>
      <c r="C37" s="53">
        <f ca="1">ROUND(C13*F37,1)</f>
        <v>0</v>
      </c>
      <c r="D37" s="1977" t="s">
        <v>1767</v>
      </c>
      <c r="E37" s="783" t="s">
        <v>1759</v>
      </c>
      <c r="F37" s="817">
        <f ca="1">INDIRECT("'数据-取费表'!Al"&amp;$G$1)</f>
        <v>0</v>
      </c>
      <c r="G37" s="2062"/>
      <c r="H37" s="2077"/>
      <c r="I37" s="840" t="s">
        <v>1779</v>
      </c>
      <c r="J37" s="841"/>
      <c r="K37" s="2082"/>
      <c r="L37" s="2077"/>
      <c r="M37" s="2077"/>
    </row>
    <row r="38" spans="1:18" ht="18" customHeight="1" thickBot="1">
      <c r="A38" s="2551" t="s">
        <v>1854</v>
      </c>
      <c r="B38" s="2546" t="s">
        <v>632</v>
      </c>
      <c r="C38" s="2544">
        <f ca="1">ROUND(C5*F38,1)</f>
        <v>0</v>
      </c>
      <c r="D38" s="2545" t="s">
        <v>1768</v>
      </c>
      <c r="E38" s="2546" t="s">
        <v>1759</v>
      </c>
      <c r="F38" s="2542">
        <f ca="1">INDIRECT("'数据-取费表'!Am"&amp;$G$1)</f>
        <v>0</v>
      </c>
      <c r="G38" s="2062"/>
      <c r="H38" s="2077"/>
      <c r="I38" s="842" t="s">
        <v>1780</v>
      </c>
      <c r="J38" s="843"/>
      <c r="K38" s="2083"/>
      <c r="L38" s="2077"/>
      <c r="M38" s="2077"/>
    </row>
    <row r="39" spans="1:18" ht="24.6" customHeight="1" thickTop="1">
      <c r="A39" s="1829" t="s">
        <v>1857</v>
      </c>
      <c r="B39" s="3010" t="s">
        <v>2784</v>
      </c>
      <c r="C39" s="791">
        <f ca="1">C5-C30</f>
        <v>0</v>
      </c>
      <c r="D39" s="2548" t="s">
        <v>1769</v>
      </c>
      <c r="E39" s="2549"/>
      <c r="F39" s="2550"/>
      <c r="G39" s="2062"/>
      <c r="H39" s="2077"/>
      <c r="I39" s="836" t="s">
        <v>1781</v>
      </c>
      <c r="J39" s="844" t="e">
        <f ca="1">ROUND(J35/C39,3)</f>
        <v>#DIV/0!</v>
      </c>
      <c r="K39" s="2083"/>
      <c r="L39" s="2077"/>
      <c r="M39" s="2077"/>
    </row>
    <row r="40" spans="1:18" ht="18" customHeight="1">
      <c r="A40" s="780" t="s">
        <v>1858</v>
      </c>
      <c r="B40" s="2232" t="s">
        <v>2264</v>
      </c>
      <c r="C40" s="782" t="e">
        <f ca="1">ROUND(C39*(1-((1+F42)/(1+F40))^F41)/(F40-F42),0)</f>
        <v>#DIV/0!</v>
      </c>
      <c r="D40" s="813" t="s">
        <v>1770</v>
      </c>
      <c r="E40" s="783" t="s">
        <v>2382</v>
      </c>
      <c r="F40" s="793">
        <f ca="1">INDIRECT("'数据-取费表'!I"&amp;$G$1)</f>
        <v>0</v>
      </c>
      <c r="G40" s="2062"/>
      <c r="H40" s="2062"/>
      <c r="I40" s="836" t="s">
        <v>1782</v>
      </c>
      <c r="J40" s="844" t="e">
        <f ca="1">1-J39</f>
        <v>#DIV/0!</v>
      </c>
      <c r="K40" s="2083"/>
      <c r="L40" s="2062"/>
      <c r="M40" s="2062"/>
    </row>
    <row r="41" spans="1:18" ht="18" customHeight="1">
      <c r="A41" s="785"/>
      <c r="B41" s="786"/>
      <c r="C41" s="787"/>
      <c r="D41" s="820" t="s">
        <v>1771</v>
      </c>
      <c r="E41" s="783" t="s">
        <v>2921</v>
      </c>
      <c r="F41" s="821">
        <f ca="1">IF(INDIRECT("'数据-取费表'!af"&amp;$G$1)=0,INDIRECT("'数据-取费表'!ae"&amp;$G$1),INDIRECT("'数据-取费表'!af"&amp;$G$1))</f>
        <v>0</v>
      </c>
      <c r="G41" s="2062"/>
      <c r="H41" s="1988"/>
      <c r="I41" s="842" t="s">
        <v>1783</v>
      </c>
      <c r="J41" s="845"/>
      <c r="K41" s="2082"/>
      <c r="L41" s="1988"/>
      <c r="M41" s="1988"/>
    </row>
    <row r="42" spans="1:18" ht="18" customHeight="1">
      <c r="A42" s="789"/>
      <c r="B42" s="790"/>
      <c r="C42" s="791"/>
      <c r="D42" s="815"/>
      <c r="E42" s="783" t="s">
        <v>1772</v>
      </c>
      <c r="F42" s="793">
        <f ca="1">INDIRECT("'数据-取费表'!v"&amp;$G$1)</f>
        <v>0</v>
      </c>
      <c r="G42" s="2062"/>
      <c r="H42" s="1988"/>
      <c r="I42" s="846" t="s">
        <v>1784</v>
      </c>
      <c r="J42" s="844" t="e">
        <f ca="1">ROUND(C13/C40,3)</f>
        <v>#DIV/0!</v>
      </c>
      <c r="K42" s="2082"/>
      <c r="L42" s="1988"/>
      <c r="M42" s="1988"/>
    </row>
    <row r="43" spans="1:18" ht="18" customHeight="1" thickBot="1">
      <c r="A43" s="822" t="s">
        <v>1750</v>
      </c>
      <c r="B43" s="823" t="s">
        <v>1773</v>
      </c>
      <c r="C43" s="824" t="e">
        <f ca="1">ROUND(C40*10000/F43,0)</f>
        <v>#DIV/0!</v>
      </c>
      <c r="D43" s="825" t="s">
        <v>1774</v>
      </c>
      <c r="E43" s="826" t="s">
        <v>1775</v>
      </c>
      <c r="F43" s="827">
        <f ca="1">INDIRECT("'数据-取费表'!k"&amp;$G$1)</f>
        <v>0</v>
      </c>
      <c r="G43" s="2062"/>
      <c r="H43" s="1988"/>
      <c r="I43" s="846" t="s">
        <v>1785</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2258</v>
      </c>
      <c r="B46" s="2085"/>
      <c r="C46" s="2574" t="e">
        <f ca="1">C67-C40</f>
        <v>#DIV/0!</v>
      </c>
      <c r="D46" s="2085"/>
      <c r="E46" s="2085"/>
      <c r="F46" s="2085"/>
      <c r="I46" s="2378" t="s">
        <v>2306</v>
      </c>
      <c r="J46" s="2379"/>
      <c r="K46" s="2380"/>
      <c r="L46" s="3160" t="e">
        <f ca="1">IF(OR(M47="住宅",D1="土地（套用方法）"),0,IF(L48&gt;J51,L60,J60))</f>
        <v>#DIV/0!</v>
      </c>
      <c r="O46" s="2394" t="s">
        <v>2373</v>
      </c>
      <c r="P46" s="1591"/>
      <c r="Q46" s="1603"/>
      <c r="R46" s="1591"/>
    </row>
    <row r="47" spans="1:18" s="2059" customFormat="1" ht="18" customHeight="1" thickBot="1">
      <c r="A47" s="2372">
        <v>1</v>
      </c>
      <c r="B47" s="2373" t="s">
        <v>601</v>
      </c>
      <c r="C47" s="2574">
        <f ca="1">C48+C52+C54</f>
        <v>0</v>
      </c>
      <c r="D47" s="2085"/>
      <c r="E47" s="2085"/>
      <c r="F47" s="2085"/>
      <c r="I47" s="3150" t="s">
        <v>2307</v>
      </c>
      <c r="J47" s="2381"/>
      <c r="K47" s="3157" t="s">
        <v>2312</v>
      </c>
      <c r="L47" s="3161">
        <f ca="1">INDIRECT("'数据-取费表'!d"&amp;$G$1)</f>
        <v>0</v>
      </c>
      <c r="M47" s="1603" t="str">
        <f>IF(ISNUMBER(FIND("住宅",C1)),"住宅","非住宅")</f>
        <v>非住宅</v>
      </c>
      <c r="O47" s="2395" t="s">
        <v>2338</v>
      </c>
      <c r="P47" s="2396" t="s">
        <v>2339</v>
      </c>
      <c r="Q47" s="2397" t="s">
        <v>2340</v>
      </c>
      <c r="R47" s="2396" t="s">
        <v>2341</v>
      </c>
    </row>
    <row r="48" spans="1:18" s="2059" customFormat="1" ht="18" customHeight="1" thickBot="1">
      <c r="A48" s="2642" t="s">
        <v>2500</v>
      </c>
      <c r="B48" s="2643" t="s">
        <v>2501</v>
      </c>
      <c r="C48" s="2374">
        <f ca="1">ROUND(F48*F50*F49*(1-F51)/10000,0)</f>
        <v>0</v>
      </c>
      <c r="D48" s="2375" t="s">
        <v>602</v>
      </c>
      <c r="E48" s="2376" t="s">
        <v>2259</v>
      </c>
      <c r="F48" s="2377"/>
      <c r="G48" s="2090"/>
      <c r="I48" s="3126" t="s">
        <v>2308</v>
      </c>
      <c r="J48" s="2382"/>
      <c r="K48" s="3158" t="s">
        <v>2314</v>
      </c>
      <c r="L48" s="1908">
        <f ca="1">INDIRECT("'数据-取费表'!f"&amp;$G$1)</f>
        <v>0</v>
      </c>
      <c r="O48" s="2398" t="s">
        <v>2342</v>
      </c>
      <c r="P48" s="2399" t="s">
        <v>2368</v>
      </c>
      <c r="Q48" s="2400" t="e">
        <f ca="1">C40+J29</f>
        <v>#DIV/0!</v>
      </c>
      <c r="R48" s="2399" t="s">
        <v>2343</v>
      </c>
    </row>
    <row r="49" spans="1:18" s="2059" customFormat="1" ht="18" customHeight="1" thickBot="1">
      <c r="A49" s="785"/>
      <c r="B49" s="786"/>
      <c r="C49" s="787"/>
      <c r="D49" s="788"/>
      <c r="E49" s="783" t="s">
        <v>1702</v>
      </c>
      <c r="F49" s="784">
        <f ca="1">F7</f>
        <v>0</v>
      </c>
      <c r="G49" s="2090"/>
      <c r="H49" s="2093"/>
      <c r="I49" s="3126" t="s">
        <v>2309</v>
      </c>
      <c r="J49" s="2383"/>
      <c r="K49" s="3159" t="s">
        <v>2315</v>
      </c>
      <c r="L49" s="2384"/>
      <c r="O49" s="2398" t="s">
        <v>2344</v>
      </c>
      <c r="P49" s="2399" t="s">
        <v>2369</v>
      </c>
      <c r="Q49" s="2400" t="e">
        <f ca="1">J60</f>
        <v>#DIV/0!</v>
      </c>
      <c r="R49" s="2399" t="s">
        <v>2345</v>
      </c>
    </row>
    <row r="50" spans="1:18" s="2059" customFormat="1" ht="18" customHeight="1" thickBot="1">
      <c r="A50" s="785"/>
      <c r="B50" s="786"/>
      <c r="C50" s="787"/>
      <c r="D50" s="788"/>
      <c r="E50" s="783" t="s">
        <v>1703</v>
      </c>
      <c r="F50" s="784">
        <f ca="1">F8</f>
        <v>0</v>
      </c>
      <c r="G50" s="2095"/>
      <c r="H50" s="2093"/>
      <c r="I50" s="3126" t="s">
        <v>2310</v>
      </c>
      <c r="J50" s="3154">
        <f>SUMPRODUCT((I63:I65=J47)*(J62:L62=J48)*(J63:L65))</f>
        <v>0</v>
      </c>
      <c r="K50" s="3159" t="s">
        <v>2316</v>
      </c>
      <c r="L50" s="2384"/>
      <c r="O50" s="2401" t="s">
        <v>2346</v>
      </c>
      <c r="P50" s="2399" t="s">
        <v>2370</v>
      </c>
      <c r="Q50" s="2400">
        <f ca="1">C29</f>
        <v>0</v>
      </c>
      <c r="R50" s="2399" t="s">
        <v>2343</v>
      </c>
    </row>
    <row r="51" spans="1:18" s="2059" customFormat="1" ht="18" customHeight="1" thickBot="1">
      <c r="A51" s="785"/>
      <c r="B51" s="786"/>
      <c r="C51" s="787"/>
      <c r="D51" s="788"/>
      <c r="E51" s="783" t="s">
        <v>606</v>
      </c>
      <c r="F51" s="2371"/>
      <c r="H51" s="2093"/>
      <c r="I51" s="3151" t="s">
        <v>2311</v>
      </c>
      <c r="J51" s="3155">
        <f>IF(J49="",J50,J49+J50-YEAR('数据-取费表'!B2))</f>
        <v>0</v>
      </c>
      <c r="K51" s="3126" t="s">
        <v>2317</v>
      </c>
      <c r="L51" s="3162">
        <f ca="1">ROUND(-PV(INDIRECT("'数据-取费表'!h"&amp;$G$1),L48,(C39-C13*J36),0),0)</f>
        <v>0</v>
      </c>
      <c r="O51" s="2401" t="s">
        <v>2347</v>
      </c>
      <c r="P51" s="2399" t="s">
        <v>2348</v>
      </c>
      <c r="Q51" s="2402" t="e">
        <f ca="1">J58</f>
        <v>#DIV/0!</v>
      </c>
      <c r="R51" s="2403"/>
    </row>
    <row r="52" spans="1:18" s="2059" customFormat="1" ht="18" customHeight="1" thickBot="1">
      <c r="A52" s="780" t="s">
        <v>2499</v>
      </c>
      <c r="B52" s="2494" t="s">
        <v>2422</v>
      </c>
      <c r="C52" s="798">
        <f ca="1">ROUND(IF(F52="押一",C48/12*F11,IF(F52="押二",C48/12*2*F11,IF(F52="押三",C48/12*3*F11,C53*F11))),0)</f>
        <v>0</v>
      </c>
      <c r="D52" s="2501" t="s">
        <v>2932</v>
      </c>
      <c r="E52" s="2498" t="s">
        <v>2427</v>
      </c>
      <c r="F52" s="2621"/>
      <c r="I52" s="3152" t="s">
        <v>2384</v>
      </c>
      <c r="J52" s="2385"/>
      <c r="K52" s="3152" t="s">
        <v>2383</v>
      </c>
      <c r="L52" s="2385"/>
      <c r="O52" s="2401" t="s">
        <v>2349</v>
      </c>
      <c r="P52" s="2399" t="s">
        <v>2350</v>
      </c>
      <c r="Q52" s="2402">
        <f>J52</f>
        <v>0</v>
      </c>
      <c r="R52" s="2403"/>
    </row>
    <row r="53" spans="1:18" s="2059" customFormat="1" ht="39.75" customHeight="1" thickBot="1">
      <c r="A53" s="785"/>
      <c r="B53" s="2495" t="s">
        <v>2536</v>
      </c>
      <c r="C53" s="2499"/>
      <c r="D53" s="2501"/>
      <c r="E53" s="2498"/>
      <c r="F53" s="799"/>
      <c r="I53" s="3153" t="s">
        <v>2936</v>
      </c>
      <c r="J53" s="3156">
        <f ca="1">IF(M47="住宅",IF(D1="——",MAX(J51,L48),MAX(J51,L48-'数据-取费表'!B20)),IF(D1="——",MIN(J51,L48),MIN(J51,L48-'数据-取费表'!B20)))</f>
        <v>0</v>
      </c>
      <c r="K53" s="3463" t="s">
        <v>2923</v>
      </c>
      <c r="L53" s="3464"/>
      <c r="O53" s="2401" t="s">
        <v>2351</v>
      </c>
      <c r="P53" s="2399" t="s">
        <v>2352</v>
      </c>
      <c r="Q53" s="2400">
        <f ca="1">J53</f>
        <v>0</v>
      </c>
      <c r="R53" s="2399" t="s">
        <v>2353</v>
      </c>
    </row>
    <row r="54" spans="1:18" s="2059" customFormat="1" ht="18" customHeight="1" thickBot="1">
      <c r="A54" s="2537" t="s">
        <v>2430</v>
      </c>
      <c r="B54" s="2538" t="s">
        <v>2423</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2354</v>
      </c>
      <c r="P54" s="2399" t="s">
        <v>2371</v>
      </c>
      <c r="Q54" s="2400" t="e">
        <f ca="1">Q48+Q49</f>
        <v>#DIV/0!</v>
      </c>
      <c r="R54" s="2403" t="s">
        <v>2355</v>
      </c>
    </row>
    <row r="55" spans="1:18" s="2059" customFormat="1" ht="18" customHeight="1" thickTop="1" thickBot="1">
      <c r="A55" s="796">
        <v>2</v>
      </c>
      <c r="B55" s="797" t="s">
        <v>610</v>
      </c>
      <c r="C55" s="798">
        <f ca="1">C13</f>
        <v>0</v>
      </c>
      <c r="D55" s="794"/>
      <c r="E55" s="794"/>
      <c r="F55" s="799"/>
      <c r="I55" s="3165" t="s">
        <v>2318</v>
      </c>
      <c r="J55" s="3101" t="e">
        <f ca="1">ROUND(IF(J47="钢混",J57/J50,1-(1-2%)*(J50-J57)/J50),3)</f>
        <v>#DIV/0!</v>
      </c>
      <c r="K55" s="3166" t="s">
        <v>2319</v>
      </c>
      <c r="L55" s="2386"/>
      <c r="O55" s="2404" t="s">
        <v>2374</v>
      </c>
      <c r="P55" s="1591"/>
      <c r="Q55" s="1603"/>
      <c r="R55" s="1591"/>
    </row>
    <row r="56" spans="1:18" s="2059" customFormat="1" ht="42.75" customHeight="1" thickBot="1">
      <c r="A56" s="1649"/>
      <c r="B56" s="2231" t="s">
        <v>2265</v>
      </c>
      <c r="C56" s="53">
        <f ca="1">C29</f>
        <v>0</v>
      </c>
      <c r="D56" s="2639"/>
      <c r="E56" s="783"/>
      <c r="F56" s="808"/>
      <c r="I56" s="3167" t="s">
        <v>2320</v>
      </c>
      <c r="J56" s="3177"/>
      <c r="K56" s="3126" t="s">
        <v>2325</v>
      </c>
      <c r="L56" s="1908">
        <f ca="1">IF(L48&lt;J51,"——",L48-J51)</f>
        <v>0</v>
      </c>
      <c r="O56" s="2395" t="s">
        <v>2338</v>
      </c>
      <c r="P56" s="2396" t="s">
        <v>2339</v>
      </c>
      <c r="Q56" s="2397" t="s">
        <v>2340</v>
      </c>
      <c r="R56" s="2396" t="s">
        <v>2341</v>
      </c>
    </row>
    <row r="57" spans="1:18" s="2059" customFormat="1" ht="28.5" customHeight="1" thickBot="1">
      <c r="A57" s="796" t="s">
        <v>1711</v>
      </c>
      <c r="B57" s="797" t="s">
        <v>617</v>
      </c>
      <c r="C57" s="798">
        <f ca="1">ROUND(C58+C63+C64+C65,0)</f>
        <v>0</v>
      </c>
      <c r="D57" s="26" t="s">
        <v>1713</v>
      </c>
      <c r="E57" s="2640"/>
      <c r="F57" s="56"/>
      <c r="I57" s="3168" t="s">
        <v>2321</v>
      </c>
      <c r="J57" s="3169">
        <f ca="1">IF(OR(M47="住宅",J51&lt;L48,J56="是"),"——",J51-L48)</f>
        <v>0</v>
      </c>
      <c r="K57" s="3126" t="s">
        <v>2326</v>
      </c>
      <c r="L57" s="1908">
        <f ca="1">IF(L48&lt;J51,"——",IF(L55="比较法",L49,IF(L55="基准地价",L50,L51)))</f>
        <v>0</v>
      </c>
      <c r="O57" s="2398" t="s">
        <v>2342</v>
      </c>
      <c r="P57" s="2399" t="s">
        <v>2372</v>
      </c>
      <c r="Q57" s="2400" t="e">
        <f ca="1">C40+J29</f>
        <v>#DIV/0!</v>
      </c>
      <c r="R57" s="2399" t="s">
        <v>2343</v>
      </c>
    </row>
    <row r="58" spans="1:18" s="2059" customFormat="1" ht="28.5" customHeight="1" thickBot="1">
      <c r="A58" s="1648" t="s">
        <v>1787</v>
      </c>
      <c r="B58" s="783" t="s">
        <v>622</v>
      </c>
      <c r="C58" s="53">
        <f ca="1">ROUND(IF(项目基本情况!B11="自然人",C47*F58,C59+C60+C61),1)</f>
        <v>0</v>
      </c>
      <c r="D58" s="2638" t="s">
        <v>623</v>
      </c>
      <c r="E58" s="2639" t="s">
        <v>656</v>
      </c>
      <c r="F58" s="809" t="str">
        <f ca="1">IF(项目基本情况!B11="企业","",IF(INDIRECT("'数据-取费表'!c"&amp;$G$1)="住宅",5%,IF(F48*F49*F50/12/(1+'数据-取费表'!C42)&gt;20000,12%,7%)))</f>
        <v/>
      </c>
      <c r="I58" s="3168" t="s">
        <v>2322</v>
      </c>
      <c r="J58" s="3102" t="e">
        <f ca="1">IF(J55&lt;0.4,0.4,J55)</f>
        <v>#DIV/0!</v>
      </c>
      <c r="K58" s="3126" t="s">
        <v>2327</v>
      </c>
      <c r="L58" s="1908" t="e">
        <f ca="1">ROUND(POWER(1+L52,L47-L48)*(POWER(1+L52,L48)-1)/(POWER(1+L52,L47)-1),4)</f>
        <v>#DIV/0!</v>
      </c>
      <c r="O58" s="2398" t="s">
        <v>2344</v>
      </c>
      <c r="P58" s="2399" t="s">
        <v>2375</v>
      </c>
      <c r="Q58" s="2400" t="e">
        <f ca="1">L60</f>
        <v>#DIV/0!</v>
      </c>
      <c r="R58" s="2403" t="s">
        <v>2377</v>
      </c>
    </row>
    <row r="59" spans="1:18" s="2059" customFormat="1" ht="28.5" customHeight="1" thickBot="1">
      <c r="A59" s="1647" t="s">
        <v>1794</v>
      </c>
      <c r="B59" s="783" t="s">
        <v>626</v>
      </c>
      <c r="C59" s="53">
        <f ca="1">ROUND(C47*F59/1.05,1)</f>
        <v>0</v>
      </c>
      <c r="D59" s="2639" t="s">
        <v>1719</v>
      </c>
      <c r="E59" s="783" t="s">
        <v>1710</v>
      </c>
      <c r="F59" s="808">
        <f t="shared" ref="F59:F65" si="0">F32</f>
        <v>5.6000000000000001E-2</v>
      </c>
      <c r="I59" s="3168" t="s">
        <v>2323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2346</v>
      </c>
      <c r="P59" s="2399" t="s">
        <v>2376</v>
      </c>
      <c r="Q59" s="2400">
        <f>IF(L55="比较法",L49,IF(L55="基准地价",L50,0))</f>
        <v>0</v>
      </c>
      <c r="R59" s="2399" t="s">
        <v>2343</v>
      </c>
    </row>
    <row r="60" spans="1:18" s="2059" customFormat="1" ht="18" customHeight="1" thickBot="1">
      <c r="A60" s="1647" t="s">
        <v>1795</v>
      </c>
      <c r="B60" s="783" t="s">
        <v>1721</v>
      </c>
      <c r="C60" s="53">
        <f ca="1">IF(D60="按租金收入计税",ROUND(C47*F60,1),IF(D60="按房产原值计税",ROUND(C56*F60*0.7,1),INDIRECT("'数据-取费表'!Aj"&amp;$G$1)))</f>
        <v>0</v>
      </c>
      <c r="D60" s="2639" t="str">
        <f>D33</f>
        <v>按房产原值计税</v>
      </c>
      <c r="E60" s="783" t="s">
        <v>1710</v>
      </c>
      <c r="F60" s="808">
        <f t="shared" si="0"/>
        <v>1.2E-2</v>
      </c>
      <c r="I60" s="3170" t="s">
        <v>2324</v>
      </c>
      <c r="J60" s="3171" t="e">
        <f ca="1">IF(OR(M47="住宅",J51&lt;L48,J56="是"),"0",ROUND(J59/(1+J52)^J53,0))</f>
        <v>#DIV/0!</v>
      </c>
      <c r="K60" s="3172" t="s">
        <v>2329</v>
      </c>
      <c r="L60" s="3171" t="e">
        <f ca="1">IF(OR(M47="住宅",L48&lt;J51),0,ROUND(L57*(L58/L59-1),0))</f>
        <v>#DIV/0!</v>
      </c>
      <c r="O60" s="2401" t="s">
        <v>2347</v>
      </c>
      <c r="P60" s="2399" t="s">
        <v>2356</v>
      </c>
      <c r="Q60" s="2402">
        <f>L52</f>
        <v>0</v>
      </c>
      <c r="R60" s="2403"/>
    </row>
    <row r="61" spans="1:18" s="2059" customFormat="1" ht="18" customHeight="1" thickBot="1">
      <c r="A61" s="1650" t="s">
        <v>1796</v>
      </c>
      <c r="B61" s="341" t="s">
        <v>634</v>
      </c>
      <c r="C61" s="54">
        <f ca="1">ROUND(F61*F62/10000,1)</f>
        <v>0</v>
      </c>
      <c r="D61" s="813" t="s">
        <v>635</v>
      </c>
      <c r="E61" s="783" t="s">
        <v>636</v>
      </c>
      <c r="F61" s="639">
        <f t="shared" si="0"/>
        <v>8</v>
      </c>
      <c r="K61" s="2086"/>
      <c r="O61" s="2401" t="s">
        <v>2349</v>
      </c>
      <c r="P61" s="2399" t="s">
        <v>2357</v>
      </c>
      <c r="Q61" s="2400" t="e">
        <f ca="1">L58</f>
        <v>#DIV/0!</v>
      </c>
      <c r="R61" s="2403" t="s">
        <v>2358</v>
      </c>
    </row>
    <row r="62" spans="1:18" s="2059" customFormat="1" ht="15.75" thickBot="1">
      <c r="A62" s="814"/>
      <c r="B62" s="792"/>
      <c r="C62" s="69"/>
      <c r="D62" s="815"/>
      <c r="E62" s="783" t="s">
        <v>640</v>
      </c>
      <c r="F62" s="784">
        <f t="shared" ca="1" si="0"/>
        <v>0</v>
      </c>
      <c r="I62" s="3173" t="s">
        <v>2330</v>
      </c>
      <c r="J62" s="3174" t="s">
        <v>2331</v>
      </c>
      <c r="K62" s="3174" t="s">
        <v>2332</v>
      </c>
      <c r="L62" s="3174" t="s">
        <v>2313</v>
      </c>
      <c r="M62" s="3175" t="s">
        <v>2901</v>
      </c>
      <c r="O62" s="2401" t="s">
        <v>2351</v>
      </c>
      <c r="P62" s="2399" t="str">
        <f>K59</f>
        <v>建筑物剩余耐用年限下的土地年期修正系数Kn</v>
      </c>
      <c r="Q62" s="2400" t="e">
        <f ca="1">L59</f>
        <v>#DIV/0!</v>
      </c>
      <c r="R62" s="2403" t="s">
        <v>2360</v>
      </c>
    </row>
    <row r="63" spans="1:18" s="2059" customFormat="1" ht="15.75" thickBot="1">
      <c r="A63" s="1648" t="s">
        <v>1852</v>
      </c>
      <c r="B63" s="783" t="s">
        <v>642</v>
      </c>
      <c r="C63" s="53">
        <f ca="1">ROUND(C56*F63,1)</f>
        <v>0</v>
      </c>
      <c r="D63" s="2639" t="s">
        <v>1766</v>
      </c>
      <c r="E63" s="783" t="s">
        <v>1710</v>
      </c>
      <c r="F63" s="816">
        <f t="shared" ca="1" si="0"/>
        <v>0</v>
      </c>
      <c r="I63" s="3173" t="s">
        <v>2333</v>
      </c>
      <c r="J63" s="3174">
        <v>70</v>
      </c>
      <c r="K63" s="3174">
        <v>50</v>
      </c>
      <c r="L63" s="3174">
        <v>80</v>
      </c>
      <c r="M63" s="3176">
        <v>0.02</v>
      </c>
      <c r="O63" s="2398" t="s">
        <v>2354</v>
      </c>
      <c r="P63" s="2399" t="s">
        <v>2371</v>
      </c>
      <c r="Q63" s="2400" t="e">
        <f ca="1">Q57+Q58</f>
        <v>#DIV/0!</v>
      </c>
      <c r="R63" s="2403" t="s">
        <v>2355</v>
      </c>
    </row>
    <row r="64" spans="1:18" s="2059" customFormat="1" ht="16.5" thickBot="1">
      <c r="A64" s="1648" t="s">
        <v>1853</v>
      </c>
      <c r="B64" s="783" t="s">
        <v>645</v>
      </c>
      <c r="C64" s="53">
        <f ca="1">ROUND(C55*F64,1)</f>
        <v>0</v>
      </c>
      <c r="D64" s="2639" t="s">
        <v>646</v>
      </c>
      <c r="E64" s="783" t="s">
        <v>1710</v>
      </c>
      <c r="F64" s="817">
        <f t="shared" ca="1" si="0"/>
        <v>0</v>
      </c>
      <c r="I64" s="3173" t="s">
        <v>2334</v>
      </c>
      <c r="J64" s="3174">
        <v>50</v>
      </c>
      <c r="K64" s="3174">
        <v>35</v>
      </c>
      <c r="L64" s="3174">
        <v>60</v>
      </c>
      <c r="M64" s="845">
        <v>0</v>
      </c>
      <c r="O64" s="2404" t="s">
        <v>2378</v>
      </c>
      <c r="P64" s="1591"/>
      <c r="Q64" s="1603"/>
      <c r="R64" s="1591"/>
    </row>
    <row r="65" spans="1:18" s="2059" customFormat="1" ht="15.75" thickBot="1">
      <c r="A65" s="1648" t="s">
        <v>1854</v>
      </c>
      <c r="B65" s="783" t="s">
        <v>632</v>
      </c>
      <c r="C65" s="53">
        <f ca="1">ROUND(C47*F65,1)</f>
        <v>0</v>
      </c>
      <c r="D65" s="2639" t="s">
        <v>649</v>
      </c>
      <c r="E65" s="783" t="s">
        <v>1710</v>
      </c>
      <c r="F65" s="793">
        <f t="shared" ca="1" si="0"/>
        <v>0</v>
      </c>
      <c r="I65" s="3173" t="s">
        <v>2335</v>
      </c>
      <c r="J65" s="3174">
        <v>40</v>
      </c>
      <c r="K65" s="3174">
        <v>30</v>
      </c>
      <c r="L65" s="3174">
        <v>50</v>
      </c>
      <c r="M65" s="3176">
        <v>0.02</v>
      </c>
      <c r="O65" s="2395" t="s">
        <v>2338</v>
      </c>
      <c r="P65" s="2396" t="s">
        <v>2339</v>
      </c>
      <c r="Q65" s="2397" t="s">
        <v>2340</v>
      </c>
      <c r="R65" s="2396" t="s">
        <v>2341</v>
      </c>
    </row>
    <row r="66" spans="1:18" s="2059" customFormat="1" ht="24.75" thickBot="1">
      <c r="A66" s="796" t="s">
        <v>1739</v>
      </c>
      <c r="B66" s="3011" t="s">
        <v>2784</v>
      </c>
      <c r="C66" s="798">
        <f ca="1">C47-C57</f>
        <v>0</v>
      </c>
      <c r="D66" s="2638" t="s">
        <v>666</v>
      </c>
      <c r="E66" s="2637"/>
      <c r="F66" s="819"/>
      <c r="K66" s="2086"/>
      <c r="O66" s="2398" t="s">
        <v>2342</v>
      </c>
      <c r="P66" s="2399" t="s">
        <v>2372</v>
      </c>
      <c r="Q66" s="2400" t="e">
        <f ca="1">C40+J29</f>
        <v>#DIV/0!</v>
      </c>
      <c r="R66" s="2399" t="s">
        <v>2343</v>
      </c>
    </row>
    <row r="67" spans="1:18" s="2059" customFormat="1" ht="20.25" thickBot="1">
      <c r="A67" s="780" t="s">
        <v>1743</v>
      </c>
      <c r="B67" s="2232" t="s">
        <v>2264</v>
      </c>
      <c r="C67" s="782" t="e">
        <f ca="1">ROUND(C66*(1-((1+F69)/(1+F67))^F68)/(F67-F69),0)</f>
        <v>#DIV/0!</v>
      </c>
      <c r="D67" s="813" t="s">
        <v>670</v>
      </c>
      <c r="E67" s="783" t="s">
        <v>671</v>
      </c>
      <c r="F67" s="793">
        <f ca="1">F40</f>
        <v>0</v>
      </c>
      <c r="K67" s="2086"/>
      <c r="O67" s="2398" t="s">
        <v>2344</v>
      </c>
      <c r="P67" s="2399" t="s">
        <v>2375</v>
      </c>
      <c r="Q67" s="2400" t="e">
        <f ca="1">L60</f>
        <v>#DIV/0!</v>
      </c>
      <c r="R67" s="2403" t="s">
        <v>2377</v>
      </c>
    </row>
    <row r="68" spans="1:18" ht="21.75" thickBot="1">
      <c r="A68" s="785"/>
      <c r="B68" s="786"/>
      <c r="C68" s="787"/>
      <c r="D68" s="820" t="s">
        <v>1771</v>
      </c>
      <c r="E68" s="783" t="s">
        <v>1747</v>
      </c>
      <c r="F68" s="821">
        <f ca="1">F41</f>
        <v>0</v>
      </c>
      <c r="O68" s="2401" t="s">
        <v>2346</v>
      </c>
      <c r="P68" s="2399" t="s">
        <v>2376</v>
      </c>
      <c r="Q68" s="2405">
        <f ca="1">L51</f>
        <v>0</v>
      </c>
      <c r="R68" s="2406" t="s">
        <v>2379</v>
      </c>
    </row>
    <row r="69" spans="1:18" ht="20.25" thickBot="1">
      <c r="A69" s="789"/>
      <c r="B69" s="790"/>
      <c r="C69" s="791"/>
      <c r="D69" s="815"/>
      <c r="E69" s="783" t="s">
        <v>676</v>
      </c>
      <c r="F69" s="2371"/>
      <c r="O69" s="2401" t="s">
        <v>2347</v>
      </c>
      <c r="P69" s="2407" t="s">
        <v>2361</v>
      </c>
      <c r="Q69" s="2400">
        <f ca="1">ROUND(Q70-Q71*Q72,0)</f>
        <v>0</v>
      </c>
      <c r="R69" s="2403"/>
    </row>
    <row r="70" spans="1:18" ht="15.75" thickBot="1">
      <c r="A70" s="822" t="s">
        <v>1750</v>
      </c>
      <c r="B70" s="823" t="s">
        <v>1773</v>
      </c>
      <c r="C70" s="824" t="e">
        <f ca="1">ROUND(C67*10000/F70,0)</f>
        <v>#DIV/0!</v>
      </c>
      <c r="D70" s="825" t="s">
        <v>1774</v>
      </c>
      <c r="E70" s="826" t="s">
        <v>1775</v>
      </c>
      <c r="F70" s="827">
        <f ca="1">F43</f>
        <v>0</v>
      </c>
      <c r="O70" s="2401" t="s">
        <v>2362</v>
      </c>
      <c r="P70" s="2407" t="s">
        <v>2363</v>
      </c>
      <c r="Q70" s="2400">
        <f ca="1">C39</f>
        <v>0</v>
      </c>
      <c r="R70" s="2399" t="s">
        <v>2343</v>
      </c>
    </row>
    <row r="71" spans="1:18" ht="15.75" thickBot="1">
      <c r="O71" s="2401" t="s">
        <v>2364</v>
      </c>
      <c r="P71" s="2407" t="s">
        <v>2365</v>
      </c>
      <c r="Q71" s="2400">
        <f ca="1">C13</f>
        <v>0</v>
      </c>
      <c r="R71" s="2399" t="s">
        <v>2343</v>
      </c>
    </row>
    <row r="72" spans="1:18" ht="15.75" thickBot="1">
      <c r="O72" s="2401" t="s">
        <v>2366</v>
      </c>
      <c r="P72" s="2407" t="s">
        <v>2367</v>
      </c>
      <c r="Q72" s="2402">
        <f ca="1">J36</f>
        <v>0</v>
      </c>
      <c r="R72" s="2403"/>
    </row>
    <row r="73" spans="1:18" ht="15.75" thickBot="1">
      <c r="O73" s="2401" t="s">
        <v>2349</v>
      </c>
      <c r="P73" s="2399" t="s">
        <v>2356</v>
      </c>
      <c r="Q73" s="2402">
        <f>L52</f>
        <v>0</v>
      </c>
      <c r="R73" s="2403"/>
    </row>
    <row r="74" spans="1:18" ht="20.25" thickBot="1">
      <c r="O74" s="2401" t="s">
        <v>2351</v>
      </c>
      <c r="P74" s="2399" t="s">
        <v>2357</v>
      </c>
      <c r="Q74" s="2400" t="e">
        <f ca="1">L58</f>
        <v>#DIV/0!</v>
      </c>
      <c r="R74" s="2403" t="s">
        <v>2358</v>
      </c>
    </row>
    <row r="75" spans="1:18" ht="15.75" thickBot="1">
      <c r="O75" s="2401" t="s">
        <v>2380</v>
      </c>
      <c r="P75" s="2399" t="str">
        <f>K59</f>
        <v>建筑物剩余耐用年限下的土地年期修正系数Kn</v>
      </c>
      <c r="Q75" s="2400" t="e">
        <f ca="1">L59</f>
        <v>#DIV/0!</v>
      </c>
      <c r="R75" s="2403" t="s">
        <v>2360</v>
      </c>
    </row>
    <row r="76" spans="1:18" ht="15.75" thickBot="1">
      <c r="O76" s="2398" t="s">
        <v>2354</v>
      </c>
      <c r="P76" s="2399" t="s">
        <v>2371</v>
      </c>
      <c r="Q76" s="2400" t="e">
        <f ca="1">Q66+Q67</f>
        <v>#DIV/0!</v>
      </c>
      <c r="R76" s="2403"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5" t="s">
        <v>2434</v>
      </c>
      <c r="B1" s="3466"/>
      <c r="C1" s="3467"/>
      <c r="D1" s="3468">
        <f>SUM(I10,I15,I20,I21,I23)</f>
        <v>0</v>
      </c>
      <c r="E1" s="3468"/>
      <c r="F1" s="3468"/>
      <c r="G1" s="3468"/>
      <c r="H1" s="3468"/>
      <c r="I1" s="3469"/>
    </row>
    <row r="2" spans="1:9">
      <c r="A2" s="3470" t="s">
        <v>2435</v>
      </c>
      <c r="B2" s="3471" t="s">
        <v>2436</v>
      </c>
      <c r="C2" s="3471"/>
      <c r="D2" s="2507" t="s">
        <v>2437</v>
      </c>
      <c r="E2" s="2507" t="s">
        <v>2438</v>
      </c>
      <c r="F2" s="2507" t="s">
        <v>2439</v>
      </c>
      <c r="G2" s="2507" t="s">
        <v>2440</v>
      </c>
      <c r="H2" s="2507" t="s">
        <v>2441</v>
      </c>
      <c r="I2" s="2508" t="s">
        <v>2442</v>
      </c>
    </row>
    <row r="3" spans="1:9">
      <c r="A3" s="3470"/>
      <c r="B3" s="3471" t="s">
        <v>2443</v>
      </c>
      <c r="C3" s="3471"/>
      <c r="D3" s="2509"/>
      <c r="E3" s="2507"/>
      <c r="F3" s="2510"/>
      <c r="G3" s="2510"/>
      <c r="H3" s="2511"/>
      <c r="I3" s="2512">
        <f>ROUND(D3*E3*F3*G3*H3/10000,0)</f>
        <v>0</v>
      </c>
    </row>
    <row r="4" spans="1:9">
      <c r="A4" s="3470"/>
      <c r="B4" s="3471" t="s">
        <v>2444</v>
      </c>
      <c r="C4" s="3471"/>
      <c r="D4" s="2509"/>
      <c r="E4" s="2507"/>
      <c r="F4" s="2510"/>
      <c r="G4" s="2510"/>
      <c r="H4" s="2511"/>
      <c r="I4" s="2512">
        <f t="shared" ref="I4:I9" si="0">ROUND(D4*E4*F4*G4*H4/10000,0)</f>
        <v>0</v>
      </c>
    </row>
    <row r="5" spans="1:9">
      <c r="A5" s="3470"/>
      <c r="B5" s="3471" t="s">
        <v>2445</v>
      </c>
      <c r="C5" s="3471"/>
      <c r="D5" s="2509"/>
      <c r="E5" s="2507"/>
      <c r="F5" s="2510"/>
      <c r="G5" s="2510"/>
      <c r="H5" s="2511"/>
      <c r="I5" s="2512">
        <f t="shared" si="0"/>
        <v>0</v>
      </c>
    </row>
    <row r="6" spans="1:9">
      <c r="A6" s="3470"/>
      <c r="B6" s="3471" t="s">
        <v>2446</v>
      </c>
      <c r="C6" s="3471"/>
      <c r="D6" s="2509"/>
      <c r="E6" s="2507"/>
      <c r="F6" s="2510"/>
      <c r="G6" s="2510"/>
      <c r="H6" s="2511"/>
      <c r="I6" s="2512">
        <f t="shared" si="0"/>
        <v>0</v>
      </c>
    </row>
    <row r="7" spans="1:9">
      <c r="A7" s="3470"/>
      <c r="B7" s="3471" t="s">
        <v>2447</v>
      </c>
      <c r="C7" s="3471"/>
      <c r="D7" s="2509"/>
      <c r="E7" s="2507"/>
      <c r="F7" s="2510"/>
      <c r="G7" s="2510"/>
      <c r="H7" s="2511"/>
      <c r="I7" s="2512">
        <f t="shared" si="0"/>
        <v>0</v>
      </c>
    </row>
    <row r="8" spans="1:9">
      <c r="A8" s="3470"/>
      <c r="B8" s="3471" t="s">
        <v>2448</v>
      </c>
      <c r="C8" s="3471"/>
      <c r="D8" s="2509"/>
      <c r="E8" s="2507"/>
      <c r="F8" s="2510"/>
      <c r="G8" s="2510"/>
      <c r="H8" s="2511"/>
      <c r="I8" s="2512">
        <f t="shared" si="0"/>
        <v>0</v>
      </c>
    </row>
    <row r="9" spans="1:9">
      <c r="A9" s="3470"/>
      <c r="B9" s="3471" t="s">
        <v>2449</v>
      </c>
      <c r="C9" s="3471"/>
      <c r="D9" s="2509"/>
      <c r="E9" s="2507"/>
      <c r="F9" s="2510"/>
      <c r="G9" s="2510"/>
      <c r="H9" s="2511"/>
      <c r="I9" s="2512">
        <f t="shared" si="0"/>
        <v>0</v>
      </c>
    </row>
    <row r="10" spans="1:9">
      <c r="A10" s="3470"/>
      <c r="B10" s="3472" t="s">
        <v>2450</v>
      </c>
      <c r="C10" s="3472"/>
      <c r="D10" s="2513">
        <v>527</v>
      </c>
      <c r="E10" s="2513" t="e">
        <f>ROUND(D1*10000/D10/H9,0)</f>
        <v>#DIV/0!</v>
      </c>
      <c r="F10" s="2514"/>
      <c r="G10" s="2514"/>
      <c r="H10" s="2515"/>
      <c r="I10" s="2516">
        <f>SUM(I3:I9)</f>
        <v>0</v>
      </c>
    </row>
    <row r="11" spans="1:9" ht="14.25">
      <c r="A11" s="3470" t="s">
        <v>2451</v>
      </c>
      <c r="B11" s="3471" t="s">
        <v>2452</v>
      </c>
      <c r="C11" s="3471"/>
      <c r="D11" s="2509" t="s">
        <v>2453</v>
      </c>
      <c r="E11" s="2509" t="s">
        <v>2454</v>
      </c>
      <c r="F11" s="2510" t="s">
        <v>2455</v>
      </c>
      <c r="G11" s="2510" t="s">
        <v>2456</v>
      </c>
      <c r="H11" s="2517" t="s">
        <v>2457</v>
      </c>
      <c r="I11" s="2508" t="s">
        <v>2458</v>
      </c>
    </row>
    <row r="12" spans="1:9">
      <c r="A12" s="3470"/>
      <c r="B12" s="3471" t="s">
        <v>2459</v>
      </c>
      <c r="C12" s="3471"/>
      <c r="D12" s="2509"/>
      <c r="E12" s="2509"/>
      <c r="F12" s="2510"/>
      <c r="G12" s="2511"/>
      <c r="H12" s="2518"/>
      <c r="I12" s="2508">
        <f>ROUND(D12*E12*F12*G12/10000,0)</f>
        <v>0</v>
      </c>
    </row>
    <row r="13" spans="1:9">
      <c r="A13" s="3470"/>
      <c r="B13" s="3471" t="s">
        <v>2460</v>
      </c>
      <c r="C13" s="3471"/>
      <c r="D13" s="2509"/>
      <c r="E13" s="2509"/>
      <c r="F13" s="2510"/>
      <c r="G13" s="2511"/>
      <c r="H13" s="2518"/>
      <c r="I13" s="2508">
        <f>ROUND(D13*E13*F13*G13/10000,0)</f>
        <v>0</v>
      </c>
    </row>
    <row r="14" spans="1:9">
      <c r="A14" s="3470"/>
      <c r="B14" s="3471" t="s">
        <v>2461</v>
      </c>
      <c r="C14" s="3471"/>
      <c r="D14" s="2509"/>
      <c r="E14" s="2509"/>
      <c r="F14" s="2510"/>
      <c r="G14" s="2511"/>
      <c r="H14" s="2518"/>
      <c r="I14" s="2508">
        <f>ROUND(D14*E14*F14*G14/10000,0)</f>
        <v>0</v>
      </c>
    </row>
    <row r="15" spans="1:9">
      <c r="A15" s="3470"/>
      <c r="B15" s="3472" t="s">
        <v>2450</v>
      </c>
      <c r="C15" s="3472"/>
      <c r="D15" s="2513"/>
      <c r="E15" s="2513">
        <f>SUM(E12:E14)</f>
        <v>0</v>
      </c>
      <c r="F15" s="2514"/>
      <c r="G15" s="2511"/>
      <c r="H15" s="2518"/>
      <c r="I15" s="2519">
        <f>SUM(I12:I14)</f>
        <v>0</v>
      </c>
    </row>
    <row r="16" spans="1:9" ht="24">
      <c r="A16" s="3470" t="s">
        <v>2462</v>
      </c>
      <c r="B16" s="3471" t="s">
        <v>2463</v>
      </c>
      <c r="C16" s="3471"/>
      <c r="D16" s="2509" t="s">
        <v>2464</v>
      </c>
      <c r="E16" s="2520" t="s">
        <v>2465</v>
      </c>
      <c r="F16" s="2510" t="s">
        <v>2466</v>
      </c>
      <c r="G16" s="2511" t="s">
        <v>2456</v>
      </c>
      <c r="H16" s="2517" t="s">
        <v>2457</v>
      </c>
      <c r="I16" s="2508" t="s">
        <v>2458</v>
      </c>
    </row>
    <row r="17" spans="1:9" ht="14.25">
      <c r="A17" s="3470"/>
      <c r="B17" s="3471" t="s">
        <v>2467</v>
      </c>
      <c r="C17" s="3471"/>
      <c r="D17" s="2509"/>
      <c r="E17" s="2509"/>
      <c r="F17" s="2510"/>
      <c r="G17" s="2511"/>
      <c r="H17" s="2521"/>
      <c r="I17" s="2522">
        <f>ROUND(D17*E17*F17*G17/10000,0)</f>
        <v>0</v>
      </c>
    </row>
    <row r="18" spans="1:9" ht="14.25">
      <c r="A18" s="3470"/>
      <c r="B18" s="3471" t="s">
        <v>2468</v>
      </c>
      <c r="C18" s="3471"/>
      <c r="D18" s="2509"/>
      <c r="E18" s="2509"/>
      <c r="F18" s="2510"/>
      <c r="G18" s="2511"/>
      <c r="H18" s="2521"/>
      <c r="I18" s="2522">
        <f>ROUND(D18*E18*F18*G18/10000,0)</f>
        <v>0</v>
      </c>
    </row>
    <row r="19" spans="1:9" ht="14.25">
      <c r="A19" s="3470"/>
      <c r="B19" s="3471" t="s">
        <v>2469</v>
      </c>
      <c r="C19" s="3471"/>
      <c r="D19" s="2509"/>
      <c r="E19" s="2509"/>
      <c r="F19" s="2510"/>
      <c r="G19" s="2511"/>
      <c r="H19" s="2521"/>
      <c r="I19" s="2522">
        <f>ROUND(D19*E19*F19*G19/10000,0)</f>
        <v>0</v>
      </c>
    </row>
    <row r="20" spans="1:9">
      <c r="A20" s="3470"/>
      <c r="B20" s="3472" t="s">
        <v>2450</v>
      </c>
      <c r="C20" s="3472"/>
      <c r="D20" s="2513">
        <f>SUM(D17:D19)</f>
        <v>0</v>
      </c>
      <c r="E20" s="2513"/>
      <c r="F20" s="2514"/>
      <c r="G20" s="2511"/>
      <c r="H20" s="2518"/>
      <c r="I20" s="2519">
        <f>SUM(I17:I19)</f>
        <v>0</v>
      </c>
    </row>
    <row r="21" spans="1:9">
      <c r="A21" s="3470" t="s">
        <v>2470</v>
      </c>
      <c r="B21" s="3474"/>
      <c r="C21" s="3474"/>
      <c r="D21" s="3474"/>
      <c r="E21" s="3474"/>
      <c r="F21" s="3474"/>
      <c r="G21" s="3474"/>
      <c r="H21" s="2523">
        <v>0.1</v>
      </c>
      <c r="I21" s="2516">
        <f>ROUND(I10*H21,0)</f>
        <v>0</v>
      </c>
    </row>
    <row r="22" spans="1:9" ht="14.25">
      <c r="A22" s="3475" t="s">
        <v>2471</v>
      </c>
      <c r="B22" s="3476"/>
      <c r="C22" s="3477"/>
      <c r="D22" s="2524" t="s">
        <v>2472</v>
      </c>
      <c r="E22" s="2524" t="s">
        <v>2473</v>
      </c>
      <c r="F22" s="2525" t="s">
        <v>2474</v>
      </c>
      <c r="G22" s="2525" t="s">
        <v>2475</v>
      </c>
      <c r="H22" s="2517" t="s">
        <v>2476</v>
      </c>
      <c r="I22" s="2508" t="s">
        <v>2477</v>
      </c>
    </row>
    <row r="23" spans="1:9" ht="14.25" thickBot="1">
      <c r="A23" s="3478"/>
      <c r="B23" s="3479"/>
      <c r="C23" s="3480"/>
      <c r="D23" s="2526"/>
      <c r="E23" s="2526"/>
      <c r="F23" s="2526"/>
      <c r="G23" s="2527"/>
      <c r="H23" s="2528"/>
      <c r="I23" s="2529">
        <f>ROUND(E23*D23*F23*(1-G23)/10000,0)</f>
        <v>0</v>
      </c>
    </row>
    <row r="26" spans="1:9">
      <c r="A26" s="2530" t="s">
        <v>2478</v>
      </c>
      <c r="B26" s="2530"/>
      <c r="C26" s="2530"/>
      <c r="D26" s="2530"/>
      <c r="E26" s="3481">
        <f>C27-C30-C31-C32</f>
        <v>0</v>
      </c>
      <c r="F26" s="3481"/>
      <c r="G26" s="3481"/>
      <c r="H26" s="3044" t="s">
        <v>2805</v>
      </c>
    </row>
    <row r="27" spans="1:9">
      <c r="A27" s="2531">
        <v>1</v>
      </c>
      <c r="B27" s="2532" t="s">
        <v>2479</v>
      </c>
      <c r="C27" s="2532"/>
      <c r="D27" s="2532"/>
      <c r="E27" s="3482"/>
      <c r="F27" s="3482"/>
      <c r="G27" s="3482"/>
    </row>
    <row r="28" spans="1:9">
      <c r="A28" s="2533" t="s">
        <v>2480</v>
      </c>
      <c r="B28" s="2532" t="s">
        <v>2481</v>
      </c>
      <c r="C28" s="2532"/>
      <c r="D28" s="2532"/>
      <c r="E28" s="3482"/>
      <c r="F28" s="3482"/>
      <c r="G28" s="3482"/>
    </row>
    <row r="29" spans="1:9">
      <c r="A29" s="2533" t="s">
        <v>2482</v>
      </c>
      <c r="B29" s="2532" t="s">
        <v>2423</v>
      </c>
      <c r="C29" s="2532"/>
      <c r="D29" s="2532"/>
      <c r="E29" s="2532" t="s">
        <v>2483</v>
      </c>
      <c r="F29" s="2532"/>
      <c r="G29" s="2532"/>
    </row>
    <row r="30" spans="1:9">
      <c r="A30" s="2531">
        <v>2</v>
      </c>
      <c r="B30" s="2532" t="s">
        <v>2484</v>
      </c>
      <c r="C30" s="2532">
        <f>C27*D30</f>
        <v>0</v>
      </c>
      <c r="D30" s="2534">
        <v>0.2</v>
      </c>
      <c r="E30" s="2532" t="s">
        <v>2485</v>
      </c>
      <c r="F30" s="2532"/>
      <c r="G30" s="2532"/>
    </row>
    <row r="31" spans="1:9">
      <c r="A31" s="2531">
        <v>3</v>
      </c>
      <c r="B31" s="2532" t="s">
        <v>2486</v>
      </c>
      <c r="C31" s="2532">
        <f>C25*D31</f>
        <v>0</v>
      </c>
      <c r="D31" s="2534">
        <v>0.15</v>
      </c>
      <c r="E31" s="2532" t="s">
        <v>2487</v>
      </c>
      <c r="F31" s="2532"/>
      <c r="G31" s="2532"/>
    </row>
    <row r="32" spans="1:9">
      <c r="A32" s="2531">
        <v>4</v>
      </c>
      <c r="B32" s="2532" t="s">
        <v>2488</v>
      </c>
      <c r="C32" s="2532">
        <f>C27*D32</f>
        <v>0</v>
      </c>
      <c r="D32" s="2534">
        <v>0.05</v>
      </c>
      <c r="E32" s="3473"/>
      <c r="F32" s="3473"/>
      <c r="G32" s="3473"/>
    </row>
    <row r="33" spans="1:7" hidden="1">
      <c r="A33" s="3483" t="s">
        <v>2489</v>
      </c>
      <c r="B33" s="3484"/>
      <c r="C33" s="3484"/>
      <c r="D33" s="3485"/>
      <c r="E33" s="3481"/>
      <c r="F33" s="3481"/>
      <c r="G33" s="3481"/>
    </row>
    <row r="34" spans="1:7" hidden="1">
      <c r="A34" s="2535">
        <v>1</v>
      </c>
      <c r="B34" s="2532" t="s">
        <v>2490</v>
      </c>
      <c r="C34" s="2532"/>
      <c r="D34" s="2532"/>
      <c r="E34" s="3482"/>
      <c r="F34" s="3482"/>
      <c r="G34" s="3482"/>
    </row>
    <row r="35" spans="1:7" hidden="1">
      <c r="A35" s="2535">
        <v>2</v>
      </c>
      <c r="B35" s="2532" t="s">
        <v>2491</v>
      </c>
      <c r="C35" s="2532"/>
      <c r="D35" s="2532"/>
      <c r="E35" s="3482"/>
      <c r="F35" s="3482"/>
      <c r="G35" s="3482"/>
    </row>
    <row r="36" spans="1:7" hidden="1">
      <c r="A36" s="2535">
        <v>3</v>
      </c>
      <c r="B36" s="2532" t="s">
        <v>2492</v>
      </c>
      <c r="C36" s="2532"/>
      <c r="D36" s="2532"/>
      <c r="E36" s="3482"/>
      <c r="F36" s="3482"/>
      <c r="G36" s="3482"/>
    </row>
    <row r="37" spans="1:7" hidden="1">
      <c r="A37" s="2535">
        <v>4</v>
      </c>
      <c r="B37" s="2532" t="s">
        <v>2493</v>
      </c>
      <c r="C37" s="2532"/>
      <c r="D37" s="2532"/>
      <c r="E37" s="3482"/>
      <c r="F37" s="3482"/>
      <c r="G37" s="3482"/>
    </row>
    <row r="38" spans="1:7" hidden="1">
      <c r="A38" s="3483" t="s">
        <v>2494</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569</v>
      </c>
      <c r="B1" s="741"/>
      <c r="C1" s="2182"/>
      <c r="D1" s="2182"/>
      <c r="E1" s="2182"/>
      <c r="F1" s="2182"/>
      <c r="G1" s="2108"/>
    </row>
    <row r="2" spans="1:25" s="2059" customFormat="1" ht="18" customHeight="1">
      <c r="A2" s="423" t="s">
        <v>433</v>
      </c>
      <c r="B2" s="425">
        <f ca="1">C23</f>
        <v>0</v>
      </c>
      <c r="C2" s="2108"/>
      <c r="D2" s="2108"/>
      <c r="E2" s="2108"/>
      <c r="F2" s="2108"/>
      <c r="G2" s="2108"/>
    </row>
    <row r="3" spans="1:25" s="2059" customFormat="1" ht="18" customHeight="1">
      <c r="A3" s="1378" t="s">
        <v>1648</v>
      </c>
      <c r="B3" s="425">
        <f ca="1">ROUND(B2*10000/'数据-汇总表'!E3,0)</f>
        <v>0</v>
      </c>
      <c r="C3" s="2108"/>
      <c r="D3" s="2108"/>
      <c r="E3" s="2108"/>
      <c r="F3" s="2108"/>
      <c r="G3" s="2108"/>
    </row>
    <row r="4" spans="1:25" s="2059" customFormat="1" ht="18" customHeight="1">
      <c r="A4" s="426" t="s">
        <v>434</v>
      </c>
      <c r="B4" s="427">
        <f ca="1">ROUND(B2*10000/'数据-汇总表'!D3,0)</f>
        <v>0</v>
      </c>
      <c r="C4" s="2061"/>
      <c r="D4" s="2108"/>
      <c r="E4" s="2108"/>
      <c r="F4" s="2108"/>
      <c r="G4" s="2108"/>
    </row>
    <row r="5" spans="1:25" s="2059" customFormat="1" ht="18" customHeight="1" thickBot="1">
      <c r="A5" s="429"/>
      <c r="B5" s="430">
        <f ca="1">ROUND(B2/('数据-汇总表'!D3/666.67),0)</f>
        <v>0</v>
      </c>
      <c r="C5" s="431" t="s">
        <v>435</v>
      </c>
      <c r="D5" s="2108"/>
      <c r="E5" s="2108"/>
      <c r="F5" s="2108"/>
      <c r="G5" s="2108"/>
    </row>
    <row r="6" spans="1:25" s="2183" customFormat="1" ht="13.5" customHeight="1">
      <c r="A6" s="742"/>
      <c r="B6" s="743" t="s">
        <v>570</v>
      </c>
      <c r="C6" s="744" t="s">
        <v>571</v>
      </c>
      <c r="D6" s="744" t="s">
        <v>572</v>
      </c>
      <c r="E6" s="745" t="s">
        <v>573</v>
      </c>
      <c r="F6" s="745" t="s">
        <v>574</v>
      </c>
      <c r="G6" s="746"/>
    </row>
    <row r="7" spans="1:25" s="2183" customFormat="1" ht="13.5" customHeight="1">
      <c r="A7" s="2469">
        <v>1</v>
      </c>
      <c r="B7" s="747" t="s">
        <v>575</v>
      </c>
      <c r="C7" s="748">
        <f>C8+C9</f>
        <v>0</v>
      </c>
      <c r="D7" s="748"/>
      <c r="E7" s="749"/>
      <c r="F7" s="749"/>
      <c r="G7" s="2479"/>
    </row>
    <row r="8" spans="1:25" s="2183" customFormat="1" ht="13.5" customHeight="1">
      <c r="A8" s="2469" t="s">
        <v>2403</v>
      </c>
      <c r="B8" s="2472" t="s">
        <v>2405</v>
      </c>
      <c r="C8" s="2473"/>
      <c r="D8" s="748"/>
      <c r="E8" s="749"/>
      <c r="F8" s="749"/>
      <c r="G8" s="750"/>
    </row>
    <row r="9" spans="1:25" s="2183" customFormat="1" ht="13.5" customHeight="1">
      <c r="A9" s="2469" t="s">
        <v>2404</v>
      </c>
      <c r="B9" s="2472" t="s">
        <v>2406</v>
      </c>
      <c r="C9" s="2473"/>
      <c r="D9" s="748"/>
      <c r="E9" s="749"/>
      <c r="F9" s="749"/>
      <c r="G9" s="750"/>
    </row>
    <row r="10" spans="1:25" s="2183" customFormat="1" ht="36">
      <c r="A10" s="2469">
        <v>2</v>
      </c>
      <c r="B10" s="747" t="s">
        <v>579</v>
      </c>
      <c r="C10" s="748">
        <f>C11+C14+C15</f>
        <v>0</v>
      </c>
      <c r="D10" s="759">
        <f>'数据-汇总表'!E3</f>
        <v>110338.60799999999</v>
      </c>
      <c r="E10" s="748">
        <f>'数据-取费表'!B31</f>
        <v>200</v>
      </c>
      <c r="F10" s="760"/>
      <c r="G10" s="758" t="s">
        <v>580</v>
      </c>
    </row>
    <row r="11" spans="1:25" s="2183" customFormat="1" ht="13.5" customHeight="1">
      <c r="A11" s="2469" t="s">
        <v>2403</v>
      </c>
      <c r="B11" s="751" t="s">
        <v>576</v>
      </c>
      <c r="C11" s="752">
        <f>'数据-取费表'!B29</f>
        <v>0</v>
      </c>
      <c r="D11" s="753"/>
      <c r="E11" s="752"/>
      <c r="F11" s="754"/>
      <c r="G11" s="2478" t="s">
        <v>2414</v>
      </c>
    </row>
    <row r="12" spans="1:25" s="2183" customFormat="1" ht="13.5" customHeight="1">
      <c r="A12" s="2476" t="s">
        <v>2411</v>
      </c>
      <c r="B12" s="755" t="s">
        <v>577</v>
      </c>
      <c r="C12" s="756">
        <f>ROUND(D12*E12/10000,0)</f>
        <v>0</v>
      </c>
      <c r="D12" s="757">
        <f>'数据-汇总表'!E5</f>
        <v>0</v>
      </c>
      <c r="E12" s="756">
        <f>'数据-取费表'!B27</f>
        <v>90</v>
      </c>
      <c r="F12" s="754"/>
      <c r="G12" s="758"/>
    </row>
    <row r="13" spans="1:25" s="2183" customFormat="1" ht="13.5" customHeight="1">
      <c r="A13" s="2476" t="s">
        <v>2410</v>
      </c>
      <c r="B13" s="755" t="s">
        <v>578</v>
      </c>
      <c r="C13" s="756">
        <f>ROUND(D13*E13/10000,0)</f>
        <v>993</v>
      </c>
      <c r="D13" s="757">
        <f>'数据-汇总表'!E6</f>
        <v>110338.60799999999</v>
      </c>
      <c r="E13" s="756">
        <f>'数据-取费表'!B28</f>
        <v>90</v>
      </c>
      <c r="F13" s="754"/>
      <c r="G13" s="758"/>
    </row>
    <row r="14" spans="1:25" s="2183" customFormat="1" ht="13.5" customHeight="1">
      <c r="A14" s="2469" t="s">
        <v>2404</v>
      </c>
      <c r="B14" s="2475" t="s">
        <v>2407</v>
      </c>
      <c r="C14" s="2473"/>
      <c r="D14" s="757"/>
      <c r="E14" s="756"/>
      <c r="F14" s="2474"/>
      <c r="G14" s="2477" t="s">
        <v>2412</v>
      </c>
    </row>
    <row r="15" spans="1:25" s="2183" customFormat="1" ht="13.5" customHeight="1">
      <c r="A15" s="2469" t="s">
        <v>2409</v>
      </c>
      <c r="B15" s="2475" t="s">
        <v>2408</v>
      </c>
      <c r="C15" s="2473"/>
      <c r="D15" s="757"/>
      <c r="E15" s="756"/>
      <c r="F15" s="2474"/>
      <c r="G15" s="2477" t="s">
        <v>2413</v>
      </c>
    </row>
    <row r="16" spans="1:25" s="2184" customFormat="1" ht="48">
      <c r="A16" s="2469">
        <v>3</v>
      </c>
      <c r="B16" s="747" t="s">
        <v>581</v>
      </c>
      <c r="C16" s="2473"/>
      <c r="D16" s="759"/>
      <c r="E16" s="748"/>
      <c r="F16" s="760"/>
      <c r="G16" s="758" t="s">
        <v>2415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582</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583</v>
      </c>
      <c r="C18" s="748">
        <f>ROUND((C7+C10+C16)*F18,0)</f>
        <v>0</v>
      </c>
      <c r="D18" s="761"/>
      <c r="E18" s="762"/>
      <c r="F18" s="760">
        <f>'数据-取费表'!Q16</f>
        <v>0.25</v>
      </c>
      <c r="G18" s="764" t="s">
        <v>584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585</v>
      </c>
      <c r="C19" s="748">
        <f ca="1">C7+C10+C16+C17+C18</f>
        <v>0</v>
      </c>
      <c r="D19" s="759"/>
      <c r="E19" s="748"/>
      <c r="F19" s="760"/>
      <c r="G19" s="764" t="s">
        <v>586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587</v>
      </c>
      <c r="C20" s="748">
        <f ca="1">ROUND(C19*F20,0)</f>
        <v>0</v>
      </c>
      <c r="D20" s="759"/>
      <c r="E20" s="748"/>
      <c r="F20" s="1348"/>
      <c r="G20" s="764" t="s">
        <v>588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589</v>
      </c>
      <c r="C21" s="748">
        <f ca="1">C19+C20</f>
        <v>0</v>
      </c>
      <c r="D21" s="759"/>
      <c r="E21" s="748"/>
      <c r="F21" s="760"/>
      <c r="G21" s="764" t="s">
        <v>590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591</v>
      </c>
      <c r="C22" s="748">
        <f ca="1">ROUND(C21*F22,0)</f>
        <v>0</v>
      </c>
      <c r="D22" s="759"/>
      <c r="E22" s="748"/>
      <c r="F22" s="765">
        <f>'数据-取费表'!AP16</f>
        <v>0.83199999999999996</v>
      </c>
      <c r="G22" s="764" t="s">
        <v>592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593</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42" sqref="M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2623" t="s">
        <v>685</v>
      </c>
      <c r="C1" s="2624" t="s">
        <v>686</v>
      </c>
      <c r="D1" s="2625" t="s">
        <v>2939</v>
      </c>
      <c r="E1" s="2626"/>
      <c r="F1" s="2807" t="s">
        <v>2966</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433</v>
      </c>
      <c r="B2" s="2622">
        <f>ROUND(B3*D3/10000,0)</f>
        <v>151329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485</v>
      </c>
      <c r="B3" s="850">
        <f>C49</f>
        <v>13715</v>
      </c>
      <c r="C3" s="851" t="s">
        <v>688</v>
      </c>
      <c r="D3" s="850">
        <f>SUMIF('数据-汇总表'!$C19:$C33,D1,'数据-汇总表'!$E19:$E33)</f>
        <v>110338.60799999999</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487</v>
      </c>
      <c r="B4" s="513"/>
      <c r="C4" s="3378" t="s">
        <v>488</v>
      </c>
      <c r="D4" s="3379"/>
      <c r="E4" s="3414" t="s">
        <v>489</v>
      </c>
      <c r="F4" s="3415"/>
      <c r="G4" s="3378" t="s">
        <v>490</v>
      </c>
      <c r="H4" s="3379"/>
      <c r="I4" s="3378" t="s">
        <v>491</v>
      </c>
      <c r="J4" s="3379"/>
      <c r="K4" s="852"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5" t="s">
        <v>490</v>
      </c>
      <c r="AC4" s="3375" t="s">
        <v>491</v>
      </c>
    </row>
    <row r="5" spans="1:29" ht="15">
      <c r="A5" s="515"/>
      <c r="B5" s="516"/>
      <c r="C5" s="3394" t="s">
        <v>2974</v>
      </c>
      <c r="D5" s="3395"/>
      <c r="E5" s="3489" t="s">
        <v>2977</v>
      </c>
      <c r="F5" s="3417"/>
      <c r="G5" s="3394" t="s">
        <v>2978</v>
      </c>
      <c r="H5" s="3395"/>
      <c r="I5" s="3394" t="s">
        <v>2979</v>
      </c>
      <c r="J5" s="3395"/>
      <c r="K5" s="853"/>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853"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v>43360</v>
      </c>
      <c r="F7" s="522">
        <f>SUMIF(58:58,YEAR(E7)&amp;"-"&amp;MONTH(E7),59:59)</f>
        <v>100</v>
      </c>
      <c r="G7" s="521">
        <v>43360</v>
      </c>
      <c r="H7" s="520">
        <f>SUMIF(58:58,YEAR(G7)&amp;"-"&amp;MONTH(G7),59:59)</f>
        <v>100</v>
      </c>
      <c r="I7" s="521">
        <v>43360</v>
      </c>
      <c r="J7" s="520">
        <f>SUMIF(58:58,YEAR(I7)&amp;"-"&amp;MONTH(I7),59:59)</f>
        <v>100</v>
      </c>
      <c r="K7" s="854"/>
      <c r="L7" s="2135"/>
      <c r="M7" s="2136"/>
      <c r="N7" s="2136"/>
      <c r="O7" s="2136"/>
      <c r="P7" s="3404" t="s">
        <v>496</v>
      </c>
      <c r="Q7" s="3406"/>
      <c r="R7" s="1567" t="s">
        <v>12</v>
      </c>
      <c r="S7" s="1568">
        <f t="shared" ref="S7:S15" si="0">F7</f>
        <v>100</v>
      </c>
      <c r="T7" s="1567" t="s">
        <v>12</v>
      </c>
      <c r="U7" s="1568">
        <f t="shared" ref="U7:U15" si="1">H7</f>
        <v>100</v>
      </c>
      <c r="V7" s="1567" t="s">
        <v>12</v>
      </c>
      <c r="W7" s="1568">
        <f t="shared" ref="W7:W15" si="2">J7</f>
        <v>100</v>
      </c>
      <c r="X7" s="1569"/>
      <c r="Y7" s="3404" t="s">
        <v>496</v>
      </c>
      <c r="Z7" s="3405"/>
      <c r="AA7" s="1570">
        <f>D7/F7</f>
        <v>1</v>
      </c>
      <c r="AB7" s="1570">
        <f>D7/H7</f>
        <v>1</v>
      </c>
      <c r="AC7" s="1570">
        <f>D7/J7</f>
        <v>1</v>
      </c>
    </row>
    <row r="8" spans="1:29" s="1219" customFormat="1" ht="15.75" thickBot="1">
      <c r="A8" s="2913"/>
      <c r="B8" s="2920" t="s">
        <v>497</v>
      </c>
      <c r="C8" s="525" t="s">
        <v>542</v>
      </c>
      <c r="D8" s="520">
        <v>100</v>
      </c>
      <c r="E8" s="525" t="s">
        <v>542</v>
      </c>
      <c r="F8" s="522">
        <f>SUMIF(61:61,E8,62:62)-SUMIF(61:61,C8,62:62)+100</f>
        <v>100</v>
      </c>
      <c r="G8" s="525" t="s">
        <v>542</v>
      </c>
      <c r="H8" s="520">
        <f>SUMIF(61:61,G8,62:62)-SUMIF(61:61,C8,62:62)+100</f>
        <v>100</v>
      </c>
      <c r="I8" s="525" t="s">
        <v>542</v>
      </c>
      <c r="J8" s="520">
        <f>SUMIF(61:61,I8,62:62)-SUMIF(61:61,C8,62:62)+100</f>
        <v>100</v>
      </c>
      <c r="K8" s="854"/>
      <c r="L8" s="2135"/>
      <c r="M8" s="2136"/>
      <c r="N8" s="2136"/>
      <c r="O8" s="2136"/>
      <c r="P8" s="3404" t="s">
        <v>499</v>
      </c>
      <c r="Q8" s="3405"/>
      <c r="R8" s="1567" t="s">
        <v>12</v>
      </c>
      <c r="S8" s="1568">
        <f t="shared" si="0"/>
        <v>100</v>
      </c>
      <c r="T8" s="1567" t="s">
        <v>12</v>
      </c>
      <c r="U8" s="1568">
        <f t="shared" si="1"/>
        <v>100</v>
      </c>
      <c r="V8" s="1567" t="s">
        <v>12</v>
      </c>
      <c r="W8" s="1568">
        <f t="shared" si="2"/>
        <v>100</v>
      </c>
      <c r="X8" s="1569"/>
      <c r="Y8" s="3404" t="s">
        <v>499</v>
      </c>
      <c r="Z8" s="3405"/>
      <c r="AA8" s="1570">
        <f t="shared" ref="AA8:AA46" si="3">D8/F8</f>
        <v>1</v>
      </c>
      <c r="AB8" s="1570">
        <f t="shared" ref="AB8:AB46" si="4">D8/H8</f>
        <v>1</v>
      </c>
      <c r="AC8" s="1570">
        <f t="shared" ref="AC8:AC46" si="5">D8/J8</f>
        <v>1</v>
      </c>
    </row>
    <row r="9" spans="1:29" s="1219" customFormat="1" ht="15">
      <c r="A9" s="2914"/>
      <c r="B9" s="2921" t="s">
        <v>2718</v>
      </c>
      <c r="C9" s="3186" t="s">
        <v>2976</v>
      </c>
      <c r="D9" s="254">
        <v>100</v>
      </c>
      <c r="E9" s="857" t="s">
        <v>2975</v>
      </c>
      <c r="F9" s="858">
        <f>SUMIF(63:63,E9,64:64)-SUMIF(63:63,C9,64:64)+100</f>
        <v>100</v>
      </c>
      <c r="G9" s="857" t="s">
        <v>2975</v>
      </c>
      <c r="H9" s="254">
        <f>SUMIF(63:63,G9,64:64)-SUMIF(63:63,C9,64:64)+100</f>
        <v>100</v>
      </c>
      <c r="I9" s="857" t="s">
        <v>2975</v>
      </c>
      <c r="J9" s="254">
        <f>SUMIF(63:63,I9,64:64)-SUMIF(63:63,C9,64:64)+100</f>
        <v>100</v>
      </c>
      <c r="K9" s="85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t="s">
        <v>3002</v>
      </c>
      <c r="D10" s="255">
        <v>100</v>
      </c>
      <c r="E10" s="861" t="s">
        <v>3003</v>
      </c>
      <c r="F10" s="862">
        <f>SUMIF(65:65,E10,66:66)-SUMIF(65:65,C10,66:66)+100</f>
        <v>101</v>
      </c>
      <c r="G10" s="860" t="s">
        <v>3003</v>
      </c>
      <c r="H10" s="255">
        <f>SUMIF(65:65,G10,66:66)-SUMIF(65:65,C10,66:66)+100</f>
        <v>101</v>
      </c>
      <c r="I10" s="860" t="s">
        <v>3003</v>
      </c>
      <c r="J10" s="255">
        <f>SUMIF(65:65,I10,66:66)-SUMIF(65:65,C10,66:66)+100</f>
        <v>101</v>
      </c>
      <c r="K10" s="863">
        <v>1</v>
      </c>
      <c r="L10" s="2138"/>
      <c r="M10" s="2178"/>
      <c r="N10" s="2178"/>
      <c r="O10" s="2139"/>
      <c r="P10" s="3372"/>
      <c r="Q10" s="1150" t="str">
        <f t="shared" si="6"/>
        <v>土地使用年限（年）</v>
      </c>
      <c r="R10" s="1567" t="s">
        <v>8</v>
      </c>
      <c r="S10" s="1568">
        <f t="shared" si="0"/>
        <v>101</v>
      </c>
      <c r="T10" s="1567" t="s">
        <v>8</v>
      </c>
      <c r="U10" s="1568">
        <f t="shared" si="1"/>
        <v>101</v>
      </c>
      <c r="V10" s="1567" t="s">
        <v>8</v>
      </c>
      <c r="W10" s="1568">
        <f t="shared" si="2"/>
        <v>101</v>
      </c>
      <c r="X10" s="1569"/>
      <c r="Y10" s="3318"/>
      <c r="Z10" s="1149" t="str">
        <f t="shared" si="7"/>
        <v>土地使用年限（年）</v>
      </c>
      <c r="AA10" s="1570">
        <f t="shared" si="3"/>
        <v>0.99009900990099009</v>
      </c>
      <c r="AB10" s="1570">
        <f t="shared" si="4"/>
        <v>0.99009900990099009</v>
      </c>
      <c r="AC10" s="1570">
        <f t="shared" si="5"/>
        <v>0.99009900990099009</v>
      </c>
    </row>
    <row r="11" spans="1:29" ht="15">
      <c r="A11" s="2916"/>
      <c r="B11" s="2920" t="s">
        <v>2720</v>
      </c>
      <c r="C11" s="532">
        <f>'数据-汇总表'!I4</f>
        <v>4.8</v>
      </c>
      <c r="D11" s="255">
        <v>100</v>
      </c>
      <c r="E11" s="533">
        <v>4.5</v>
      </c>
      <c r="F11" s="862">
        <f>LOOKUP(E11,68:68,69:69)-LOOKUP(C11,68:68,69:69)+100</f>
        <v>100</v>
      </c>
      <c r="G11" s="532">
        <v>3.02</v>
      </c>
      <c r="H11" s="255">
        <f>LOOKUP(G11,68:68,69:69)-LOOKUP(C11,68:68,69:69)+100</f>
        <v>101</v>
      </c>
      <c r="I11" s="532">
        <v>2.98</v>
      </c>
      <c r="J11" s="255">
        <f>LOOKUP(I11,68:68,69:69)-LOOKUP(C11,68:68,69:69)+100</f>
        <v>102</v>
      </c>
      <c r="K11" s="863">
        <v>1</v>
      </c>
      <c r="L11" s="2140"/>
      <c r="M11" s="2134"/>
      <c r="N11" s="2134"/>
      <c r="O11" s="2141"/>
      <c r="P11" s="3372"/>
      <c r="Q11" s="1150" t="str">
        <f t="shared" si="6"/>
        <v>容积率</v>
      </c>
      <c r="R11" s="1567" t="s">
        <v>11</v>
      </c>
      <c r="S11" s="1568">
        <f t="shared" si="0"/>
        <v>100</v>
      </c>
      <c r="T11" s="1567" t="s">
        <v>11</v>
      </c>
      <c r="U11" s="1568">
        <f t="shared" si="1"/>
        <v>101</v>
      </c>
      <c r="V11" s="1567" t="s">
        <v>11</v>
      </c>
      <c r="W11" s="1568">
        <f t="shared" si="2"/>
        <v>102</v>
      </c>
      <c r="X11" s="1569"/>
      <c r="Y11" s="3318"/>
      <c r="Z11" s="1149" t="str">
        <f t="shared" si="7"/>
        <v>容积率</v>
      </c>
      <c r="AA11" s="1570">
        <f t="shared" si="3"/>
        <v>1</v>
      </c>
      <c r="AB11" s="1570">
        <f t="shared" si="4"/>
        <v>0.99009900990099009</v>
      </c>
      <c r="AC11" s="1570">
        <f t="shared" si="5"/>
        <v>0.98039215686274506</v>
      </c>
    </row>
    <row r="12" spans="1:29" s="1219" customFormat="1" ht="15">
      <c r="A12" s="2917"/>
      <c r="B12" s="2923"/>
      <c r="C12" s="528"/>
      <c r="D12" s="537">
        <v>100</v>
      </c>
      <c r="E12" s="528"/>
      <c r="F12" s="862">
        <f>SUMIF(70:70,E12,71:71)-SUMIF(70:70,C12,71:71)+100</f>
        <v>100</v>
      </c>
      <c r="G12" s="528"/>
      <c r="H12" s="255">
        <f>SUMIF(70:70,G12,71:71)-SUMIF(70:70,C12,71:71)+100</f>
        <v>100</v>
      </c>
      <c r="I12" s="528"/>
      <c r="J12" s="255">
        <f>SUMIF(70:70,I12,71:71)-SUMIF(70:70,C12,71:71)+100</f>
        <v>100</v>
      </c>
      <c r="K12" s="864"/>
      <c r="L12" s="2135"/>
      <c r="M12" s="2136"/>
      <c r="N12" s="2136"/>
      <c r="O12" s="2137"/>
      <c r="P12" s="3372"/>
      <c r="Q12" s="1150">
        <f t="shared" si="6"/>
        <v>0</v>
      </c>
      <c r="R12" s="1567" t="s">
        <v>11</v>
      </c>
      <c r="S12" s="1568">
        <f t="shared" si="0"/>
        <v>100</v>
      </c>
      <c r="T12" s="1567" t="s">
        <v>11</v>
      </c>
      <c r="U12" s="1568">
        <f t="shared" si="1"/>
        <v>100</v>
      </c>
      <c r="V12" s="1567" t="s">
        <v>11</v>
      </c>
      <c r="W12" s="1568">
        <f t="shared" si="2"/>
        <v>100</v>
      </c>
      <c r="X12" s="1569"/>
      <c r="Y12" s="3318"/>
      <c r="Z12" s="1149">
        <f t="shared" si="7"/>
        <v>0</v>
      </c>
      <c r="AA12" s="1570">
        <f>D12/F12</f>
        <v>1</v>
      </c>
      <c r="AB12" s="1570">
        <f>D12/H12</f>
        <v>1</v>
      </c>
      <c r="AC12" s="1570">
        <f>D12/J12</f>
        <v>1</v>
      </c>
    </row>
    <row r="13" spans="1:29" ht="15">
      <c r="A13" s="2917"/>
      <c r="B13" s="2923"/>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2"/>
      <c r="Q13" s="1150">
        <f t="shared" si="6"/>
        <v>0</v>
      </c>
      <c r="R13" s="1567" t="s">
        <v>11</v>
      </c>
      <c r="S13" s="1568">
        <f t="shared" si="0"/>
        <v>100</v>
      </c>
      <c r="T13" s="1567" t="s">
        <v>11</v>
      </c>
      <c r="U13" s="1568">
        <f t="shared" si="1"/>
        <v>100</v>
      </c>
      <c r="V13" s="1567" t="s">
        <v>11</v>
      </c>
      <c r="W13" s="1568">
        <f t="shared" si="2"/>
        <v>100</v>
      </c>
      <c r="X13" s="1569"/>
      <c r="Y13" s="3318"/>
      <c r="Z13" s="1149">
        <f t="shared" si="7"/>
        <v>0</v>
      </c>
      <c r="AA13" s="1570">
        <f t="shared" si="3"/>
        <v>1</v>
      </c>
      <c r="AB13" s="1570">
        <f t="shared" si="4"/>
        <v>1</v>
      </c>
      <c r="AC13" s="1570">
        <f t="shared" si="5"/>
        <v>1</v>
      </c>
    </row>
    <row r="14" spans="1:29" ht="15.75" thickBot="1">
      <c r="A14" s="2918"/>
      <c r="B14" s="2924"/>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2"/>
      <c r="Q14" s="1150">
        <f t="shared" si="6"/>
        <v>0</v>
      </c>
      <c r="R14" s="1567" t="s">
        <v>11</v>
      </c>
      <c r="S14" s="1568">
        <f t="shared" si="0"/>
        <v>100</v>
      </c>
      <c r="T14" s="1567" t="s">
        <v>11</v>
      </c>
      <c r="U14" s="1568">
        <f t="shared" si="1"/>
        <v>100</v>
      </c>
      <c r="V14" s="1567" t="s">
        <v>11</v>
      </c>
      <c r="W14" s="1568">
        <f t="shared" si="2"/>
        <v>100</v>
      </c>
      <c r="X14" s="1569"/>
      <c r="Y14" s="3318"/>
      <c r="Z14" s="1149">
        <f t="shared" si="7"/>
        <v>0</v>
      </c>
      <c r="AA14" s="1570">
        <f t="shared" si="3"/>
        <v>1</v>
      </c>
      <c r="AB14" s="1570">
        <f t="shared" si="4"/>
        <v>1</v>
      </c>
      <c r="AC14" s="1570">
        <f t="shared" si="5"/>
        <v>1</v>
      </c>
    </row>
    <row r="15" spans="1:29" ht="128.25">
      <c r="A15" s="2910" t="s">
        <v>2716</v>
      </c>
      <c r="B15" s="166" t="s">
        <v>261</v>
      </c>
      <c r="C15" s="866" t="str">
        <f>估价对象房地状况!C3</f>
        <v>估价对象周边居住用地比例较好、周边有恒隆国际公寓等项目、居住小区规模和社区发展完善程度较好，综合评价居住社区成熟度较好</v>
      </c>
      <c r="D15" s="548">
        <v>100</v>
      </c>
      <c r="E15" s="549" t="s">
        <v>3006</v>
      </c>
      <c r="F15" s="550">
        <f>SUMIF(76:76,E16,77:77)-SUMIF(76:76,C16,77:77)+100</f>
        <v>100</v>
      </c>
      <c r="G15" s="3191" t="s">
        <v>3029</v>
      </c>
      <c r="H15" s="548">
        <f>SUMIF(76:76,G16,77:77)-SUMIF(76:76,C16,77:77)+100</f>
        <v>100</v>
      </c>
      <c r="I15" s="549" t="s">
        <v>3006</v>
      </c>
      <c r="J15" s="548">
        <f>SUMIF(76:76,I16,77:77)-SUMIF(76:76,C16,77:77)+100</f>
        <v>100</v>
      </c>
      <c r="K15" s="867">
        <v>2</v>
      </c>
      <c r="L15" s="2142"/>
      <c r="M15" s="2134"/>
      <c r="N15" s="2134"/>
      <c r="O15" s="2141"/>
      <c r="P15" s="3407" t="s">
        <v>506</v>
      </c>
      <c r="Q15" s="1571" t="str">
        <f t="shared" si="6"/>
        <v>居住社区成熟度</v>
      </c>
      <c r="R15" s="1572" t="s">
        <v>11</v>
      </c>
      <c r="S15" s="1573">
        <f t="shared" si="0"/>
        <v>100</v>
      </c>
      <c r="T15" s="1572" t="s">
        <v>11</v>
      </c>
      <c r="U15" s="1573">
        <f t="shared" si="1"/>
        <v>100</v>
      </c>
      <c r="V15" s="1572" t="s">
        <v>11</v>
      </c>
      <c r="W15" s="1573">
        <f t="shared" si="2"/>
        <v>100</v>
      </c>
      <c r="X15" s="1566"/>
      <c r="Y15" s="3407" t="s">
        <v>506</v>
      </c>
      <c r="Z15" s="1574" t="str">
        <f t="shared" si="7"/>
        <v>居住社区成熟度</v>
      </c>
      <c r="AA15" s="1575">
        <f t="shared" si="3"/>
        <v>1</v>
      </c>
      <c r="AB15" s="1575">
        <f t="shared" si="4"/>
        <v>1</v>
      </c>
      <c r="AC15" s="1575">
        <f t="shared" si="5"/>
        <v>1</v>
      </c>
    </row>
    <row r="16" spans="1:29" ht="15">
      <c r="A16" s="531"/>
      <c r="B16" s="868"/>
      <c r="C16" s="575" t="s">
        <v>3015</v>
      </c>
      <c r="D16" s="554"/>
      <c r="E16" s="555" t="s">
        <v>3015</v>
      </c>
      <c r="F16" s="556"/>
      <c r="G16" s="555" t="s">
        <v>3015</v>
      </c>
      <c r="H16" s="558"/>
      <c r="I16" s="555" t="s">
        <v>3015</v>
      </c>
      <c r="J16" s="554"/>
      <c r="K16" s="869"/>
      <c r="L16" s="2142"/>
      <c r="M16" s="2134"/>
      <c r="N16" s="2134"/>
      <c r="O16" s="2141"/>
      <c r="P16" s="3408"/>
      <c r="Q16" s="1571"/>
      <c r="R16" s="1572"/>
      <c r="S16" s="1573"/>
      <c r="T16" s="1572"/>
      <c r="U16" s="1573"/>
      <c r="V16" s="1572"/>
      <c r="W16" s="1573"/>
      <c r="X16" s="1566"/>
      <c r="Y16" s="340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t="s">
        <v>3004</v>
      </c>
      <c r="F17" s="562">
        <f>SUMIF(78:78,E18,79:79)-SUMIF(78:78,C18,79:79)+100</f>
        <v>100</v>
      </c>
      <c r="G17" s="561" t="s">
        <v>3004</v>
      </c>
      <c r="H17" s="564">
        <f>SUMIF(78:78,G18,79:79)-SUMIF(78:78,C18,79:79)+100</f>
        <v>100</v>
      </c>
      <c r="I17" s="561" t="s">
        <v>3030</v>
      </c>
      <c r="J17" s="564">
        <f>SUMIF(78:78,I18,79:79)-SUMIF(78:78,C18,79:79)+100</f>
        <v>100</v>
      </c>
      <c r="K17" s="867">
        <v>1</v>
      </c>
      <c r="L17" s="2142"/>
      <c r="M17" s="2134"/>
      <c r="N17" s="2134"/>
      <c r="O17" s="2141"/>
      <c r="P17" s="3408"/>
      <c r="Q17" s="1571" t="str">
        <f>B17</f>
        <v>交通便捷度</v>
      </c>
      <c r="R17" s="1572" t="s">
        <v>11</v>
      </c>
      <c r="S17" s="1573">
        <f>F17</f>
        <v>100</v>
      </c>
      <c r="T17" s="1572" t="s">
        <v>11</v>
      </c>
      <c r="U17" s="1573">
        <f>H17</f>
        <v>100</v>
      </c>
      <c r="V17" s="1572" t="s">
        <v>11</v>
      </c>
      <c r="W17" s="1573">
        <f>J17</f>
        <v>100</v>
      </c>
      <c r="X17" s="1566"/>
      <c r="Y17" s="3408"/>
      <c r="Z17" s="1574" t="str">
        <f>Q17</f>
        <v>交通便捷度</v>
      </c>
      <c r="AA17" s="1575">
        <f t="shared" si="3"/>
        <v>1</v>
      </c>
      <c r="AB17" s="1575">
        <f t="shared" si="4"/>
        <v>1</v>
      </c>
      <c r="AC17" s="1575">
        <f t="shared" si="5"/>
        <v>1</v>
      </c>
    </row>
    <row r="18" spans="1:29" ht="15">
      <c r="A18" s="531"/>
      <c r="B18" s="594"/>
      <c r="C18" s="872" t="s">
        <v>3015</v>
      </c>
      <c r="D18" s="558"/>
      <c r="E18" s="567" t="s">
        <v>3015</v>
      </c>
      <c r="F18" s="562"/>
      <c r="G18" s="567" t="s">
        <v>3015</v>
      </c>
      <c r="H18" s="554"/>
      <c r="I18" s="567" t="s">
        <v>3015</v>
      </c>
      <c r="J18" s="554"/>
      <c r="K18" s="869"/>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t="s">
        <v>3008</v>
      </c>
      <c r="F19" s="570">
        <f>SUMIF(80:80,E20,81:81)-SUMIF(80:80,C20,81:81)+100</f>
        <v>100</v>
      </c>
      <c r="G19" s="569" t="s">
        <v>3008</v>
      </c>
      <c r="H19" s="558">
        <f>SUMIF(80:80,G20,81:81)-SUMIF(80:80,C20,81:81)+100</f>
        <v>100</v>
      </c>
      <c r="I19" s="569" t="s">
        <v>3008</v>
      </c>
      <c r="J19" s="558">
        <f>SUMIF(80:80,I20,81:81)-SUMIF(80:80,C20,81:81)+100</f>
        <v>100</v>
      </c>
      <c r="K19" s="867">
        <v>1</v>
      </c>
      <c r="L19" s="2142"/>
      <c r="M19" s="2134"/>
      <c r="N19" s="2134"/>
      <c r="O19" s="2141"/>
      <c r="P19" s="3408"/>
      <c r="Q19" s="1571" t="str">
        <f>B19</f>
        <v>公共配套设施</v>
      </c>
      <c r="R19" s="1572" t="s">
        <v>11</v>
      </c>
      <c r="S19" s="1573">
        <f>F19</f>
        <v>100</v>
      </c>
      <c r="T19" s="1572" t="s">
        <v>11</v>
      </c>
      <c r="U19" s="1573">
        <f>H19</f>
        <v>100</v>
      </c>
      <c r="V19" s="1572" t="s">
        <v>11</v>
      </c>
      <c r="W19" s="1573">
        <f>J19</f>
        <v>100</v>
      </c>
      <c r="X19" s="1566"/>
      <c r="Y19" s="3408"/>
      <c r="Z19" s="1574" t="str">
        <f>Q19</f>
        <v>公共配套设施</v>
      </c>
      <c r="AA19" s="1575">
        <f t="shared" si="3"/>
        <v>1</v>
      </c>
      <c r="AB19" s="1575">
        <f t="shared" si="4"/>
        <v>1</v>
      </c>
      <c r="AC19" s="1575">
        <f t="shared" si="5"/>
        <v>1</v>
      </c>
    </row>
    <row r="20" spans="1:29" ht="15">
      <c r="A20" s="531"/>
      <c r="B20" s="594"/>
      <c r="C20" s="575" t="s">
        <v>3015</v>
      </c>
      <c r="D20" s="554"/>
      <c r="E20" s="555" t="s">
        <v>3015</v>
      </c>
      <c r="F20" s="556"/>
      <c r="G20" s="555" t="s">
        <v>3015</v>
      </c>
      <c r="H20" s="554"/>
      <c r="I20" s="555" t="s">
        <v>3015</v>
      </c>
      <c r="J20" s="554"/>
      <c r="K20" s="869"/>
      <c r="L20" s="2142"/>
      <c r="M20" s="2134"/>
      <c r="N20" s="2134"/>
      <c r="O20" s="2141"/>
      <c r="P20" s="3408"/>
      <c r="Q20" s="1571"/>
      <c r="R20" s="1572"/>
      <c r="S20" s="1573"/>
      <c r="T20" s="1572"/>
      <c r="U20" s="1573"/>
      <c r="V20" s="1572"/>
      <c r="W20" s="1573"/>
      <c r="X20" s="1566"/>
      <c r="Y20" s="3408"/>
      <c r="Z20" s="1574"/>
      <c r="AA20" s="1575">
        <v>1</v>
      </c>
      <c r="AB20" s="1575">
        <v>1</v>
      </c>
      <c r="AC20" s="1575">
        <v>1</v>
      </c>
    </row>
    <row r="21" spans="1:29" ht="42.75">
      <c r="A21" s="531"/>
      <c r="B21" s="2593" t="s">
        <v>2521</v>
      </c>
      <c r="C21" s="871" t="str">
        <f>估价对象房地状况!C8</f>
        <v>估价对象所在区域基础设施水平较好</v>
      </c>
      <c r="D21" s="564">
        <v>100</v>
      </c>
      <c r="E21" s="571" t="s">
        <v>3010</v>
      </c>
      <c r="F21" s="570">
        <f>SUMIF(82:82,E22,83:83)-SUMIF(82:82,C22,83:83)+100</f>
        <v>100</v>
      </c>
      <c r="G21" s="571" t="s">
        <v>3010</v>
      </c>
      <c r="H21" s="564">
        <f>SUMIF(82:82,G22,83:83)-SUMIF(82:82,C22,83:83)+100</f>
        <v>100</v>
      </c>
      <c r="I21" s="571" t="s">
        <v>3010</v>
      </c>
      <c r="J21" s="564">
        <f>SUMIF(82:82,I22,83:83)-SUMIF(82:82,C22,83:83)+100</f>
        <v>100</v>
      </c>
      <c r="K21" s="867">
        <v>1</v>
      </c>
      <c r="L21" s="2142"/>
      <c r="M21" s="2134"/>
      <c r="N21" s="2134"/>
      <c r="O21" s="2141"/>
      <c r="P21" s="3408"/>
      <c r="Q21" s="2579" t="str">
        <f>B21</f>
        <v>基础设施水平</v>
      </c>
      <c r="R21" s="1572" t="s">
        <v>11</v>
      </c>
      <c r="S21" s="1573">
        <f>F21</f>
        <v>100</v>
      </c>
      <c r="T21" s="1572" t="s">
        <v>11</v>
      </c>
      <c r="U21" s="1573">
        <f>H21</f>
        <v>100</v>
      </c>
      <c r="V21" s="1572" t="s">
        <v>11</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921"/>
      <c r="C22" s="872" t="s">
        <v>2998</v>
      </c>
      <c r="D22" s="554"/>
      <c r="E22" s="575" t="s">
        <v>2998</v>
      </c>
      <c r="F22" s="556"/>
      <c r="G22" s="575" t="s">
        <v>2998</v>
      </c>
      <c r="H22" s="554"/>
      <c r="I22" s="575" t="s">
        <v>2998</v>
      </c>
      <c r="J22" s="554"/>
      <c r="K22" s="2599"/>
      <c r="L22" s="2142"/>
      <c r="M22" s="2134"/>
      <c r="N22" s="2134"/>
      <c r="O22" s="2141"/>
      <c r="P22" s="3408"/>
      <c r="Q22" s="2579"/>
      <c r="R22" s="1572"/>
      <c r="S22" s="1573"/>
      <c r="T22" s="1572"/>
      <c r="U22" s="1573"/>
      <c r="V22" s="1572"/>
      <c r="W22" s="1573"/>
      <c r="X22" s="2581"/>
      <c r="Y22" s="3408"/>
      <c r="Z22" s="2580"/>
      <c r="AA22" s="1575">
        <v>1</v>
      </c>
      <c r="AB22" s="1575">
        <v>1</v>
      </c>
      <c r="AC22" s="1575">
        <v>1</v>
      </c>
    </row>
    <row r="23" spans="1:29" ht="81">
      <c r="A23" s="531"/>
      <c r="B23" s="870" t="s">
        <v>263</v>
      </c>
      <c r="C23" s="871" t="str">
        <f>估价对象房地状况!C9</f>
        <v>区域自然环境及人文环境较好，周边有南通中央公园等；综合评价环境状况较好</v>
      </c>
      <c r="D23" s="558">
        <v>100</v>
      </c>
      <c r="E23" s="561" t="s">
        <v>3012</v>
      </c>
      <c r="F23" s="562">
        <f>SUMIF(84:84,E24,85:85)-SUMIF(84:84,C24,85:85)+100</f>
        <v>100</v>
      </c>
      <c r="G23" s="561" t="s">
        <v>3012</v>
      </c>
      <c r="H23" s="558">
        <f>SUMIF(84:84,G24,85:85)-SUMIF(84:84,C24,85:85)+100</f>
        <v>100</v>
      </c>
      <c r="I23" s="3192" t="s">
        <v>3031</v>
      </c>
      <c r="J23" s="558">
        <f>SUMIF(84:84,I24,85:85)-SUMIF(84:84,C24,85:85)+100</f>
        <v>100</v>
      </c>
      <c r="K23" s="867">
        <v>1</v>
      </c>
      <c r="L23" s="2142"/>
      <c r="M23" s="2134"/>
      <c r="N23" s="2134"/>
      <c r="O23" s="2141"/>
      <c r="P23" s="3408"/>
      <c r="Q23" s="1571" t="str">
        <f>B23</f>
        <v>自然及人文环境</v>
      </c>
      <c r="R23" s="1572" t="s">
        <v>11</v>
      </c>
      <c r="S23" s="1573">
        <f>F23</f>
        <v>100</v>
      </c>
      <c r="T23" s="1572" t="s">
        <v>11</v>
      </c>
      <c r="U23" s="1573">
        <f>H23</f>
        <v>100</v>
      </c>
      <c r="V23" s="1572" t="s">
        <v>11</v>
      </c>
      <c r="W23" s="1573">
        <f>J23</f>
        <v>100</v>
      </c>
      <c r="X23" s="1566"/>
      <c r="Y23" s="3408"/>
      <c r="Z23" s="1574" t="str">
        <f>Q23</f>
        <v>自然及人文环境</v>
      </c>
      <c r="AA23" s="1575">
        <f t="shared" si="3"/>
        <v>1</v>
      </c>
      <c r="AB23" s="1575">
        <f t="shared" si="4"/>
        <v>1</v>
      </c>
      <c r="AC23" s="1575">
        <f t="shared" si="5"/>
        <v>1</v>
      </c>
    </row>
    <row r="24" spans="1:29" ht="15">
      <c r="A24" s="531"/>
      <c r="B24" s="594"/>
      <c r="C24" s="575" t="s">
        <v>3015</v>
      </c>
      <c r="D24" s="554"/>
      <c r="E24" s="555" t="s">
        <v>3015</v>
      </c>
      <c r="F24" s="556"/>
      <c r="G24" s="555" t="s">
        <v>3015</v>
      </c>
      <c r="H24" s="554"/>
      <c r="I24" s="555" t="s">
        <v>3015</v>
      </c>
      <c r="J24" s="554"/>
      <c r="K24" s="869"/>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31"/>
      <c r="B25" s="1895" t="s">
        <v>2219</v>
      </c>
      <c r="C25" s="573" t="s">
        <v>2984</v>
      </c>
      <c r="D25" s="539">
        <v>100</v>
      </c>
      <c r="E25" s="873" t="s">
        <v>918</v>
      </c>
      <c r="F25" s="574">
        <f>SUMIF(86:86,E25,87:87)-SUMIF(86:86,C25,87:87)+100</f>
        <v>100</v>
      </c>
      <c r="G25" s="873" t="s">
        <v>918</v>
      </c>
      <c r="H25" s="539">
        <f>SUMIF(86:86,G25,87:87)-SUMIF(86:86,C25,87:87)+100</f>
        <v>100</v>
      </c>
      <c r="I25" s="873" t="s">
        <v>918</v>
      </c>
      <c r="J25" s="539">
        <f>SUMIF(86:86,I25,87:87)-SUMIF(86:86,C25,87:87)+100</f>
        <v>100</v>
      </c>
      <c r="K25" s="863">
        <v>1</v>
      </c>
      <c r="L25" s="2142"/>
      <c r="M25" s="2134"/>
      <c r="N25" s="2134"/>
      <c r="O25" s="2141"/>
      <c r="P25" s="3408"/>
      <c r="Q25" s="1571" t="str">
        <f t="shared" ref="Q25:Q46" si="11">B25</f>
        <v>楼层-1</v>
      </c>
      <c r="R25" s="1572" t="s">
        <v>11</v>
      </c>
      <c r="S25" s="1573">
        <f>F25</f>
        <v>100</v>
      </c>
      <c r="T25" s="1572" t="s">
        <v>11</v>
      </c>
      <c r="U25" s="1573">
        <f>H25</f>
        <v>100</v>
      </c>
      <c r="V25" s="1572" t="s">
        <v>11</v>
      </c>
      <c r="W25" s="1573">
        <f>J25</f>
        <v>100</v>
      </c>
      <c r="X25" s="1566"/>
      <c r="Y25" s="3408"/>
      <c r="Z25" s="1574" t="str">
        <f>Q25</f>
        <v>楼层-1</v>
      </c>
      <c r="AA25" s="1575">
        <f t="shared" si="3"/>
        <v>1</v>
      </c>
      <c r="AB25" s="1575">
        <f t="shared" si="4"/>
        <v>1</v>
      </c>
      <c r="AC25" s="1575">
        <f t="shared" si="5"/>
        <v>1</v>
      </c>
    </row>
    <row r="26" spans="1:29" ht="15">
      <c r="A26" s="531"/>
      <c r="B26" s="527" t="s">
        <v>689</v>
      </c>
      <c r="C26" s="573" t="s">
        <v>2984</v>
      </c>
      <c r="D26" s="539">
        <v>100</v>
      </c>
      <c r="E26" s="873" t="s">
        <v>918</v>
      </c>
      <c r="F26" s="574">
        <f>SUMIF(88:88,E26,89:89)-SUMIF(88:88,C26,89:89)+100</f>
        <v>100</v>
      </c>
      <c r="G26" s="873" t="s">
        <v>918</v>
      </c>
      <c r="H26" s="539">
        <f>SUMIF(88:88,G26,89:89)-SUMIF(88:88,C26,89:89)+100</f>
        <v>100</v>
      </c>
      <c r="I26" s="873" t="s">
        <v>918</v>
      </c>
      <c r="J26" s="539">
        <f>SUMIF(88:88,I26,89:89)-SUMIF(88:88,C26,89:89)+100</f>
        <v>100</v>
      </c>
      <c r="K26" s="863">
        <v>1</v>
      </c>
      <c r="L26" s="2142"/>
      <c r="M26" s="2134"/>
      <c r="N26" s="2134"/>
      <c r="O26" s="2141"/>
      <c r="P26" s="3408"/>
      <c r="Q26" s="1571" t="str">
        <f t="shared" si="11"/>
        <v>朝向</v>
      </c>
      <c r="R26" s="1572" t="s">
        <v>11</v>
      </c>
      <c r="S26" s="1573">
        <f>F26</f>
        <v>100</v>
      </c>
      <c r="T26" s="1572" t="s">
        <v>11</v>
      </c>
      <c r="U26" s="1573">
        <f>H26</f>
        <v>100</v>
      </c>
      <c r="V26" s="1572" t="s">
        <v>11</v>
      </c>
      <c r="W26" s="1573">
        <f>J26</f>
        <v>100</v>
      </c>
      <c r="X26" s="1566"/>
      <c r="Y26" s="3408"/>
      <c r="Z26" s="1574" t="str">
        <f>Q26</f>
        <v>朝向</v>
      </c>
      <c r="AA26" s="1575">
        <f t="shared" si="3"/>
        <v>1</v>
      </c>
      <c r="AB26" s="1575">
        <f t="shared" si="4"/>
        <v>1</v>
      </c>
      <c r="AC26" s="1575">
        <f t="shared" si="5"/>
        <v>1</v>
      </c>
    </row>
    <row r="27" spans="1:29" s="1219" customFormat="1" ht="15">
      <c r="A27" s="535"/>
      <c r="B27" s="536" t="s">
        <v>690</v>
      </c>
      <c r="C27" s="3190" t="s">
        <v>3016</v>
      </c>
      <c r="D27" s="874">
        <v>100</v>
      </c>
      <c r="E27" s="3190" t="s">
        <v>3016</v>
      </c>
      <c r="F27" s="875">
        <f>SUMIF(90:90,E27,91:91)-SUMIF(90:90,C27,91:91)+100</f>
        <v>100</v>
      </c>
      <c r="G27" s="3190" t="s">
        <v>3019</v>
      </c>
      <c r="H27" s="874">
        <f>SUMIF(90:90,G27,91:91)-SUMIF(90:90,C27,91:91)+100</f>
        <v>101</v>
      </c>
      <c r="I27" s="3180" t="s">
        <v>2971</v>
      </c>
      <c r="J27" s="874">
        <f>SUMIF(90:90,I27,91:91)-SUMIF(90:90,C27,91:91)+100</f>
        <v>100</v>
      </c>
      <c r="K27" s="864"/>
      <c r="L27" s="2135"/>
      <c r="M27" s="2136"/>
      <c r="N27" s="2136"/>
      <c r="O27" s="2137"/>
      <c r="P27" s="3408"/>
      <c r="Q27" s="1150" t="str">
        <f t="shared" si="11"/>
        <v>道路级别</v>
      </c>
      <c r="R27" s="1567" t="s">
        <v>11</v>
      </c>
      <c r="S27" s="1568">
        <f>F27</f>
        <v>100</v>
      </c>
      <c r="T27" s="1567" t="s">
        <v>11</v>
      </c>
      <c r="U27" s="1568">
        <f>H27</f>
        <v>101</v>
      </c>
      <c r="V27" s="1567" t="s">
        <v>11</v>
      </c>
      <c r="W27" s="1568">
        <f>J27</f>
        <v>100</v>
      </c>
      <c r="X27" s="1569"/>
      <c r="Y27" s="3408"/>
      <c r="Z27" s="1149" t="str">
        <f>Q27</f>
        <v>道路级别</v>
      </c>
      <c r="AA27" s="1575">
        <f>D27/F27</f>
        <v>1</v>
      </c>
      <c r="AB27" s="1575">
        <f>D27/H27</f>
        <v>0.99009900990099009</v>
      </c>
      <c r="AC27" s="1575">
        <f>D27/J27</f>
        <v>1</v>
      </c>
    </row>
    <row r="28" spans="1:29" ht="15">
      <c r="A28" s="531"/>
      <c r="B28" s="876"/>
      <c r="C28" s="3181" t="s">
        <v>3017</v>
      </c>
      <c r="D28" s="539">
        <v>100</v>
      </c>
      <c r="E28" s="3181" t="s">
        <v>3020</v>
      </c>
      <c r="F28" s="574">
        <f>SUMIF(92:92,E28,93:93)-SUMIF(92:92,C28,93:93)+100</f>
        <v>100</v>
      </c>
      <c r="G28" s="3181" t="s">
        <v>3021</v>
      </c>
      <c r="H28" s="539">
        <f>SUMIF(92:92,G28,93:93)-SUMIF(92:92,C28,93:93)+100</f>
        <v>100</v>
      </c>
      <c r="I28" s="3181" t="s">
        <v>2972</v>
      </c>
      <c r="J28" s="539">
        <f>SUMIF(92:92,I28,93:93)-SUMIF(92:92,C28,93:93)+100</f>
        <v>100</v>
      </c>
      <c r="K28" s="864"/>
      <c r="L28" s="2142"/>
      <c r="M28" s="2134"/>
      <c r="N28" s="2134"/>
      <c r="O28" s="2141"/>
      <c r="P28" s="3408"/>
      <c r="Q28" s="1571">
        <f t="shared" si="11"/>
        <v>0</v>
      </c>
      <c r="R28" s="1572" t="s">
        <v>11</v>
      </c>
      <c r="S28" s="1573">
        <f t="shared" ref="S28:S46" si="12">F28</f>
        <v>100</v>
      </c>
      <c r="T28" s="1572" t="s">
        <v>11</v>
      </c>
      <c r="U28" s="1573">
        <f t="shared" ref="U28:U46" si="13">H28</f>
        <v>100</v>
      </c>
      <c r="V28" s="1572" t="s">
        <v>11</v>
      </c>
      <c r="W28" s="1573">
        <f t="shared" ref="W28:W46" si="14">J28</f>
        <v>100</v>
      </c>
      <c r="X28" s="1566"/>
      <c r="Y28" s="3408"/>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8"/>
      <c r="Q29" s="1571">
        <f t="shared" si="11"/>
        <v>0</v>
      </c>
      <c r="R29" s="1572" t="s">
        <v>11</v>
      </c>
      <c r="S29" s="1573">
        <f t="shared" si="12"/>
        <v>100</v>
      </c>
      <c r="T29" s="1572" t="s">
        <v>11</v>
      </c>
      <c r="U29" s="1573">
        <f t="shared" si="13"/>
        <v>100</v>
      </c>
      <c r="V29" s="1572" t="s">
        <v>11</v>
      </c>
      <c r="W29" s="1573">
        <f t="shared" si="14"/>
        <v>100</v>
      </c>
      <c r="X29" s="1566"/>
      <c r="Y29" s="3408"/>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8"/>
      <c r="Q30" s="1571">
        <f t="shared" si="11"/>
        <v>0</v>
      </c>
      <c r="R30" s="1572" t="s">
        <v>11</v>
      </c>
      <c r="S30" s="1573">
        <f t="shared" si="12"/>
        <v>100</v>
      </c>
      <c r="T30" s="1572" t="s">
        <v>11</v>
      </c>
      <c r="U30" s="1573">
        <f t="shared" si="13"/>
        <v>100</v>
      </c>
      <c r="V30" s="1572" t="s">
        <v>11</v>
      </c>
      <c r="W30" s="1573">
        <f t="shared" si="14"/>
        <v>100</v>
      </c>
      <c r="X30" s="1566"/>
      <c r="Y30" s="3408"/>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8"/>
      <c r="Q31" s="1571">
        <f t="shared" si="11"/>
        <v>0</v>
      </c>
      <c r="R31" s="1572" t="s">
        <v>11</v>
      </c>
      <c r="S31" s="1573">
        <f t="shared" si="12"/>
        <v>100</v>
      </c>
      <c r="T31" s="1572" t="s">
        <v>11</v>
      </c>
      <c r="U31" s="1573">
        <f t="shared" si="13"/>
        <v>100</v>
      </c>
      <c r="V31" s="1572" t="s">
        <v>11</v>
      </c>
      <c r="W31" s="1573">
        <f t="shared" si="14"/>
        <v>100</v>
      </c>
      <c r="X31" s="1566"/>
      <c r="Y31" s="3408"/>
      <c r="Z31" s="1574">
        <f t="shared" si="15"/>
        <v>0</v>
      </c>
      <c r="AA31" s="1575">
        <f t="shared" si="3"/>
        <v>1</v>
      </c>
      <c r="AB31" s="1575">
        <f t="shared" si="4"/>
        <v>1</v>
      </c>
      <c r="AC31" s="1575">
        <f t="shared" si="5"/>
        <v>1</v>
      </c>
    </row>
    <row r="32" spans="1:29" ht="15">
      <c r="A32" s="2907" t="s">
        <v>2717</v>
      </c>
      <c r="B32" s="172" t="s">
        <v>691</v>
      </c>
      <c r="C32" s="877" t="s">
        <v>2982</v>
      </c>
      <c r="D32" s="596">
        <v>100</v>
      </c>
      <c r="E32" s="877" t="s">
        <v>2982</v>
      </c>
      <c r="F32" s="574">
        <f>SUMIF(100:100,E32,101:101)-SUMIF(100:100,C32,101:101)+100</f>
        <v>100</v>
      </c>
      <c r="G32" s="877" t="s">
        <v>2982</v>
      </c>
      <c r="H32" s="596">
        <f>SUMIF(100:100,G32,101:101)-SUMIF(100:100,C32,101:101)+100</f>
        <v>100</v>
      </c>
      <c r="I32" s="878" t="s">
        <v>2980</v>
      </c>
      <c r="J32" s="539">
        <f>SUMIF(100:100,I32,101:101)-SUMIF(100:100,C32,101:101)+100</f>
        <v>105</v>
      </c>
      <c r="K32" s="863">
        <v>5</v>
      </c>
      <c r="L32" s="2142"/>
      <c r="M32" s="2134"/>
      <c r="N32" s="2134"/>
      <c r="O32" s="2141"/>
      <c r="P32" s="3409" t="s">
        <v>516</v>
      </c>
      <c r="Q32" s="1571" t="str">
        <f t="shared" si="11"/>
        <v>建筑类型</v>
      </c>
      <c r="R32" s="1572" t="s">
        <v>11</v>
      </c>
      <c r="S32" s="1573">
        <f t="shared" si="12"/>
        <v>100</v>
      </c>
      <c r="T32" s="1572" t="s">
        <v>11</v>
      </c>
      <c r="U32" s="1573">
        <f t="shared" si="13"/>
        <v>100</v>
      </c>
      <c r="V32" s="1572" t="s">
        <v>11</v>
      </c>
      <c r="W32" s="1573">
        <f t="shared" si="14"/>
        <v>105</v>
      </c>
      <c r="X32" s="1566"/>
      <c r="Y32" s="3410" t="s">
        <v>516</v>
      </c>
      <c r="Z32" s="1574" t="str">
        <f t="shared" si="15"/>
        <v>建筑类型</v>
      </c>
      <c r="AA32" s="1575">
        <f t="shared" si="3"/>
        <v>1</v>
      </c>
      <c r="AB32" s="1575">
        <f t="shared" si="4"/>
        <v>1</v>
      </c>
      <c r="AC32" s="1575">
        <f t="shared" si="5"/>
        <v>0.95238095238095233</v>
      </c>
    </row>
    <row r="33" spans="1:29" s="1338" customFormat="1" ht="15">
      <c r="A33" s="602"/>
      <c r="B33" s="527" t="s">
        <v>692</v>
      </c>
      <c r="C33" s="879">
        <f>'数据-基础表'!B3</f>
        <v>110338.60799999999</v>
      </c>
      <c r="D33" s="255">
        <v>100</v>
      </c>
      <c r="E33" s="533">
        <v>48594</v>
      </c>
      <c r="F33" s="862">
        <f>LOOKUP(E33,103:103,104:104)-LOOKUP(C33,103:103,104:104)+100</f>
        <v>98</v>
      </c>
      <c r="G33" s="532">
        <v>136997</v>
      </c>
      <c r="H33" s="255">
        <f>LOOKUP(G33,103:103,104:104)-LOOKUP(C33,103:103,104:104)+100</f>
        <v>100</v>
      </c>
      <c r="I33" s="533">
        <v>32680</v>
      </c>
      <c r="J33" s="255">
        <f>LOOKUP(I33,103:103,104:104)-LOOKUP(C33,103:103,104:104)+100</f>
        <v>98</v>
      </c>
      <c r="K33" s="864"/>
      <c r="L33" s="2140"/>
      <c r="M33" s="2171"/>
      <c r="N33" s="2171"/>
      <c r="O33" s="2143"/>
      <c r="P33" s="3410"/>
      <c r="Q33" s="1604" t="str">
        <f t="shared" si="11"/>
        <v>项目建筑规模</v>
      </c>
      <c r="R33" s="1576" t="s">
        <v>11</v>
      </c>
      <c r="S33" s="1577">
        <f t="shared" si="12"/>
        <v>98</v>
      </c>
      <c r="T33" s="1576" t="s">
        <v>11</v>
      </c>
      <c r="U33" s="1577">
        <f t="shared" si="13"/>
        <v>100</v>
      </c>
      <c r="V33" s="1576" t="s">
        <v>11</v>
      </c>
      <c r="W33" s="1577">
        <f t="shared" si="14"/>
        <v>98</v>
      </c>
      <c r="X33" s="1578"/>
      <c r="Y33" s="3410"/>
      <c r="Z33" s="1579" t="str">
        <f t="shared" si="15"/>
        <v>项目建筑规模</v>
      </c>
      <c r="AA33" s="1575">
        <f t="shared" si="3"/>
        <v>1.0204081632653061</v>
      </c>
      <c r="AB33" s="1575">
        <f t="shared" si="4"/>
        <v>1</v>
      </c>
      <c r="AC33" s="1575">
        <f t="shared" si="5"/>
        <v>1.0204081632653061</v>
      </c>
    </row>
    <row r="34" spans="1:29" ht="15">
      <c r="A34" s="593"/>
      <c r="B34" s="527" t="s">
        <v>693</v>
      </c>
      <c r="C34" s="880" t="s">
        <v>2985</v>
      </c>
      <c r="D34" s="539">
        <v>100</v>
      </c>
      <c r="E34" s="881" t="s">
        <v>2985</v>
      </c>
      <c r="F34" s="574">
        <f>SUMIF(105:105,E34,106:106)-SUMIF(105:105,C34,106:106)+100</f>
        <v>100</v>
      </c>
      <c r="G34" s="881" t="s">
        <v>2985</v>
      </c>
      <c r="H34" s="539">
        <f>SUMIF(105:105,G34,106:106)-SUMIF(105:105,C34,106:106)+100</f>
        <v>100</v>
      </c>
      <c r="I34" s="881" t="s">
        <v>2985</v>
      </c>
      <c r="J34" s="539">
        <f>SUMIF(105:105,I34,106:106)-SUMIF(105:105,C34,106:106)+100</f>
        <v>100</v>
      </c>
      <c r="K34" s="863">
        <v>1</v>
      </c>
      <c r="L34" s="2142"/>
      <c r="M34" s="2134"/>
      <c r="N34" s="2134"/>
      <c r="O34" s="2141"/>
      <c r="P34" s="3410"/>
      <c r="Q34" s="1571" t="str">
        <f t="shared" si="11"/>
        <v>建筑结构</v>
      </c>
      <c r="R34" s="1572" t="s">
        <v>11</v>
      </c>
      <c r="S34" s="1573">
        <f t="shared" si="12"/>
        <v>100</v>
      </c>
      <c r="T34" s="1572" t="s">
        <v>11</v>
      </c>
      <c r="U34" s="1573">
        <f t="shared" si="13"/>
        <v>100</v>
      </c>
      <c r="V34" s="1572" t="s">
        <v>11</v>
      </c>
      <c r="W34" s="1573">
        <f t="shared" si="14"/>
        <v>100</v>
      </c>
      <c r="X34" s="1566"/>
      <c r="Y34" s="3410"/>
      <c r="Z34" s="1574" t="str">
        <f t="shared" si="15"/>
        <v>建筑结构</v>
      </c>
      <c r="AA34" s="1575">
        <f t="shared" si="3"/>
        <v>1</v>
      </c>
      <c r="AB34" s="1575">
        <f t="shared" si="4"/>
        <v>1</v>
      </c>
      <c r="AC34" s="1575">
        <f t="shared" si="5"/>
        <v>1</v>
      </c>
    </row>
    <row r="35" spans="1:29" ht="15">
      <c r="A35" s="593"/>
      <c r="B35" s="527" t="s">
        <v>694</v>
      </c>
      <c r="C35" s="598" t="s">
        <v>2987</v>
      </c>
      <c r="D35" s="539">
        <v>100</v>
      </c>
      <c r="E35" s="873" t="s">
        <v>2987</v>
      </c>
      <c r="F35" s="574">
        <f>SUMIF(107:107,E35,108:108)-SUMIF(107:107,C35,108:108)+100</f>
        <v>100</v>
      </c>
      <c r="G35" s="873" t="s">
        <v>2987</v>
      </c>
      <c r="H35" s="539">
        <f>SUMIF(107:107,G35,108:108)-SUMIF(107:107,C35,108:108)+100</f>
        <v>100</v>
      </c>
      <c r="I35" s="873" t="s">
        <v>2987</v>
      </c>
      <c r="J35" s="539">
        <f>SUMIF(107:107,I35,108:108)-SUMIF(107:107,C35,108:108)+100</f>
        <v>100</v>
      </c>
      <c r="K35" s="863">
        <v>1</v>
      </c>
      <c r="L35" s="2142"/>
      <c r="M35" s="2134"/>
      <c r="N35" s="2134"/>
      <c r="O35" s="2141"/>
      <c r="P35" s="3410"/>
      <c r="Q35" s="1571" t="str">
        <f t="shared" si="11"/>
        <v>建筑品质</v>
      </c>
      <c r="R35" s="1572" t="s">
        <v>11</v>
      </c>
      <c r="S35" s="1573">
        <f t="shared" si="12"/>
        <v>100</v>
      </c>
      <c r="T35" s="1572" t="s">
        <v>11</v>
      </c>
      <c r="U35" s="1573">
        <f t="shared" si="13"/>
        <v>100</v>
      </c>
      <c r="V35" s="1572" t="s">
        <v>11</v>
      </c>
      <c r="W35" s="1573">
        <f t="shared" si="14"/>
        <v>100</v>
      </c>
      <c r="X35" s="1566"/>
      <c r="Y35" s="3410"/>
      <c r="Z35" s="1574" t="str">
        <f t="shared" si="15"/>
        <v>建筑品质</v>
      </c>
      <c r="AA35" s="1575">
        <f t="shared" si="3"/>
        <v>1</v>
      </c>
      <c r="AB35" s="1575">
        <f t="shared" si="4"/>
        <v>1</v>
      </c>
      <c r="AC35" s="1575">
        <f t="shared" si="5"/>
        <v>1</v>
      </c>
    </row>
    <row r="36" spans="1:29" ht="15">
      <c r="A36" s="593"/>
      <c r="B36" s="527" t="s">
        <v>695</v>
      </c>
      <c r="C36" s="598" t="s">
        <v>2989</v>
      </c>
      <c r="D36" s="539">
        <v>100</v>
      </c>
      <c r="E36" s="873" t="s">
        <v>2989</v>
      </c>
      <c r="F36" s="574">
        <f>SUMIF(109:109,E36,110:110)-SUMIF(109:109,C36,110:110)+100</f>
        <v>100</v>
      </c>
      <c r="G36" s="873" t="s">
        <v>2989</v>
      </c>
      <c r="H36" s="539">
        <f>SUMIF(109:109,G36,110:110)-SUMIF(109:109,C36,110:110)+100</f>
        <v>100</v>
      </c>
      <c r="I36" s="873" t="s">
        <v>2989</v>
      </c>
      <c r="J36" s="539">
        <f>SUMIF(109:109,I36,110:110)-SUMIF(109:109,C36,110:110)+100</f>
        <v>100</v>
      </c>
      <c r="K36" s="863">
        <v>1</v>
      </c>
      <c r="L36" s="2142"/>
      <c r="M36" s="2134"/>
      <c r="N36" s="2134"/>
      <c r="O36" s="2141"/>
      <c r="P36" s="3410"/>
      <c r="Q36" s="1571" t="str">
        <f t="shared" si="11"/>
        <v>公共部分装修</v>
      </c>
      <c r="R36" s="1572" t="s">
        <v>11</v>
      </c>
      <c r="S36" s="1573">
        <f t="shared" si="12"/>
        <v>100</v>
      </c>
      <c r="T36" s="1572" t="s">
        <v>11</v>
      </c>
      <c r="U36" s="1573">
        <f t="shared" si="13"/>
        <v>100</v>
      </c>
      <c r="V36" s="1572" t="s">
        <v>11</v>
      </c>
      <c r="W36" s="1573">
        <f t="shared" si="14"/>
        <v>100</v>
      </c>
      <c r="X36" s="1566"/>
      <c r="Y36" s="3410"/>
      <c r="Z36" s="1574" t="str">
        <f t="shared" si="15"/>
        <v>公共部分装修</v>
      </c>
      <c r="AA36" s="1575">
        <f t="shared" si="3"/>
        <v>1</v>
      </c>
      <c r="AB36" s="1575">
        <f t="shared" si="4"/>
        <v>1</v>
      </c>
      <c r="AC36" s="1575">
        <f t="shared" si="5"/>
        <v>1</v>
      </c>
    </row>
    <row r="37" spans="1:29" s="1219" customFormat="1" ht="15">
      <c r="A37" s="599"/>
      <c r="B37" s="527" t="s">
        <v>696</v>
      </c>
      <c r="C37" s="882">
        <v>1</v>
      </c>
      <c r="D37" s="255">
        <v>100</v>
      </c>
      <c r="E37" s="883">
        <v>1</v>
      </c>
      <c r="F37" s="862">
        <f>LOOKUP(E37,112:112,113:113)-LOOKUP(C37,112:112,113:113)+100</f>
        <v>100</v>
      </c>
      <c r="G37" s="883">
        <v>1</v>
      </c>
      <c r="H37" s="255">
        <f>LOOKUP(G37,112:112,113:113)-LOOKUP(C37,112:112,113:113)+100</f>
        <v>100</v>
      </c>
      <c r="I37" s="883">
        <v>1</v>
      </c>
      <c r="J37" s="255">
        <f>LOOKUP(I37,112:112,113:113)-LOOKUP(C37,112:112,113:113)+100</f>
        <v>100</v>
      </c>
      <c r="K37" s="863">
        <v>1</v>
      </c>
      <c r="L37" s="2135"/>
      <c r="M37" s="2136"/>
      <c r="N37" s="2136"/>
      <c r="O37" s="2137"/>
      <c r="P37" s="3410"/>
      <c r="Q37" s="1150" t="str">
        <f t="shared" si="11"/>
        <v>成新度</v>
      </c>
      <c r="R37" s="1567" t="s">
        <v>11</v>
      </c>
      <c r="S37" s="1568">
        <f t="shared" si="12"/>
        <v>100</v>
      </c>
      <c r="T37" s="1567" t="s">
        <v>11</v>
      </c>
      <c r="U37" s="1568">
        <f t="shared" si="13"/>
        <v>100</v>
      </c>
      <c r="V37" s="1567" t="s">
        <v>11</v>
      </c>
      <c r="W37" s="1568">
        <f t="shared" si="14"/>
        <v>100</v>
      </c>
      <c r="X37" s="1569"/>
      <c r="Y37" s="3410"/>
      <c r="Z37" s="1149" t="str">
        <f t="shared" si="15"/>
        <v>成新度</v>
      </c>
      <c r="AA37" s="1570">
        <f t="shared" si="3"/>
        <v>1</v>
      </c>
      <c r="AB37" s="1570">
        <f t="shared" si="4"/>
        <v>1</v>
      </c>
      <c r="AC37" s="1570">
        <f t="shared" si="5"/>
        <v>1</v>
      </c>
    </row>
    <row r="38" spans="1:29" ht="15">
      <c r="A38" s="593"/>
      <c r="B38" s="527" t="s">
        <v>697</v>
      </c>
      <c r="C38" s="598" t="s">
        <v>2995</v>
      </c>
      <c r="D38" s="539">
        <v>100</v>
      </c>
      <c r="E38" s="873" t="s">
        <v>2995</v>
      </c>
      <c r="F38" s="574">
        <f>SUMIF(114:114,E38,115:115)-SUMIF(114:114,C38,115:115)+100</f>
        <v>100</v>
      </c>
      <c r="G38" s="873" t="s">
        <v>2995</v>
      </c>
      <c r="H38" s="539">
        <f>SUMIF(114:114,G38,115:115)-SUMIF(114:114,C38,115:115)+100</f>
        <v>100</v>
      </c>
      <c r="I38" s="873" t="s">
        <v>2995</v>
      </c>
      <c r="J38" s="539">
        <f>SUMIF(114:114,I38,115:115)-SUMIF(114:114,C38,115:115)+100</f>
        <v>100</v>
      </c>
      <c r="K38" s="863">
        <v>1</v>
      </c>
      <c r="L38" s="2142"/>
      <c r="M38" s="2134"/>
      <c r="N38" s="2134"/>
      <c r="O38" s="2141"/>
      <c r="P38" s="3410" t="s">
        <v>516</v>
      </c>
      <c r="Q38" s="1571" t="str">
        <f t="shared" si="11"/>
        <v>物业管理</v>
      </c>
      <c r="R38" s="1572" t="s">
        <v>11</v>
      </c>
      <c r="S38" s="1573">
        <f t="shared" si="12"/>
        <v>100</v>
      </c>
      <c r="T38" s="1572" t="s">
        <v>11</v>
      </c>
      <c r="U38" s="1573">
        <f t="shared" si="13"/>
        <v>100</v>
      </c>
      <c r="V38" s="1572" t="s">
        <v>11</v>
      </c>
      <c r="W38" s="1573">
        <f t="shared" si="14"/>
        <v>100</v>
      </c>
      <c r="X38" s="1566"/>
      <c r="Y38" s="3410" t="s">
        <v>516</v>
      </c>
      <c r="Z38" s="1574" t="str">
        <f t="shared" si="15"/>
        <v>物业管理</v>
      </c>
      <c r="AA38" s="1575">
        <f t="shared" si="3"/>
        <v>1</v>
      </c>
      <c r="AB38" s="1575">
        <f t="shared" si="4"/>
        <v>1</v>
      </c>
      <c r="AC38" s="1575">
        <f t="shared" si="5"/>
        <v>1</v>
      </c>
    </row>
    <row r="39" spans="1:29" ht="15">
      <c r="A39" s="593"/>
      <c r="B39" s="1895" t="s">
        <v>2527</v>
      </c>
      <c r="C39" s="598" t="s">
        <v>2998</v>
      </c>
      <c r="D39" s="539">
        <v>100</v>
      </c>
      <c r="E39" s="873" t="s">
        <v>2998</v>
      </c>
      <c r="F39" s="574">
        <f>SUMIF(116:116,E39,117:117)-SUMIF(116:116,C39,117:117)+100</f>
        <v>100</v>
      </c>
      <c r="G39" s="873" t="s">
        <v>2998</v>
      </c>
      <c r="H39" s="539">
        <f>SUMIF(116:116,G39,117:117)-SUMIF(116:116,C39,117:117)+100</f>
        <v>100</v>
      </c>
      <c r="I39" s="873" t="s">
        <v>2998</v>
      </c>
      <c r="J39" s="539">
        <f>SUMIF(116:116,I39,117:117)-SUMIF(116:116,C39,117:117)+100</f>
        <v>100</v>
      </c>
      <c r="K39" s="863">
        <v>1</v>
      </c>
      <c r="L39" s="2142"/>
      <c r="M39" s="2134"/>
      <c r="N39" s="2134"/>
      <c r="O39" s="2141"/>
      <c r="P39" s="3410"/>
      <c r="Q39" s="1571" t="str">
        <f t="shared" si="11"/>
        <v>市政基础设施</v>
      </c>
      <c r="R39" s="1572" t="s">
        <v>11</v>
      </c>
      <c r="S39" s="1573">
        <f t="shared" si="12"/>
        <v>100</v>
      </c>
      <c r="T39" s="1572" t="s">
        <v>11</v>
      </c>
      <c r="U39" s="1573">
        <f t="shared" si="13"/>
        <v>100</v>
      </c>
      <c r="V39" s="1572" t="s">
        <v>11</v>
      </c>
      <c r="W39" s="1573">
        <f t="shared" si="14"/>
        <v>100</v>
      </c>
      <c r="X39" s="1566"/>
      <c r="Y39" s="3410"/>
      <c r="Z39" s="1574" t="str">
        <f t="shared" si="15"/>
        <v>市政基础设施</v>
      </c>
      <c r="AA39" s="1575">
        <f t="shared" si="3"/>
        <v>1</v>
      </c>
      <c r="AB39" s="1575">
        <f t="shared" si="4"/>
        <v>1</v>
      </c>
      <c r="AC39" s="1575">
        <f t="shared" si="5"/>
        <v>1</v>
      </c>
    </row>
    <row r="40" spans="1:29" ht="15">
      <c r="A40" s="593"/>
      <c r="B40" s="527" t="s">
        <v>698</v>
      </c>
      <c r="C40" s="598" t="s">
        <v>918</v>
      </c>
      <c r="D40" s="539">
        <v>100</v>
      </c>
      <c r="E40" s="873" t="s">
        <v>918</v>
      </c>
      <c r="F40" s="574">
        <f>SUMIF(118:118,E40,119:119)-SUMIF(118:118,C40,119:119)+100</f>
        <v>100</v>
      </c>
      <c r="G40" s="873" t="s">
        <v>918</v>
      </c>
      <c r="H40" s="539">
        <f>SUMIF(118:118,G40,119:119)-SUMIF(118:118,C40,119:119)+100</f>
        <v>100</v>
      </c>
      <c r="I40" s="873" t="s">
        <v>918</v>
      </c>
      <c r="J40" s="539">
        <f>SUMIF(118:118,I40,119:119)-SUMIF(118:118,C40,119:119)+100</f>
        <v>100</v>
      </c>
      <c r="K40" s="863">
        <v>1</v>
      </c>
      <c r="L40" s="2142"/>
      <c r="M40" s="2134"/>
      <c r="N40" s="2134"/>
      <c r="O40" s="2141"/>
      <c r="P40" s="3410"/>
      <c r="Q40" s="1571" t="str">
        <f t="shared" si="11"/>
        <v>房型</v>
      </c>
      <c r="R40" s="1572" t="s">
        <v>11</v>
      </c>
      <c r="S40" s="1573">
        <f t="shared" si="12"/>
        <v>100</v>
      </c>
      <c r="T40" s="1572" t="s">
        <v>11</v>
      </c>
      <c r="U40" s="1573">
        <f t="shared" si="13"/>
        <v>100</v>
      </c>
      <c r="V40" s="1572" t="s">
        <v>11</v>
      </c>
      <c r="W40" s="1573">
        <f t="shared" si="14"/>
        <v>100</v>
      </c>
      <c r="X40" s="1566"/>
      <c r="Y40" s="3410"/>
      <c r="Z40" s="1574" t="str">
        <f t="shared" si="15"/>
        <v>房型</v>
      </c>
      <c r="AA40" s="1575">
        <f t="shared" si="3"/>
        <v>1</v>
      </c>
      <c r="AB40" s="1575">
        <f t="shared" si="4"/>
        <v>1</v>
      </c>
      <c r="AC40" s="1575">
        <f t="shared" si="5"/>
        <v>1</v>
      </c>
    </row>
    <row r="41" spans="1:29" s="1338" customFormat="1" ht="28.5">
      <c r="A41" s="602"/>
      <c r="B41" s="527" t="s">
        <v>699</v>
      </c>
      <c r="C41" s="879" t="s">
        <v>2984</v>
      </c>
      <c r="D41" s="255">
        <v>100</v>
      </c>
      <c r="E41" s="533" t="s">
        <v>918</v>
      </c>
      <c r="F41" s="862">
        <f>SUMIF(120:120,E41,121:121)-SUMIF(120:120,C41,121:121)+100</f>
        <v>100</v>
      </c>
      <c r="G41" s="533" t="s">
        <v>918</v>
      </c>
      <c r="H41" s="255">
        <f>SUMIF(120:120,G41,121:121)-SUMIF(120:120,C41,121:121)+100</f>
        <v>100</v>
      </c>
      <c r="I41" s="533" t="s">
        <v>918</v>
      </c>
      <c r="J41" s="539">
        <f>SUMIF(120:120,I41,121:121)-SUMIF(120:120,C41,121:121)+100</f>
        <v>100</v>
      </c>
      <c r="K41" s="864"/>
      <c r="L41" s="2140"/>
      <c r="M41" s="2171"/>
      <c r="N41" s="2171"/>
      <c r="O41" s="2143"/>
      <c r="P41" s="3410"/>
      <c r="Q41" s="1604" t="str">
        <f t="shared" si="11"/>
        <v>单套/主力户型建筑面积</v>
      </c>
      <c r="R41" s="1576" t="s">
        <v>11</v>
      </c>
      <c r="S41" s="1577">
        <f t="shared" si="12"/>
        <v>100</v>
      </c>
      <c r="T41" s="1576" t="s">
        <v>11</v>
      </c>
      <c r="U41" s="1577">
        <f t="shared" si="13"/>
        <v>100</v>
      </c>
      <c r="V41" s="1576" t="s">
        <v>11</v>
      </c>
      <c r="W41" s="1577">
        <f t="shared" si="14"/>
        <v>100</v>
      </c>
      <c r="X41" s="1578"/>
      <c r="Y41" s="3410"/>
      <c r="Z41" s="1579" t="str">
        <f t="shared" si="15"/>
        <v>单套/主力户型建筑面积</v>
      </c>
      <c r="AA41" s="1575">
        <f t="shared" si="3"/>
        <v>1</v>
      </c>
      <c r="AB41" s="1575">
        <f t="shared" si="4"/>
        <v>1</v>
      </c>
      <c r="AC41" s="1575">
        <f t="shared" si="5"/>
        <v>1</v>
      </c>
    </row>
    <row r="42" spans="1:29" ht="15">
      <c r="A42" s="593"/>
      <c r="B42" s="527" t="s">
        <v>700</v>
      </c>
      <c r="C42" s="598" t="s">
        <v>2993</v>
      </c>
      <c r="D42" s="539">
        <v>100</v>
      </c>
      <c r="E42" s="598" t="s">
        <v>2993</v>
      </c>
      <c r="F42" s="574">
        <f>SUMIF(122:122,E42,123:123)-SUMIF(122:122,C42,123:123)+100</f>
        <v>100</v>
      </c>
      <c r="G42" s="598" t="s">
        <v>2993</v>
      </c>
      <c r="H42" s="539">
        <f>SUMIF(122:122,G42,123:123)-SUMIF(122:122,C42,123:123)+100</f>
        <v>100</v>
      </c>
      <c r="I42" s="873" t="s">
        <v>2989</v>
      </c>
      <c r="J42" s="539">
        <f>SUMIF(122:122,I42,123:123)-SUMIF(122:122,C42,123:123)+100</f>
        <v>109</v>
      </c>
      <c r="K42" s="863">
        <v>3</v>
      </c>
      <c r="L42" s="2142"/>
      <c r="M42" s="2134"/>
      <c r="N42" s="2134"/>
      <c r="O42" s="2141"/>
      <c r="P42" s="3410"/>
      <c r="Q42" s="1571" t="str">
        <f t="shared" si="11"/>
        <v>内部装修</v>
      </c>
      <c r="R42" s="1572" t="s">
        <v>11</v>
      </c>
      <c r="S42" s="1573">
        <f t="shared" si="12"/>
        <v>100</v>
      </c>
      <c r="T42" s="1572" t="s">
        <v>11</v>
      </c>
      <c r="U42" s="1573">
        <f t="shared" si="13"/>
        <v>100</v>
      </c>
      <c r="V42" s="1572" t="s">
        <v>11</v>
      </c>
      <c r="W42" s="1573">
        <f t="shared" si="14"/>
        <v>109</v>
      </c>
      <c r="X42" s="1566"/>
      <c r="Y42" s="3410"/>
      <c r="Z42" s="1574" t="str">
        <f t="shared" si="15"/>
        <v>内部装修</v>
      </c>
      <c r="AA42" s="1575">
        <f t="shared" si="3"/>
        <v>1</v>
      </c>
      <c r="AB42" s="1575">
        <f t="shared" si="4"/>
        <v>1</v>
      </c>
      <c r="AC42" s="1575">
        <f t="shared" si="5"/>
        <v>0.91743119266055051</v>
      </c>
    </row>
    <row r="43" spans="1:29" ht="27">
      <c r="A43" s="593"/>
      <c r="B43" s="527" t="s">
        <v>701</v>
      </c>
      <c r="C43" s="598" t="s">
        <v>3015</v>
      </c>
      <c r="D43" s="539">
        <v>100</v>
      </c>
      <c r="E43" s="598" t="s">
        <v>3015</v>
      </c>
      <c r="F43" s="574">
        <f>SUMIF(124:124,E43,125:125)-SUMIF(124:124,C43,125:125)+100</f>
        <v>100</v>
      </c>
      <c r="G43" s="598" t="s">
        <v>3015</v>
      </c>
      <c r="H43" s="539">
        <f>SUMIF(124:124,G43,125:125)-SUMIF(124:124,C43,125:125)+100</f>
        <v>100</v>
      </c>
      <c r="I43" s="598" t="s">
        <v>3015</v>
      </c>
      <c r="J43" s="539">
        <f>SUMIF(124:124,I43,125:125)-SUMIF(124:124,C43,125:125)+100</f>
        <v>100</v>
      </c>
      <c r="K43" s="863">
        <v>1</v>
      </c>
      <c r="L43" s="2142"/>
      <c r="M43" s="2134"/>
      <c r="N43" s="2134"/>
      <c r="O43" s="2141"/>
      <c r="P43" s="3410"/>
      <c r="Q43" s="1571" t="str">
        <f t="shared" si="11"/>
        <v>内部装修维护情况</v>
      </c>
      <c r="R43" s="1572" t="s">
        <v>11</v>
      </c>
      <c r="S43" s="1573">
        <f t="shared" si="12"/>
        <v>100</v>
      </c>
      <c r="T43" s="1572" t="s">
        <v>11</v>
      </c>
      <c r="U43" s="1573">
        <f t="shared" si="13"/>
        <v>100</v>
      </c>
      <c r="V43" s="1572" t="s">
        <v>11</v>
      </c>
      <c r="W43" s="1573">
        <f t="shared" si="14"/>
        <v>100</v>
      </c>
      <c r="X43" s="1566"/>
      <c r="Y43" s="3410"/>
      <c r="Z43" s="1574" t="str">
        <f t="shared" si="15"/>
        <v>内部装修维护情况</v>
      </c>
      <c r="AA43" s="1575">
        <f t="shared" si="3"/>
        <v>1</v>
      </c>
      <c r="AB43" s="1575">
        <f t="shared" si="4"/>
        <v>1</v>
      </c>
      <c r="AC43" s="1575">
        <f t="shared" si="5"/>
        <v>1</v>
      </c>
    </row>
    <row r="44" spans="1:29" s="1219" customFormat="1" ht="15">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410"/>
      <c r="Q44" s="1150">
        <f t="shared" si="11"/>
        <v>0</v>
      </c>
      <c r="R44" s="1567" t="s">
        <v>11</v>
      </c>
      <c r="S44" s="1568">
        <f t="shared" si="12"/>
        <v>100</v>
      </c>
      <c r="T44" s="1567" t="s">
        <v>11</v>
      </c>
      <c r="U44" s="1568">
        <f t="shared" si="13"/>
        <v>100</v>
      </c>
      <c r="V44" s="1567" t="s">
        <v>11</v>
      </c>
      <c r="W44" s="1568">
        <f t="shared" si="14"/>
        <v>100</v>
      </c>
      <c r="X44" s="1569"/>
      <c r="Y44" s="3410"/>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0"/>
      <c r="Q45" s="1571">
        <f t="shared" si="11"/>
        <v>0</v>
      </c>
      <c r="R45" s="1572" t="s">
        <v>11</v>
      </c>
      <c r="S45" s="1573">
        <f t="shared" si="12"/>
        <v>100</v>
      </c>
      <c r="T45" s="1572" t="s">
        <v>11</v>
      </c>
      <c r="U45" s="1573">
        <f t="shared" si="13"/>
        <v>100</v>
      </c>
      <c r="V45" s="1572" t="s">
        <v>11</v>
      </c>
      <c r="W45" s="1573">
        <f t="shared" si="14"/>
        <v>100</v>
      </c>
      <c r="X45" s="1566"/>
      <c r="Y45" s="3410"/>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8"/>
      <c r="Q46" s="1571">
        <f t="shared" si="11"/>
        <v>0</v>
      </c>
      <c r="R46" s="1572" t="s">
        <v>10</v>
      </c>
      <c r="S46" s="1573">
        <f t="shared" si="12"/>
        <v>100</v>
      </c>
      <c r="T46" s="1572" t="s">
        <v>10</v>
      </c>
      <c r="U46" s="1573">
        <f t="shared" si="13"/>
        <v>100</v>
      </c>
      <c r="V46" s="1572" t="s">
        <v>10</v>
      </c>
      <c r="W46" s="1573">
        <f t="shared" si="14"/>
        <v>100</v>
      </c>
      <c r="X46" s="1566"/>
      <c r="Y46" s="3488"/>
      <c r="Z46" s="1574">
        <f t="shared" si="15"/>
        <v>0</v>
      </c>
      <c r="AA46" s="1575">
        <f t="shared" si="3"/>
        <v>1</v>
      </c>
      <c r="AB46" s="1575">
        <f t="shared" si="4"/>
        <v>1</v>
      </c>
      <c r="AC46" s="1575">
        <f t="shared" si="5"/>
        <v>1</v>
      </c>
    </row>
    <row r="47" spans="1:29" ht="15">
      <c r="A47" s="606" t="s">
        <v>702</v>
      </c>
      <c r="B47" s="886"/>
      <c r="C47" s="2627" t="s">
        <v>9</v>
      </c>
      <c r="D47" s="2628"/>
      <c r="E47" s="2629">
        <v>14000</v>
      </c>
      <c r="F47" s="2630"/>
      <c r="G47" s="2631">
        <v>14000</v>
      </c>
      <c r="H47" s="2632"/>
      <c r="I47" s="2629">
        <v>15500</v>
      </c>
      <c r="J47" s="2632"/>
      <c r="K47" s="1605"/>
      <c r="L47" s="2144"/>
      <c r="M47" s="2145"/>
      <c r="N47" s="2134"/>
      <c r="O47" s="2145"/>
      <c r="P47" s="3372" t="str">
        <f>A47</f>
        <v>成交单价（元/平方米）</v>
      </c>
      <c r="Q47" s="3372"/>
      <c r="R47" s="3487">
        <f>E47</f>
        <v>14000</v>
      </c>
      <c r="S47" s="3487"/>
      <c r="T47" s="3487">
        <f>G47</f>
        <v>14000</v>
      </c>
      <c r="U47" s="3487"/>
      <c r="V47" s="3487">
        <f>I47</f>
        <v>15500</v>
      </c>
      <c r="W47" s="3487"/>
      <c r="X47" s="1558"/>
      <c r="Y47" s="1580"/>
      <c r="Z47" s="1558"/>
      <c r="AA47" s="1558"/>
      <c r="AB47" s="1558"/>
      <c r="AC47" s="1558"/>
    </row>
    <row r="48" spans="1:29" ht="15.75" thickBot="1">
      <c r="A48" s="614" t="s">
        <v>2722</v>
      </c>
      <c r="B48" s="887"/>
      <c r="C48" s="2633">
        <f>R49</f>
        <v>13715</v>
      </c>
      <c r="D48" s="2634"/>
      <c r="E48" s="2635">
        <f>R48</f>
        <v>14144</v>
      </c>
      <c r="F48" s="2635"/>
      <c r="G48" s="2633">
        <f>T48</f>
        <v>13588</v>
      </c>
      <c r="H48" s="2634"/>
      <c r="I48" s="2635">
        <f>V48</f>
        <v>13414</v>
      </c>
      <c r="J48" s="2634"/>
      <c r="K48" s="1606"/>
      <c r="L48" s="2144"/>
      <c r="M48" s="2145"/>
      <c r="N48" s="2145"/>
      <c r="O48" s="2145"/>
      <c r="P48" s="3372" t="str">
        <f>A48</f>
        <v>比较价格（元/平方米）</v>
      </c>
      <c r="Q48" s="3372"/>
      <c r="R48" s="3487">
        <f>IF(F1="售价",ROUND(PRODUCT(R47,AA7:AA46),0),ROUND(PRODUCT(R47,AA7:AA46),1))</f>
        <v>14144</v>
      </c>
      <c r="S48" s="3487"/>
      <c r="T48" s="3487">
        <f>IF(F1="售价",ROUND(PRODUCT(T47,AB7:AB46),0),ROUND(PRODUCT(T47,AB7:AB46),1))</f>
        <v>13588</v>
      </c>
      <c r="U48" s="3487"/>
      <c r="V48" s="3487">
        <f>IF(F1="售价",ROUND(PRODUCT(V47,AC7:AC46),0),ROUND(PRODUCT(V47,AC7:AC46),1))</f>
        <v>13414</v>
      </c>
      <c r="W48" s="3487"/>
      <c r="X48" s="1558"/>
      <c r="Y48" s="1558"/>
      <c r="Z48" s="1558"/>
      <c r="AA48" s="1558"/>
      <c r="AB48" s="1558"/>
      <c r="AC48" s="1558"/>
    </row>
    <row r="49" spans="1:29" ht="15.75" thickBot="1">
      <c r="A49" s="620" t="s">
        <v>2973</v>
      </c>
      <c r="B49" s="621"/>
      <c r="C49" s="2636">
        <f>R49</f>
        <v>13715</v>
      </c>
      <c r="D49" s="2636"/>
      <c r="E49" s="2636"/>
      <c r="F49" s="2636"/>
      <c r="G49" s="2636"/>
      <c r="H49" s="2636"/>
      <c r="I49" s="2636"/>
      <c r="J49" s="2636"/>
      <c r="K49" s="1607"/>
      <c r="L49" s="2144"/>
      <c r="M49" s="2145"/>
      <c r="N49" s="2145"/>
      <c r="O49" s="2145"/>
      <c r="P49" s="3369" t="str">
        <f>A49</f>
        <v>估价对象公寓用房的比较价格（楼面单价，元/平方米）</v>
      </c>
      <c r="Q49" s="3370"/>
      <c r="R49" s="3486">
        <f>IF(F1="售价",ROUND(AVERAGE(R48:V48),0),ROUND(AVERAGE(R48:V48),1))</f>
        <v>13715</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f>IF(E47&lt;E48,E48/E47-1,E47/E48-1)</f>
        <v>1.0285714285714231E-2</v>
      </c>
      <c r="F52" s="626" t="str">
        <f>IF(OR(E52&gt;=0.3,E52&lt;=-0.3),"超过30%","")</f>
        <v/>
      </c>
      <c r="G52" s="625">
        <f>IF(G47&lt;G48,G48/G47-1,G47/G48-1)</f>
        <v>3.0320871357079726E-2</v>
      </c>
      <c r="H52" s="626" t="str">
        <f>IF(OR(G52&gt;=0.3,G52&lt;=-0.3),"超过30%","")</f>
        <v/>
      </c>
      <c r="I52" s="625">
        <f>IF(I47&lt;I48,I48/I47-1,I47/I48-1)</f>
        <v>0.15550916952437754</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f>IF(E48&lt;G48,G48/E48-1,E48/G48-1)</f>
        <v>4.0918457462466806E-2</v>
      </c>
      <c r="F53" s="626" t="str">
        <f>IF(OR(E53&gt;=0.2,E53&lt;=-0.2),"超过20%","")</f>
        <v/>
      </c>
      <c r="G53" s="625">
        <f>IF(G48&lt;I48,I48/G48-1,G48/I48-1)</f>
        <v>1.2971522290144533E-2</v>
      </c>
      <c r="H53" s="626" t="str">
        <f>IF(OR(G53&gt;=0.2,G53&lt;=-0.2),"超过20%","")</f>
        <v/>
      </c>
      <c r="I53" s="625">
        <f>IF(I48&lt;E48,E48/I48-1,I48/E48-1)</f>
        <v>5.4420754435664298E-2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f>IF(E47&lt;G47,G47/E47-1,E47/G47-1)</f>
        <v>0</v>
      </c>
      <c r="F54" s="626" t="str">
        <f>IF(OR(E54&gt;=0.3,E54&lt;=-0.3),"超过30%","")</f>
        <v/>
      </c>
      <c r="G54" s="625">
        <f>IF(G47&lt;I47,I47/G47-1,G47/I47-1)</f>
        <v>0.10714285714285721</v>
      </c>
      <c r="H54" s="626" t="str">
        <f>IF(OR(G54&gt;=0.3,G54&lt;=-0.3),"超过30%","")</f>
        <v/>
      </c>
      <c r="I54" s="625">
        <f>IF(I47&lt;E47,E47/I47-1,I47/E47-1)</f>
        <v>0.10714285714285721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543</v>
      </c>
      <c r="B63" s="664" t="s">
        <v>500</v>
      </c>
      <c r="C63" s="703" t="str">
        <f>C9</f>
        <v>公寓</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3182" t="s">
        <v>2976</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2220</v>
      </c>
      <c r="C86" s="687" t="s">
        <v>2984</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712</v>
      </c>
      <c r="C88" s="687" t="s">
        <v>2984</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84" t="s">
        <v>3023</v>
      </c>
      <c r="D90" s="3184" t="s">
        <v>3025</v>
      </c>
      <c r="E90" s="3184" t="s">
        <v>3026</v>
      </c>
      <c r="F90" s="3184" t="s">
        <v>3016</v>
      </c>
      <c r="G90" s="3184" t="s">
        <v>3028</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713</v>
      </c>
      <c r="C100" s="597" t="s">
        <v>2981</v>
      </c>
      <c r="D100" s="3183" t="s">
        <v>2983</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714</v>
      </c>
      <c r="C102" s="707" t="str">
        <f>C103&amp;"(含)"&amp;"-"&amp;D103</f>
        <v>0(含)-50000</v>
      </c>
      <c r="D102" s="707" t="str">
        <f t="shared" ref="D102:L102" si="23">D103&amp;"(含)"&amp;"-"&amp;E103</f>
        <v>50000(含)-100000</v>
      </c>
      <c r="E102" s="707" t="str">
        <f t="shared" si="23"/>
        <v>100000(含)-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3184" t="s">
        <v>2986</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3185" t="s">
        <v>2988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3184" t="s">
        <v>2990</v>
      </c>
      <c r="D109" s="3184" t="s">
        <v>2991</v>
      </c>
      <c r="E109" s="3184" t="s">
        <v>2992</v>
      </c>
      <c r="F109" s="3185" t="s">
        <v>2994</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719</v>
      </c>
      <c r="C114" s="3184" t="s">
        <v>2996</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2519</v>
      </c>
      <c r="C116" s="687" t="s">
        <v>2997</v>
      </c>
      <c r="D116" s="687" t="s">
        <v>2998</v>
      </c>
      <c r="E116" s="687" t="s">
        <v>2999</v>
      </c>
      <c r="F116" s="687" t="s">
        <v>3000</v>
      </c>
      <c r="G116" s="687" t="s">
        <v>3001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720</v>
      </c>
      <c r="C118" s="717" t="s">
        <v>2984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699</v>
      </c>
      <c r="C120" s="687" t="s">
        <v>2984</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3184" t="s">
        <v>2990</v>
      </c>
      <c r="D122" s="3184" t="s">
        <v>2991</v>
      </c>
      <c r="E122" s="3184" t="s">
        <v>2992</v>
      </c>
      <c r="F122" s="3185" t="s">
        <v>2994</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2222</v>
      </c>
      <c r="C137" s="1919"/>
      <c r="D137" s="1919"/>
      <c r="E137" s="1919"/>
      <c r="F137" s="1919"/>
      <c r="G137" s="1920"/>
      <c r="H137" s="1921"/>
      <c r="I137" s="1922" t="s">
        <v>2223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2224</v>
      </c>
      <c r="D138" s="1925" t="s">
        <v>2225</v>
      </c>
      <c r="E138" s="1926" t="s">
        <v>2226</v>
      </c>
      <c r="F138" s="1927" t="s">
        <v>2227</v>
      </c>
      <c r="G138" s="1925" t="s">
        <v>2228</v>
      </c>
      <c r="H138" s="1928" t="s">
        <v>2229</v>
      </c>
      <c r="I138" s="1929"/>
      <c r="J138" s="1925" t="s">
        <v>2230</v>
      </c>
      <c r="K138" s="1928" t="s">
        <v>2231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2232</v>
      </c>
      <c r="E139" s="1899">
        <v>100</v>
      </c>
      <c r="F139" s="1900">
        <v>102.5</v>
      </c>
      <c r="G139" s="1930" t="s">
        <v>2233</v>
      </c>
      <c r="H139" s="1901">
        <v>105</v>
      </c>
      <c r="I139" s="1931" t="s">
        <v>2234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2239</v>
      </c>
      <c r="E144" s="1905">
        <v>102</v>
      </c>
      <c r="F144" s="1911">
        <v>100</v>
      </c>
      <c r="G144" s="1934" t="s">
        <v>2239</v>
      </c>
      <c r="H144" s="1907">
        <v>105</v>
      </c>
      <c r="I144" s="1933" t="s">
        <v>2238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2240</v>
      </c>
      <c r="C145" s="1912">
        <f>ROUND(MAX(C139:C144)/MIN(C139:C144)-1,3)</f>
        <v>7.2999999999999995E-2</v>
      </c>
      <c r="D145" s="1936"/>
      <c r="E145" s="1936"/>
      <c r="F145" s="1937" t="s">
        <v>2241</v>
      </c>
      <c r="G145" s="1938"/>
      <c r="H145" s="1939"/>
      <c r="I145" s="1940" t="s">
        <v>2238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723</v>
      </c>
      <c r="C1" s="504" t="s">
        <v>686</v>
      </c>
      <c r="D1" s="2370"/>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485</v>
      </c>
      <c r="B3" s="510" t="e">
        <f>C49</f>
        <v>#DIV/0!</v>
      </c>
      <c r="C3" s="851" t="s">
        <v>688</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487</v>
      </c>
      <c r="B4" s="513"/>
      <c r="C4" s="3378" t="s">
        <v>488</v>
      </c>
      <c r="D4" s="3379"/>
      <c r="E4" s="3414" t="s">
        <v>489</v>
      </c>
      <c r="F4" s="3415"/>
      <c r="G4" s="3378" t="s">
        <v>490</v>
      </c>
      <c r="H4" s="3379"/>
      <c r="I4" s="3378" t="s">
        <v>491</v>
      </c>
      <c r="J4" s="3379"/>
      <c r="K4" s="514"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3"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3"/>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3"/>
      <c r="AC6" s="3377"/>
    </row>
    <row r="7" spans="1:29" s="1219" customFormat="1" ht="15.75" thickBot="1">
      <c r="A7" s="2912"/>
      <c r="B7" s="2919" t="s">
        <v>495</v>
      </c>
      <c r="C7" s="519">
        <f>'数据-取费表'!B2</f>
        <v>43360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4"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46" si="3">D8/F8</f>
        <v>#DIV/0!</v>
      </c>
      <c r="AB8" s="1570" t="e">
        <f t="shared" ref="AB8:AB46" si="4">D8/H8</f>
        <v>#DIV/0!</v>
      </c>
      <c r="AC8" s="1570" t="e">
        <f t="shared" ref="AC8:AC46" si="5">D8/J8</f>
        <v>#DIV/0!</v>
      </c>
    </row>
    <row r="9" spans="1:29" s="1219" customFormat="1" ht="15">
      <c r="A9" s="2914"/>
      <c r="B9" s="2921" t="s">
        <v>2718</v>
      </c>
      <c r="C9" s="856"/>
      <c r="D9" s="254">
        <v>100</v>
      </c>
      <c r="E9" s="859"/>
      <c r="F9" s="254">
        <f>SUMIF(63:63,E9,64:64)-SUMIF(63:63,C9,64:64)+100</f>
        <v>100</v>
      </c>
      <c r="G9" s="857"/>
      <c r="H9" s="254">
        <f>SUMIF(63:63,G9,64:64)-SUMIF(63:63,C9,64:64)+100</f>
        <v>100</v>
      </c>
      <c r="I9" s="857"/>
      <c r="J9" s="254">
        <f>SUMIF(63:63,I9,64:64)-SUMIF(63:63,C9,64:64)+100</f>
        <v>100</v>
      </c>
      <c r="K9" s="52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SUMIF(65:65,E10,66:66)-SUMIF(65:65,C10,66:66)+100</f>
        <v>100</v>
      </c>
      <c r="G10" s="861"/>
      <c r="H10" s="255">
        <f>SUMIF(65:65,G10,66:66)-SUMIF(65:65,C10,66:66)+100</f>
        <v>100</v>
      </c>
      <c r="I10" s="860"/>
      <c r="J10" s="255">
        <f>SUMIF(65:65,I10,66:66)-SUMIF(65:65,C10,66:66)+100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40"/>
      <c r="M11" s="2134"/>
      <c r="N11" s="2134"/>
      <c r="O11" s="2141"/>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SUMIF(70:70,E12,71:71)-SUMIF(70:70,C12,71:71)+100</f>
        <v>100</v>
      </c>
      <c r="G12" s="911"/>
      <c r="H12" s="255">
        <f>SUMIF(70:70,G12,71:71)-SUMIF(70:70,C12,71:71)+100</f>
        <v>100</v>
      </c>
      <c r="I12" s="538"/>
      <c r="J12" s="255">
        <f>SUMIF(70:70,I12,71:71)-SUMIF(70:70,C12,71:71)+100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38"/>
      <c r="F13" s="255">
        <f>SUMIF(72:72,E13,73:73)-SUMIF(72:72,C13,73:73)+100</f>
        <v>100</v>
      </c>
      <c r="G13" s="911"/>
      <c r="H13" s="539">
        <f>SUMIF(72:72,G13,73:73)-SUMIF(72:72,C13,73:73)+100</f>
        <v>100</v>
      </c>
      <c r="I13" s="538"/>
      <c r="J13" s="539">
        <f>SUMIF(72:72,I13,73:73)-SUMIF(72:72,C13,73:73)+100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71.25">
      <c r="A15" s="2910" t="s">
        <v>2716</v>
      </c>
      <c r="B15" s="166" t="s">
        <v>507</v>
      </c>
      <c r="C15" s="866" t="str">
        <f>估价对象房地状况!C4</f>
        <v>估价对象位于中央商务区，周边商业氛围成熟，人流量较大，商业繁华度较好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7" t="s">
        <v>506</v>
      </c>
      <c r="Q15" s="1571" t="str">
        <f t="shared" si="6"/>
        <v>商业繁华度</v>
      </c>
      <c r="R15" s="1572" t="s">
        <v>8</v>
      </c>
      <c r="S15" s="1573">
        <f t="shared" si="0"/>
        <v>100</v>
      </c>
      <c r="T15" s="1572" t="s">
        <v>8</v>
      </c>
      <c r="U15" s="1573">
        <f t="shared" si="1"/>
        <v>100</v>
      </c>
      <c r="V15" s="1572" t="s">
        <v>8</v>
      </c>
      <c r="W15" s="1573">
        <f t="shared" si="2"/>
        <v>100</v>
      </c>
      <c r="X15" s="1566"/>
      <c r="Y15" s="3407" t="s">
        <v>506</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8"/>
      <c r="Q16" s="1571"/>
      <c r="R16" s="1572"/>
      <c r="S16" s="1573"/>
      <c r="T16" s="1572"/>
      <c r="U16" s="1573"/>
      <c r="V16" s="1572"/>
      <c r="W16" s="1573"/>
      <c r="X16" s="1566"/>
      <c r="Y16" s="340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8"/>
      <c r="Q20" s="1571"/>
      <c r="R20" s="1572"/>
      <c r="S20" s="1573"/>
      <c r="T20" s="1572"/>
      <c r="U20" s="1573"/>
      <c r="V20" s="1572"/>
      <c r="W20" s="1573"/>
      <c r="X20" s="1566"/>
      <c r="Y20" s="3408"/>
      <c r="Z20" s="1574"/>
      <c r="AA20" s="1575">
        <v>1</v>
      </c>
      <c r="AB20" s="1575">
        <v>1</v>
      </c>
      <c r="AC20" s="1575">
        <v>1</v>
      </c>
    </row>
    <row r="21" spans="1:29" ht="42.75">
      <c r="A21" s="531"/>
      <c r="B21" s="2593" t="s">
        <v>2521</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408"/>
      <c r="Q22" s="2579"/>
      <c r="R22" s="1572"/>
      <c r="S22" s="1573"/>
      <c r="T22" s="1572"/>
      <c r="U22" s="1573"/>
      <c r="V22" s="1572"/>
      <c r="W22" s="1573"/>
      <c r="X22" s="2581"/>
      <c r="Y22" s="3408"/>
      <c r="Z22" s="2580"/>
      <c r="AA22" s="1575">
        <v>1</v>
      </c>
      <c r="AB22" s="1575">
        <v>1</v>
      </c>
      <c r="AC22" s="1575">
        <v>1</v>
      </c>
    </row>
    <row r="23" spans="1:29" ht="71.25">
      <c r="A23" s="531"/>
      <c r="B23" s="870" t="s">
        <v>263</v>
      </c>
      <c r="C23" s="899" t="str">
        <f>估价对象房地状况!C9</f>
        <v>区域自然环境及人文环境较好，周边有南通中央公园等；综合评价环境状况较好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8"/>
      <c r="Q23" s="1571" t="str">
        <f>B23</f>
        <v>自然及人文环境</v>
      </c>
      <c r="R23" s="1572" t="s">
        <v>8</v>
      </c>
      <c r="S23" s="1573">
        <f>F23</f>
        <v>100</v>
      </c>
      <c r="T23" s="1572" t="s">
        <v>8</v>
      </c>
      <c r="U23" s="1573">
        <f>H23</f>
        <v>100</v>
      </c>
      <c r="V23" s="1572" t="s">
        <v>8</v>
      </c>
      <c r="W23" s="1573">
        <f>J23</f>
        <v>100</v>
      </c>
      <c r="X23" s="1566"/>
      <c r="Y23" s="340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31"/>
      <c r="B25" s="527" t="s">
        <v>513</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8"/>
      <c r="Q25" s="1571" t="str">
        <f t="shared" ref="Q25:Q46" si="11">B25</f>
        <v>临街状况</v>
      </c>
      <c r="R25" s="1572" t="s">
        <v>8</v>
      </c>
      <c r="S25" s="1573">
        <f>F25</f>
        <v>100</v>
      </c>
      <c r="T25" s="1572" t="s">
        <v>8</v>
      </c>
      <c r="U25" s="1573">
        <f>H25</f>
        <v>100</v>
      </c>
      <c r="V25" s="1572" t="s">
        <v>8</v>
      </c>
      <c r="W25" s="1573">
        <f>J25</f>
        <v>100</v>
      </c>
      <c r="X25" s="1566"/>
      <c r="Y25" s="3408"/>
      <c r="Z25" s="1574" t="str">
        <f>Q25</f>
        <v>临街状况</v>
      </c>
      <c r="AA25" s="1575">
        <f t="shared" si="3"/>
        <v>1</v>
      </c>
      <c r="AB25" s="1575">
        <f t="shared" si="4"/>
        <v>1</v>
      </c>
      <c r="AC25" s="1575">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8"/>
      <c r="Q26" s="1571" t="str">
        <f t="shared" si="11"/>
        <v>平面位置/可视性</v>
      </c>
      <c r="R26" s="1572" t="s">
        <v>8</v>
      </c>
      <c r="S26" s="1573">
        <f>F26</f>
        <v>100</v>
      </c>
      <c r="T26" s="1572" t="s">
        <v>8</v>
      </c>
      <c r="U26" s="1573">
        <f>H26</f>
        <v>100</v>
      </c>
      <c r="V26" s="1572" t="s">
        <v>8</v>
      </c>
      <c r="W26" s="1573">
        <f>J26</f>
        <v>100</v>
      </c>
      <c r="X26" s="1566"/>
      <c r="Y26" s="3408"/>
      <c r="Z26" s="1574" t="str">
        <f>Q26</f>
        <v>平面位置/可视性</v>
      </c>
      <c r="AA26" s="1575">
        <f t="shared" si="3"/>
        <v>1</v>
      </c>
      <c r="AB26" s="1575">
        <f t="shared" si="4"/>
        <v>1</v>
      </c>
      <c r="AC26" s="1575">
        <f t="shared" si="5"/>
        <v>1</v>
      </c>
    </row>
    <row r="27" spans="1:29" s="1219"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8"/>
      <c r="Q27" s="1150" t="str">
        <f t="shared" si="11"/>
        <v>人流量</v>
      </c>
      <c r="R27" s="1567" t="s">
        <v>8</v>
      </c>
      <c r="S27" s="1568">
        <f>F27</f>
        <v>100</v>
      </c>
      <c r="T27" s="1567" t="s">
        <v>8</v>
      </c>
      <c r="U27" s="1568">
        <f>H27</f>
        <v>100</v>
      </c>
      <c r="V27" s="1567" t="s">
        <v>8</v>
      </c>
      <c r="W27" s="1568">
        <f>J27</f>
        <v>100</v>
      </c>
      <c r="X27" s="1569"/>
      <c r="Y27" s="3408"/>
      <c r="Z27" s="1149" t="str">
        <f>Q27</f>
        <v>人流量</v>
      </c>
      <c r="AA27" s="1575">
        <f>D27/F27</f>
        <v>1</v>
      </c>
      <c r="AB27" s="1575">
        <f>D27/H27</f>
        <v>1</v>
      </c>
      <c r="AC27" s="1575">
        <f>D27/J27</f>
        <v>1</v>
      </c>
    </row>
    <row r="28" spans="1:29" ht="15">
      <c r="A28" s="531"/>
      <c r="B28" s="527" t="s">
        <v>727</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8"/>
      <c r="Q29" s="1571">
        <f t="shared" si="11"/>
        <v>111</v>
      </c>
      <c r="R29" s="1572" t="s">
        <v>8</v>
      </c>
      <c r="S29" s="1573">
        <f t="shared" si="12"/>
        <v>100</v>
      </c>
      <c r="T29" s="1572" t="s">
        <v>8</v>
      </c>
      <c r="U29" s="1573">
        <f t="shared" si="13"/>
        <v>100</v>
      </c>
      <c r="V29" s="1572" t="s">
        <v>8</v>
      </c>
      <c r="W29" s="1573">
        <f t="shared" si="14"/>
        <v>100</v>
      </c>
      <c r="X29" s="1566"/>
      <c r="Y29" s="340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8"/>
      <c r="Q30" s="1571">
        <f t="shared" si="11"/>
        <v>111</v>
      </c>
      <c r="R30" s="1572" t="s">
        <v>8</v>
      </c>
      <c r="S30" s="1573">
        <f t="shared" si="12"/>
        <v>100</v>
      </c>
      <c r="T30" s="1572" t="s">
        <v>8</v>
      </c>
      <c r="U30" s="1573">
        <f t="shared" si="13"/>
        <v>100</v>
      </c>
      <c r="V30" s="1572" t="s">
        <v>8</v>
      </c>
      <c r="W30" s="1573">
        <f t="shared" si="14"/>
        <v>100</v>
      </c>
      <c r="X30" s="1566"/>
      <c r="Y30" s="340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8"/>
      <c r="Q31" s="1571">
        <f t="shared" si="11"/>
        <v>111</v>
      </c>
      <c r="R31" s="1572" t="s">
        <v>8</v>
      </c>
      <c r="S31" s="1573">
        <f t="shared" si="12"/>
        <v>100</v>
      </c>
      <c r="T31" s="1572" t="s">
        <v>8</v>
      </c>
      <c r="U31" s="1573">
        <f t="shared" si="13"/>
        <v>100</v>
      </c>
      <c r="V31" s="1572" t="s">
        <v>8</v>
      </c>
      <c r="W31" s="1573">
        <f t="shared" si="14"/>
        <v>100</v>
      </c>
      <c r="X31" s="1566"/>
      <c r="Y31" s="3408"/>
      <c r="Z31" s="1574">
        <f t="shared" si="15"/>
        <v>111</v>
      </c>
      <c r="AA31" s="1575">
        <f t="shared" si="3"/>
        <v>1</v>
      </c>
      <c r="AB31" s="1575">
        <f t="shared" si="4"/>
        <v>1</v>
      </c>
      <c r="AC31" s="1575">
        <f t="shared" si="5"/>
        <v>1</v>
      </c>
    </row>
    <row r="32" spans="1:29" ht="15">
      <c r="A32" s="2907" t="s">
        <v>2717</v>
      </c>
      <c r="B32" s="172"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9" t="s">
        <v>516</v>
      </c>
      <c r="Q32" s="1571" t="str">
        <f t="shared" si="11"/>
        <v>商业类型</v>
      </c>
      <c r="R32" s="1572" t="s">
        <v>8</v>
      </c>
      <c r="S32" s="1573">
        <f t="shared" si="12"/>
        <v>100</v>
      </c>
      <c r="T32" s="1572" t="s">
        <v>8</v>
      </c>
      <c r="U32" s="1573">
        <f t="shared" si="13"/>
        <v>100</v>
      </c>
      <c r="V32" s="1572" t="s">
        <v>8</v>
      </c>
      <c r="W32" s="1573">
        <f t="shared" si="14"/>
        <v>100</v>
      </c>
      <c r="X32" s="1566"/>
      <c r="Y32" s="3410" t="s">
        <v>516</v>
      </c>
      <c r="Z32" s="1574" t="str">
        <f t="shared" si="15"/>
        <v>商业类型</v>
      </c>
      <c r="AA32" s="1575">
        <f t="shared" si="3"/>
        <v>1</v>
      </c>
      <c r="AB32" s="1575">
        <f t="shared" si="4"/>
        <v>1</v>
      </c>
      <c r="AC32" s="1575">
        <f t="shared" si="5"/>
        <v>1</v>
      </c>
    </row>
    <row r="33" spans="1:29" s="1338" customFormat="1" ht="15">
      <c r="A33" s="602"/>
      <c r="B33" s="527" t="s">
        <v>692</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40"/>
      <c r="M33" s="2171"/>
      <c r="N33" s="2171"/>
      <c r="O33" s="2143"/>
      <c r="P33" s="3410"/>
      <c r="Q33" s="1604" t="str">
        <f t="shared" si="11"/>
        <v>项目建筑规模</v>
      </c>
      <c r="R33" s="1576" t="s">
        <v>8</v>
      </c>
      <c r="S33" s="1577" t="e">
        <f t="shared" si="12"/>
        <v>#N/A</v>
      </c>
      <c r="T33" s="1576" t="s">
        <v>8</v>
      </c>
      <c r="U33" s="1577" t="e">
        <f t="shared" si="13"/>
        <v>#N/A</v>
      </c>
      <c r="V33" s="1576" t="s">
        <v>8</v>
      </c>
      <c r="W33" s="1577" t="e">
        <f t="shared" si="14"/>
        <v>#N/A</v>
      </c>
      <c r="X33" s="1578"/>
      <c r="Y33" s="3410"/>
      <c r="Z33" s="1579" t="str">
        <f t="shared" si="15"/>
        <v>项目建筑规模</v>
      </c>
      <c r="AA33" s="1575" t="e">
        <f t="shared" si="3"/>
        <v>#N/A</v>
      </c>
      <c r="AB33" s="1575" t="e">
        <f t="shared" si="4"/>
        <v>#N/A</v>
      </c>
      <c r="AC33" s="1575" t="e">
        <f t="shared" si="5"/>
        <v>#N/A</v>
      </c>
    </row>
    <row r="34" spans="1:29" ht="15">
      <c r="A34" s="593"/>
      <c r="B34" s="527"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0"/>
      <c r="Q34" s="1571" t="str">
        <f t="shared" si="11"/>
        <v>建筑结构</v>
      </c>
      <c r="R34" s="1572" t="s">
        <v>8</v>
      </c>
      <c r="S34" s="1573">
        <f t="shared" si="12"/>
        <v>100</v>
      </c>
      <c r="T34" s="1572" t="s">
        <v>8</v>
      </c>
      <c r="U34" s="1573">
        <f t="shared" si="13"/>
        <v>100</v>
      </c>
      <c r="V34" s="1572" t="s">
        <v>8</v>
      </c>
      <c r="W34" s="1573">
        <f t="shared" si="14"/>
        <v>100</v>
      </c>
      <c r="X34" s="1566"/>
      <c r="Y34" s="3410"/>
      <c r="Z34" s="1574" t="str">
        <f t="shared" si="15"/>
        <v>建筑结构</v>
      </c>
      <c r="AA34" s="1575">
        <f t="shared" si="3"/>
        <v>1</v>
      </c>
      <c r="AB34" s="1575">
        <f t="shared" si="4"/>
        <v>1</v>
      </c>
      <c r="AC34" s="1575">
        <f t="shared" si="5"/>
        <v>1</v>
      </c>
    </row>
    <row r="35" spans="1:29" ht="15">
      <c r="A35" s="593"/>
      <c r="B35" s="527"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0"/>
      <c r="Q35" s="1571" t="str">
        <f t="shared" si="11"/>
        <v>公共部分装修</v>
      </c>
      <c r="R35" s="1572" t="s">
        <v>8</v>
      </c>
      <c r="S35" s="1573">
        <f t="shared" si="12"/>
        <v>100</v>
      </c>
      <c r="T35" s="1572" t="s">
        <v>8</v>
      </c>
      <c r="U35" s="1573">
        <f t="shared" si="13"/>
        <v>100</v>
      </c>
      <c r="V35" s="1572" t="s">
        <v>8</v>
      </c>
      <c r="W35" s="1573">
        <f t="shared" si="14"/>
        <v>100</v>
      </c>
      <c r="X35" s="1566"/>
      <c r="Y35" s="3410"/>
      <c r="Z35" s="1574" t="str">
        <f t="shared" si="15"/>
        <v>公共部分装修</v>
      </c>
      <c r="AA35" s="1575">
        <f t="shared" si="3"/>
        <v>1</v>
      </c>
      <c r="AB35" s="1575">
        <f t="shared" si="4"/>
        <v>1</v>
      </c>
      <c r="AC35" s="1575">
        <f t="shared" si="5"/>
        <v>1</v>
      </c>
    </row>
    <row r="36" spans="1:29" ht="15">
      <c r="A36" s="593"/>
      <c r="B36" s="527"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0"/>
      <c r="Q36" s="1571" t="str">
        <f t="shared" si="11"/>
        <v>成新度</v>
      </c>
      <c r="R36" s="1572" t="s">
        <v>8</v>
      </c>
      <c r="S36" s="1573" t="e">
        <f t="shared" si="12"/>
        <v>#N/A</v>
      </c>
      <c r="T36" s="1572" t="s">
        <v>8</v>
      </c>
      <c r="U36" s="1573" t="e">
        <f t="shared" si="13"/>
        <v>#N/A</v>
      </c>
      <c r="V36" s="1572" t="s">
        <v>8</v>
      </c>
      <c r="W36" s="1573" t="e">
        <f t="shared" si="14"/>
        <v>#N/A</v>
      </c>
      <c r="X36" s="1566"/>
      <c r="Y36" s="3410"/>
      <c r="Z36" s="1574" t="str">
        <f t="shared" si="15"/>
        <v>成新度</v>
      </c>
      <c r="AA36" s="1575" t="e">
        <f t="shared" si="3"/>
        <v>#N/A</v>
      </c>
      <c r="AB36" s="1575" t="e">
        <f t="shared" si="4"/>
        <v>#N/A</v>
      </c>
      <c r="AC36" s="1575" t="e">
        <f t="shared" si="5"/>
        <v>#N/A</v>
      </c>
    </row>
    <row r="37" spans="1:29" s="1219" customFormat="1" ht="15">
      <c r="A37" s="599"/>
      <c r="B37" s="1895" t="s">
        <v>2528</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0"/>
      <c r="Q37" s="1150" t="str">
        <f t="shared" si="11"/>
        <v>市政基础设施</v>
      </c>
      <c r="R37" s="1567" t="s">
        <v>8</v>
      </c>
      <c r="S37" s="1568">
        <f t="shared" si="12"/>
        <v>100</v>
      </c>
      <c r="T37" s="1567" t="s">
        <v>8</v>
      </c>
      <c r="U37" s="1568">
        <f t="shared" si="13"/>
        <v>100</v>
      </c>
      <c r="V37" s="1567" t="s">
        <v>8</v>
      </c>
      <c r="W37" s="1568">
        <f t="shared" si="14"/>
        <v>100</v>
      </c>
      <c r="X37" s="1569"/>
      <c r="Y37" s="3410"/>
      <c r="Z37" s="1149" t="str">
        <f t="shared" si="15"/>
        <v>市政基础设施</v>
      </c>
      <c r="AA37" s="1570">
        <f t="shared" si="3"/>
        <v>1</v>
      </c>
      <c r="AB37" s="1570">
        <f t="shared" si="4"/>
        <v>1</v>
      </c>
      <c r="AC37" s="1570">
        <f t="shared" si="5"/>
        <v>1</v>
      </c>
    </row>
    <row r="38" spans="1:29" ht="15">
      <c r="A38" s="593"/>
      <c r="B38" s="527"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0" t="s">
        <v>732</v>
      </c>
      <c r="Q38" s="1571" t="str">
        <f t="shared" si="11"/>
        <v>业态</v>
      </c>
      <c r="R38" s="1572" t="s">
        <v>8</v>
      </c>
      <c r="S38" s="1573">
        <f t="shared" si="12"/>
        <v>100</v>
      </c>
      <c r="T38" s="1572" t="s">
        <v>8</v>
      </c>
      <c r="U38" s="1573">
        <f t="shared" si="13"/>
        <v>100</v>
      </c>
      <c r="V38" s="1572" t="s">
        <v>8</v>
      </c>
      <c r="W38" s="1573">
        <f t="shared" si="14"/>
        <v>100</v>
      </c>
      <c r="X38" s="1566"/>
      <c r="Y38" s="3410" t="s">
        <v>732</v>
      </c>
      <c r="Z38" s="1574" t="str">
        <f t="shared" si="15"/>
        <v>业态</v>
      </c>
      <c r="AA38" s="1575">
        <f t="shared" si="3"/>
        <v>1</v>
      </c>
      <c r="AB38" s="1575">
        <f t="shared" si="4"/>
        <v>1</v>
      </c>
      <c r="AC38" s="1575">
        <f t="shared" si="5"/>
        <v>1</v>
      </c>
    </row>
    <row r="39" spans="1:29" ht="15">
      <c r="A39" s="593"/>
      <c r="B39" s="527"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0"/>
      <c r="Q39" s="1571" t="str">
        <f t="shared" si="11"/>
        <v>层高</v>
      </c>
      <c r="R39" s="1572" t="s">
        <v>8</v>
      </c>
      <c r="S39" s="1573">
        <f t="shared" si="12"/>
        <v>100</v>
      </c>
      <c r="T39" s="1572" t="s">
        <v>8</v>
      </c>
      <c r="U39" s="1573">
        <f t="shared" si="13"/>
        <v>100</v>
      </c>
      <c r="V39" s="1572" t="s">
        <v>8</v>
      </c>
      <c r="W39" s="1573">
        <f t="shared" si="14"/>
        <v>100</v>
      </c>
      <c r="X39" s="1566"/>
      <c r="Y39" s="3410"/>
      <c r="Z39" s="1574" t="str">
        <f t="shared" si="15"/>
        <v>层高</v>
      </c>
      <c r="AA39" s="1575">
        <f t="shared" si="3"/>
        <v>1</v>
      </c>
      <c r="AB39" s="1575">
        <f t="shared" si="4"/>
        <v>1</v>
      </c>
      <c r="AC39" s="1575">
        <f t="shared" si="5"/>
        <v>1</v>
      </c>
    </row>
    <row r="40" spans="1:29" ht="15">
      <c r="A40" s="593"/>
      <c r="B40" s="527"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0"/>
      <c r="Q40" s="1571" t="str">
        <f t="shared" si="11"/>
        <v>单套建筑面积</v>
      </c>
      <c r="R40" s="1572" t="s">
        <v>8</v>
      </c>
      <c r="S40" s="1573">
        <f t="shared" si="12"/>
        <v>100</v>
      </c>
      <c r="T40" s="1572" t="s">
        <v>8</v>
      </c>
      <c r="U40" s="1573">
        <f t="shared" si="13"/>
        <v>100</v>
      </c>
      <c r="V40" s="1572" t="s">
        <v>8</v>
      </c>
      <c r="W40" s="1573">
        <f t="shared" si="14"/>
        <v>100</v>
      </c>
      <c r="X40" s="1566"/>
      <c r="Y40" s="3410"/>
      <c r="Z40" s="1574" t="str">
        <f t="shared" si="15"/>
        <v>单套建筑面积</v>
      </c>
      <c r="AA40" s="1575">
        <f t="shared" si="3"/>
        <v>1</v>
      </c>
      <c r="AB40" s="1575">
        <f t="shared" si="4"/>
        <v>1</v>
      </c>
      <c r="AC40" s="1575">
        <f t="shared" si="5"/>
        <v>1</v>
      </c>
    </row>
    <row r="41" spans="1:29" s="1338"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0"/>
      <c r="Q41" s="1604" t="str">
        <f t="shared" si="11"/>
        <v>进深比</v>
      </c>
      <c r="R41" s="1576" t="s">
        <v>8</v>
      </c>
      <c r="S41" s="1577">
        <f t="shared" si="12"/>
        <v>100</v>
      </c>
      <c r="T41" s="1576" t="s">
        <v>8</v>
      </c>
      <c r="U41" s="1577">
        <f t="shared" si="13"/>
        <v>100</v>
      </c>
      <c r="V41" s="1576" t="s">
        <v>8</v>
      </c>
      <c r="W41" s="1577">
        <f t="shared" si="14"/>
        <v>100</v>
      </c>
      <c r="X41" s="1578"/>
      <c r="Y41" s="3410"/>
      <c r="Z41" s="1579" t="str">
        <f t="shared" si="15"/>
        <v>进深比</v>
      </c>
      <c r="AA41" s="1575">
        <f t="shared" si="3"/>
        <v>1</v>
      </c>
      <c r="AB41" s="1575">
        <f t="shared" si="4"/>
        <v>1</v>
      </c>
      <c r="AC41" s="1575">
        <f t="shared" si="5"/>
        <v>1</v>
      </c>
    </row>
    <row r="42" spans="1:29" ht="15">
      <c r="A42" s="593"/>
      <c r="B42" s="527"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0"/>
      <c r="Q42" s="1571" t="str">
        <f t="shared" si="11"/>
        <v>内部装修</v>
      </c>
      <c r="R42" s="1572" t="s">
        <v>8</v>
      </c>
      <c r="S42" s="1573">
        <f t="shared" si="12"/>
        <v>100</v>
      </c>
      <c r="T42" s="1572" t="s">
        <v>8</v>
      </c>
      <c r="U42" s="1573">
        <f t="shared" si="13"/>
        <v>100</v>
      </c>
      <c r="V42" s="1572" t="s">
        <v>8</v>
      </c>
      <c r="W42" s="1573">
        <f t="shared" si="14"/>
        <v>100</v>
      </c>
      <c r="X42" s="1566"/>
      <c r="Y42" s="3410"/>
      <c r="Z42" s="1574" t="str">
        <f t="shared" si="15"/>
        <v>内部装修</v>
      </c>
      <c r="AA42" s="1575">
        <f t="shared" si="3"/>
        <v>1</v>
      </c>
      <c r="AB42" s="1575">
        <f t="shared" si="4"/>
        <v>1</v>
      </c>
      <c r="AC42" s="1575">
        <f t="shared" si="5"/>
        <v>1</v>
      </c>
    </row>
    <row r="43" spans="1:29" ht="27">
      <c r="A43" s="593"/>
      <c r="B43" s="527"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0"/>
      <c r="Q43" s="1571" t="str">
        <f t="shared" si="11"/>
        <v>内部装修维护情况</v>
      </c>
      <c r="R43" s="1572" t="s">
        <v>8</v>
      </c>
      <c r="S43" s="1573">
        <f t="shared" si="12"/>
        <v>100</v>
      </c>
      <c r="T43" s="1572" t="s">
        <v>8</v>
      </c>
      <c r="U43" s="1573">
        <f t="shared" si="13"/>
        <v>100</v>
      </c>
      <c r="V43" s="1572" t="s">
        <v>8</v>
      </c>
      <c r="W43" s="1573">
        <f t="shared" si="14"/>
        <v>100</v>
      </c>
      <c r="X43" s="1566"/>
      <c r="Y43" s="3410"/>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5"/>
      <c r="M44" s="2136"/>
      <c r="N44" s="2136"/>
      <c r="O44" s="2137"/>
      <c r="P44" s="3410"/>
      <c r="Q44" s="1150">
        <f t="shared" si="11"/>
        <v>111</v>
      </c>
      <c r="R44" s="1567" t="s">
        <v>8</v>
      </c>
      <c r="S44" s="1568">
        <f t="shared" si="12"/>
        <v>100</v>
      </c>
      <c r="T44" s="1567" t="s">
        <v>8</v>
      </c>
      <c r="U44" s="1568">
        <f t="shared" si="13"/>
        <v>100</v>
      </c>
      <c r="V44" s="1567" t="s">
        <v>8</v>
      </c>
      <c r="W44" s="1568">
        <f t="shared" si="14"/>
        <v>100</v>
      </c>
      <c r="X44" s="1569"/>
      <c r="Y44" s="3410"/>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0"/>
      <c r="Q45" s="1571">
        <f t="shared" si="11"/>
        <v>111</v>
      </c>
      <c r="R45" s="1572" t="s">
        <v>8</v>
      </c>
      <c r="S45" s="1573">
        <f t="shared" si="12"/>
        <v>100</v>
      </c>
      <c r="T45" s="1572" t="s">
        <v>8</v>
      </c>
      <c r="U45" s="1573">
        <f t="shared" si="13"/>
        <v>100</v>
      </c>
      <c r="V45" s="1572" t="s">
        <v>8</v>
      </c>
      <c r="W45" s="1573">
        <f t="shared" si="14"/>
        <v>100</v>
      </c>
      <c r="X45" s="1566"/>
      <c r="Y45" s="3410"/>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5">
      <c r="A47" s="606" t="s">
        <v>702</v>
      </c>
      <c r="B47" s="886"/>
      <c r="C47" s="2627" t="s">
        <v>1</v>
      </c>
      <c r="D47" s="2628"/>
      <c r="E47" s="2629"/>
      <c r="F47" s="2630"/>
      <c r="G47" s="2631"/>
      <c r="H47" s="2632"/>
      <c r="I47" s="2629"/>
      <c r="J47" s="2632"/>
      <c r="K47" s="1610"/>
      <c r="L47" s="2144"/>
      <c r="M47" s="2145"/>
      <c r="N47" s="2134"/>
      <c r="O47" s="2145"/>
      <c r="P47" s="3372" t="str">
        <f>A47</f>
        <v>成交单价（元/平方米）</v>
      </c>
      <c r="Q47" s="3372"/>
      <c r="R47" s="3487">
        <f>E47</f>
        <v>0</v>
      </c>
      <c r="S47" s="3487"/>
      <c r="T47" s="3487">
        <f>G47</f>
        <v>0</v>
      </c>
      <c r="U47" s="3487"/>
      <c r="V47" s="3487">
        <f>I47</f>
        <v>0</v>
      </c>
      <c r="W47" s="3487"/>
      <c r="X47" s="1558"/>
      <c r="Y47" s="1580"/>
      <c r="Z47" s="1558"/>
      <c r="AA47" s="1558"/>
      <c r="AB47" s="1558"/>
      <c r="AC47" s="1558"/>
    </row>
    <row r="48" spans="1:29" ht="15.75" thickBot="1">
      <c r="A48" s="614" t="s">
        <v>2722</v>
      </c>
      <c r="B48" s="887"/>
      <c r="C48" s="2633" t="e">
        <f>R49</f>
        <v>#DIV/0!</v>
      </c>
      <c r="D48" s="2634"/>
      <c r="E48" s="2635" t="e">
        <f>R48</f>
        <v>#DIV/0!</v>
      </c>
      <c r="F48" s="2635"/>
      <c r="G48" s="2633" t="e">
        <f>T48</f>
        <v>#DIV/0!</v>
      </c>
      <c r="H48" s="2634"/>
      <c r="I48" s="2635" t="e">
        <f>V48</f>
        <v>#DIV/0!</v>
      </c>
      <c r="J48" s="2634"/>
      <c r="K48" s="1611"/>
      <c r="L48" s="2144"/>
      <c r="M48" s="2145"/>
      <c r="N48" s="2134"/>
      <c r="O48" s="2145"/>
      <c r="P48" s="3372" t="str">
        <f>A48</f>
        <v>比较价格（元/平方米）</v>
      </c>
      <c r="Q48" s="337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8"/>
      <c r="Y48" s="1558"/>
      <c r="Z48" s="1558"/>
      <c r="AA48" s="1558"/>
      <c r="AB48" s="1558"/>
      <c r="AC48" s="1558"/>
    </row>
    <row r="49" spans="1:29" ht="15.75" thickBot="1">
      <c r="A49" s="620" t="s">
        <v>2892</v>
      </c>
      <c r="B49" s="621"/>
      <c r="C49" s="2636" t="e">
        <f>R49</f>
        <v>#DIV/0!</v>
      </c>
      <c r="D49" s="2636"/>
      <c r="E49" s="2636"/>
      <c r="F49" s="2636"/>
      <c r="G49" s="2636"/>
      <c r="H49" s="2636"/>
      <c r="I49" s="2636"/>
      <c r="J49" s="2636"/>
      <c r="K49" s="1612"/>
      <c r="L49" s="2144"/>
      <c r="M49" s="2145"/>
      <c r="N49" s="2134"/>
      <c r="O49" s="2145"/>
      <c r="P49" s="3369" t="str">
        <f>A49</f>
        <v>估价对象XX用房的比较价格（楼面单价，元/平方米）</v>
      </c>
      <c r="Q49" s="3370"/>
      <c r="R49" s="3486" t="e">
        <f>IF(F1="售价",ROUND(AVERAGE(R48:V48),0),ROUND(AVERAGE(R48:V48),1))</f>
        <v>#DIV/0!</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543</v>
      </c>
      <c r="B63" s="664" t="s">
        <v>500</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738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2519</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739</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740</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741</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742</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743</v>
      </c>
      <c r="C1" s="504" t="s">
        <v>686</v>
      </c>
      <c r="D1" s="848"/>
      <c r="E1" s="506"/>
      <c r="F1" s="2807"/>
      <c r="G1" s="1600" t="s">
        <v>687</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485</v>
      </c>
      <c r="B3" s="510" t="e">
        <f>C50</f>
        <v>#DIV/0!</v>
      </c>
      <c r="C3" s="851" t="s">
        <v>688</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487</v>
      </c>
      <c r="B4" s="513"/>
      <c r="C4" s="3378" t="s">
        <v>488</v>
      </c>
      <c r="D4" s="3379"/>
      <c r="E4" s="3414" t="s">
        <v>489</v>
      </c>
      <c r="F4" s="3415"/>
      <c r="G4" s="3378" t="s">
        <v>490</v>
      </c>
      <c r="H4" s="3379"/>
      <c r="I4" s="3378" t="s">
        <v>491</v>
      </c>
      <c r="J4" s="3379"/>
      <c r="K4" s="514" t="s">
        <v>492</v>
      </c>
      <c r="L4" s="2133"/>
      <c r="M4" s="2134"/>
      <c r="N4" s="2134"/>
      <c r="O4" s="2134"/>
      <c r="P4" s="3491" t="s">
        <v>493</v>
      </c>
      <c r="Q4" s="3381"/>
      <c r="R4" s="3386" t="s">
        <v>489</v>
      </c>
      <c r="S4" s="3387"/>
      <c r="T4" s="3386" t="s">
        <v>490</v>
      </c>
      <c r="U4" s="3387"/>
      <c r="V4" s="3373" t="s">
        <v>491</v>
      </c>
      <c r="W4" s="3373"/>
      <c r="X4" s="1566"/>
      <c r="Y4" s="3386" t="s">
        <v>493</v>
      </c>
      <c r="Z4" s="3387"/>
      <c r="AA4" s="3375" t="s">
        <v>489</v>
      </c>
      <c r="AB4" s="3375"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49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493"/>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6"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6" t="s">
        <v>499</v>
      </c>
      <c r="Q8" s="3405"/>
      <c r="R8" s="1567" t="s">
        <v>8</v>
      </c>
      <c r="S8" s="1568">
        <f t="shared" si="0"/>
        <v>0</v>
      </c>
      <c r="T8" s="1567" t="s">
        <v>8</v>
      </c>
      <c r="U8" s="1568">
        <f t="shared" si="1"/>
        <v>0</v>
      </c>
      <c r="V8" s="1567" t="s">
        <v>8</v>
      </c>
      <c r="W8" s="1568">
        <f t="shared" si="2"/>
        <v>0</v>
      </c>
      <c r="X8" s="1569"/>
      <c r="Y8" s="3404" t="s">
        <v>499</v>
      </c>
      <c r="Z8" s="3405"/>
      <c r="AA8" s="1570" t="e">
        <f t="shared" ref="AA8:AA47" si="3">D8/F8</f>
        <v>#DIV/0!</v>
      </c>
      <c r="AB8" s="1570" t="e">
        <f t="shared" ref="AB8:AB47" si="4">D8/H8</f>
        <v>#DIV/0!</v>
      </c>
      <c r="AC8" s="1570" t="e">
        <f t="shared" ref="AC8:AC47" si="5">D8/J8</f>
        <v>#DIV/0!</v>
      </c>
    </row>
    <row r="9" spans="1:29" s="1219" customFormat="1" ht="15">
      <c r="A9" s="2914"/>
      <c r="B9" s="2921" t="s">
        <v>2718</v>
      </c>
      <c r="C9" s="856"/>
      <c r="D9" s="254">
        <v>100</v>
      </c>
      <c r="E9" s="859"/>
      <c r="F9" s="254">
        <f>SUMIF(64:64,E9,65:65)-SUMIF(64:64,C9,65:65)+100</f>
        <v>100</v>
      </c>
      <c r="G9" s="857"/>
      <c r="H9" s="254">
        <f>SUMIF(64:64,G9,65:65)-SUMIF(64:64,C9,65:65)+100</f>
        <v>100</v>
      </c>
      <c r="I9" s="857"/>
      <c r="J9" s="254">
        <f>SUMIF(64:64,I9,65:65)-SUMIF(64:64,C9,65:65)+100</f>
        <v>100</v>
      </c>
      <c r="K9" s="524"/>
      <c r="L9" s="2135"/>
      <c r="M9" s="2136"/>
      <c r="N9" s="2136"/>
      <c r="O9" s="2136"/>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SUMIF(66:66,E10,67:67)-SUMIF(66:66,C10,67:67)+100</f>
        <v>100</v>
      </c>
      <c r="G10" s="861"/>
      <c r="H10" s="255">
        <f>SUMIF(66:66,G10,67:67)-SUMIF(66:66,C10,67:67)+100</f>
        <v>100</v>
      </c>
      <c r="I10" s="860"/>
      <c r="J10" s="255">
        <f>SUMIF(66:66,I10,67:67)-SUMIF(66:66,C10,67:67)+100</f>
        <v>100</v>
      </c>
      <c r="K10" s="583"/>
      <c r="L10" s="2138"/>
      <c r="M10" s="2178"/>
      <c r="N10" s="2178"/>
      <c r="O10" s="2178"/>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40"/>
      <c r="M11" s="2134"/>
      <c r="N11" s="2134"/>
      <c r="O11" s="2134"/>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28"/>
      <c r="F12" s="255">
        <f>SUMIF(71:71,E12,72:72)-SUMIF(71:71,C12,72:72)+100</f>
        <v>100</v>
      </c>
      <c r="G12" s="909"/>
      <c r="H12" s="255">
        <f>SUMIF(71:71,G12,72:72)-SUMIF(71:71,C12,72:72)+100</f>
        <v>100</v>
      </c>
      <c r="I12" s="528"/>
      <c r="J12" s="255">
        <f>SUMIF(71:71,I12,72:72)-SUMIF(71:71,C12,72:72)+100</f>
        <v>100</v>
      </c>
      <c r="K12" s="580"/>
      <c r="L12" s="2135"/>
      <c r="M12" s="2136"/>
      <c r="N12" s="2136"/>
      <c r="O12" s="2136"/>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28"/>
      <c r="F13" s="255">
        <f>SUMIF(73:73,E13,74:74)-SUMIF(73:73,C13,74:74)+100</f>
        <v>100</v>
      </c>
      <c r="G13" s="909"/>
      <c r="H13" s="539">
        <f>SUMIF(73:73,G13,74:74)-SUMIF(73:73,C13,74:74)+100</f>
        <v>100</v>
      </c>
      <c r="I13" s="528"/>
      <c r="J13" s="539">
        <f>SUMIF(73:73,I13,74:74)-SUMIF(73:73,C13,74:74)+100</f>
        <v>100</v>
      </c>
      <c r="K13" s="580"/>
      <c r="L13" s="2142"/>
      <c r="M13" s="2134"/>
      <c r="N13" s="2134"/>
      <c r="O13" s="2134"/>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8"/>
      <c r="J14" s="545">
        <f>SUMIF(75:75,I14,76:76)-SUMIF(75:75,C14,76:76)+100</f>
        <v>100</v>
      </c>
      <c r="K14" s="580"/>
      <c r="L14" s="2142"/>
      <c r="M14" s="2134"/>
      <c r="N14" s="2134"/>
      <c r="O14" s="2134"/>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15">
      <c r="A15" s="2910" t="s">
        <v>2716</v>
      </c>
      <c r="B15" s="546" t="s">
        <v>508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7" t="s">
        <v>506</v>
      </c>
      <c r="Q15" s="1571" t="str">
        <f t="shared" si="6"/>
        <v>办公集聚程度</v>
      </c>
      <c r="R15" s="1572" t="s">
        <v>8</v>
      </c>
      <c r="S15" s="1573">
        <f t="shared" si="0"/>
        <v>100</v>
      </c>
      <c r="T15" s="1572" t="s">
        <v>8</v>
      </c>
      <c r="U15" s="1573">
        <f t="shared" si="1"/>
        <v>100</v>
      </c>
      <c r="V15" s="1572" t="s">
        <v>8</v>
      </c>
      <c r="W15" s="1573">
        <f t="shared" si="2"/>
        <v>100</v>
      </c>
      <c r="X15" s="1566"/>
      <c r="Y15" s="3407" t="s">
        <v>506</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8"/>
      <c r="Q16" s="1571"/>
      <c r="R16" s="1572"/>
      <c r="S16" s="1573"/>
      <c r="T16" s="1572"/>
      <c r="U16" s="1573"/>
      <c r="V16" s="1572"/>
      <c r="W16" s="1573"/>
      <c r="X16" s="1566"/>
      <c r="Y16" s="3408"/>
      <c r="Z16" s="1574"/>
      <c r="AA16" s="1575">
        <v>1</v>
      </c>
      <c r="AB16" s="1575">
        <v>1</v>
      </c>
      <c r="AC16" s="1575">
        <v>1</v>
      </c>
    </row>
    <row r="17" spans="1:29" ht="128.25">
      <c r="A17" s="531"/>
      <c r="B17" s="559" t="s">
        <v>262</v>
      </c>
      <c r="C17" s="572" t="str">
        <f>估价对象房地状况!C6</f>
        <v>估价对象周边道路状况较好、公共交通通达情况较好、周边有11/13/22路等公交线路、停车便捷程度较好，综合评价交通便捷度较好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8"/>
      <c r="Q18" s="1571"/>
      <c r="R18" s="1572"/>
      <c r="S18" s="1573"/>
      <c r="T18" s="1572"/>
      <c r="U18" s="1573"/>
      <c r="V18" s="1572"/>
      <c r="W18" s="1573"/>
      <c r="X18" s="1566"/>
      <c r="Y18" s="3408"/>
      <c r="Z18" s="1574"/>
      <c r="AA18" s="1575">
        <v>1</v>
      </c>
      <c r="AB18" s="1575">
        <v>1</v>
      </c>
      <c r="AC18" s="1575">
        <v>1</v>
      </c>
    </row>
    <row r="19" spans="1:29" ht="42.75">
      <c r="A19" s="531"/>
      <c r="B19" s="2603" t="s">
        <v>2509</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8"/>
      <c r="Q20" s="1571"/>
      <c r="R20" s="1572"/>
      <c r="S20" s="1573"/>
      <c r="T20" s="1572"/>
      <c r="U20" s="1573"/>
      <c r="V20" s="1572"/>
      <c r="W20" s="1573"/>
      <c r="X20" s="1566"/>
      <c r="Y20" s="3408"/>
      <c r="Z20" s="1574"/>
      <c r="AA20" s="1575">
        <v>1</v>
      </c>
      <c r="AB20" s="1575">
        <v>1</v>
      </c>
      <c r="AC20" s="1575">
        <v>1</v>
      </c>
    </row>
    <row r="21" spans="1:29" ht="42.75">
      <c r="A21" s="531"/>
      <c r="B21" s="2591" t="s">
        <v>2521</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08"/>
      <c r="Q22" s="2579"/>
      <c r="R22" s="1572"/>
      <c r="S22" s="1573"/>
      <c r="T22" s="1572"/>
      <c r="U22" s="1573"/>
      <c r="V22" s="1572"/>
      <c r="W22" s="1573"/>
      <c r="X22" s="2581"/>
      <c r="Y22" s="3408"/>
      <c r="Z22" s="2580"/>
      <c r="AA22" s="1575">
        <v>1</v>
      </c>
      <c r="AB22" s="1575">
        <v>1</v>
      </c>
      <c r="AC22" s="1575">
        <v>1</v>
      </c>
    </row>
    <row r="23" spans="1:29" ht="71.25">
      <c r="A23" s="531"/>
      <c r="B23" s="559" t="s">
        <v>744</v>
      </c>
      <c r="C23" s="572" t="str">
        <f>估价对象房地状况!C9</f>
        <v>区域自然环境及人文环境较好，周边有南通中央公园等；综合评价环境状况较好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8"/>
      <c r="Q23" s="1571" t="str">
        <f>B23</f>
        <v>环境质量</v>
      </c>
      <c r="R23" s="1572" t="s">
        <v>8</v>
      </c>
      <c r="S23" s="1573">
        <f>F23</f>
        <v>100</v>
      </c>
      <c r="T23" s="1572" t="s">
        <v>8</v>
      </c>
      <c r="U23" s="1573">
        <f>H23</f>
        <v>100</v>
      </c>
      <c r="V23" s="1572" t="s">
        <v>8</v>
      </c>
      <c r="W23" s="1573">
        <f>J23</f>
        <v>100</v>
      </c>
      <c r="X23" s="1566"/>
      <c r="Y23" s="340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8"/>
      <c r="Q24" s="1571"/>
      <c r="R24" s="1572"/>
      <c r="S24" s="1573"/>
      <c r="T24" s="1572"/>
      <c r="U24" s="1573"/>
      <c r="V24" s="1572"/>
      <c r="W24" s="1573"/>
      <c r="X24" s="1566"/>
      <c r="Y24" s="3408"/>
      <c r="Z24" s="1574"/>
      <c r="AA24" s="1575">
        <v>1</v>
      </c>
      <c r="AB24" s="1575">
        <v>1</v>
      </c>
      <c r="AC24" s="1575">
        <v>1</v>
      </c>
    </row>
    <row r="25" spans="1:29" ht="27">
      <c r="A25" s="515"/>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8"/>
      <c r="Q25" s="1571" t="str">
        <f>B25</f>
        <v>毗邻道路的类型与等级</v>
      </c>
      <c r="R25" s="1572" t="s">
        <v>8</v>
      </c>
      <c r="S25" s="1573">
        <f>F25</f>
        <v>100</v>
      </c>
      <c r="T25" s="1572" t="s">
        <v>8</v>
      </c>
      <c r="U25" s="1573">
        <f>H25</f>
        <v>100</v>
      </c>
      <c r="V25" s="1572" t="s">
        <v>8</v>
      </c>
      <c r="W25" s="1573">
        <f>J25</f>
        <v>100</v>
      </c>
      <c r="X25" s="1566"/>
      <c r="Y25" s="3408"/>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2"/>
      <c r="M26" s="2134"/>
      <c r="N26" s="2134"/>
      <c r="O26" s="2134"/>
      <c r="P26" s="3408"/>
      <c r="Q26" s="1571"/>
      <c r="R26" s="1572"/>
      <c r="S26" s="1573"/>
      <c r="T26" s="1572"/>
      <c r="U26" s="1573"/>
      <c r="V26" s="1572"/>
      <c r="W26" s="1573"/>
      <c r="X26" s="1566"/>
      <c r="Y26" s="3408"/>
      <c r="Z26" s="1574"/>
      <c r="AA26" s="1575">
        <v>1</v>
      </c>
      <c r="AB26" s="1575">
        <v>1</v>
      </c>
      <c r="AC26" s="1575">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8"/>
      <c r="Q27" s="1571" t="str">
        <f t="shared" ref="Q27:Q47" si="11">B27</f>
        <v>楼层</v>
      </c>
      <c r="R27" s="1572" t="s">
        <v>8</v>
      </c>
      <c r="S27" s="1573">
        <f>F27</f>
        <v>100</v>
      </c>
      <c r="T27" s="1572" t="s">
        <v>8</v>
      </c>
      <c r="U27" s="1573">
        <f>H27</f>
        <v>100</v>
      </c>
      <c r="V27" s="1572" t="s">
        <v>8</v>
      </c>
      <c r="W27" s="1573">
        <f>J27</f>
        <v>100</v>
      </c>
      <c r="X27" s="1566"/>
      <c r="Y27" s="3408"/>
      <c r="Z27" s="1574" t="str">
        <f>Q27</f>
        <v>楼层</v>
      </c>
      <c r="AA27" s="1575">
        <f t="shared" si="3"/>
        <v>1</v>
      </c>
      <c r="AB27" s="1575">
        <f t="shared" si="4"/>
        <v>1</v>
      </c>
      <c r="AC27" s="1575">
        <f t="shared" si="5"/>
        <v>1</v>
      </c>
    </row>
    <row r="28" spans="1:29" s="1219"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8"/>
      <c r="Q28" s="1150" t="str">
        <f t="shared" si="11"/>
        <v>朝向</v>
      </c>
      <c r="R28" s="1567" t="s">
        <v>8</v>
      </c>
      <c r="S28" s="1568">
        <f>F28</f>
        <v>100</v>
      </c>
      <c r="T28" s="1567" t="s">
        <v>8</v>
      </c>
      <c r="U28" s="1568">
        <f>H28</f>
        <v>100</v>
      </c>
      <c r="V28" s="1567" t="s">
        <v>8</v>
      </c>
      <c r="W28" s="1568">
        <f>J28</f>
        <v>100</v>
      </c>
      <c r="X28" s="1569"/>
      <c r="Y28" s="3408"/>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2"/>
      <c r="M29" s="2134"/>
      <c r="N29" s="2134"/>
      <c r="O29" s="2134"/>
      <c r="P29" s="3408"/>
      <c r="Q29" s="1571">
        <f t="shared" si="11"/>
        <v>111</v>
      </c>
      <c r="R29" s="1572" t="s">
        <v>8</v>
      </c>
      <c r="S29" s="1573">
        <f t="shared" ref="S29:S47" si="12">F29</f>
        <v>100</v>
      </c>
      <c r="T29" s="1572" t="s">
        <v>8</v>
      </c>
      <c r="U29" s="1573">
        <f t="shared" ref="U29:U47" si="13">H29</f>
        <v>100</v>
      </c>
      <c r="V29" s="1572" t="s">
        <v>8</v>
      </c>
      <c r="W29" s="1573">
        <f t="shared" ref="W29:W47" si="14">J29</f>
        <v>100</v>
      </c>
      <c r="X29" s="1566"/>
      <c r="Y29" s="3408"/>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2"/>
      <c r="M30" s="2134"/>
      <c r="N30" s="2134"/>
      <c r="O30" s="2134"/>
      <c r="P30" s="3408"/>
      <c r="Q30" s="1571">
        <f t="shared" si="11"/>
        <v>111</v>
      </c>
      <c r="R30" s="1572" t="s">
        <v>8</v>
      </c>
      <c r="S30" s="1573">
        <f t="shared" si="12"/>
        <v>100</v>
      </c>
      <c r="T30" s="1572" t="s">
        <v>8</v>
      </c>
      <c r="U30" s="1573">
        <f t="shared" si="13"/>
        <v>100</v>
      </c>
      <c r="V30" s="1572" t="s">
        <v>8</v>
      </c>
      <c r="W30" s="1573">
        <f t="shared" si="14"/>
        <v>100</v>
      </c>
      <c r="X30" s="1566"/>
      <c r="Y30" s="3408"/>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2"/>
      <c r="M31" s="2134"/>
      <c r="N31" s="2134"/>
      <c r="O31" s="2134"/>
      <c r="P31" s="3408"/>
      <c r="Q31" s="1571">
        <f t="shared" si="11"/>
        <v>111</v>
      </c>
      <c r="R31" s="1572" t="s">
        <v>8</v>
      </c>
      <c r="S31" s="1573">
        <f t="shared" si="12"/>
        <v>100</v>
      </c>
      <c r="T31" s="1572" t="s">
        <v>8</v>
      </c>
      <c r="U31" s="1573">
        <f t="shared" si="13"/>
        <v>100</v>
      </c>
      <c r="V31" s="1572" t="s">
        <v>8</v>
      </c>
      <c r="W31" s="1573">
        <f t="shared" si="14"/>
        <v>100</v>
      </c>
      <c r="X31" s="1566"/>
      <c r="Y31" s="3408"/>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2"/>
      <c r="M32" s="2134"/>
      <c r="N32" s="2134"/>
      <c r="O32" s="2134"/>
      <c r="P32" s="3408"/>
      <c r="Q32" s="1571">
        <f t="shared" si="11"/>
        <v>111</v>
      </c>
      <c r="R32" s="1572" t="s">
        <v>8</v>
      </c>
      <c r="S32" s="1573">
        <f t="shared" si="12"/>
        <v>100</v>
      </c>
      <c r="T32" s="1572" t="s">
        <v>8</v>
      </c>
      <c r="U32" s="1573">
        <f t="shared" si="13"/>
        <v>100</v>
      </c>
      <c r="V32" s="1572" t="s">
        <v>8</v>
      </c>
      <c r="W32" s="1573">
        <f t="shared" si="14"/>
        <v>100</v>
      </c>
      <c r="X32" s="1566"/>
      <c r="Y32" s="3408"/>
      <c r="Z32" s="1574">
        <f t="shared" si="15"/>
        <v>111</v>
      </c>
      <c r="AA32" s="1575">
        <f t="shared" si="3"/>
        <v>1</v>
      </c>
      <c r="AB32" s="1575">
        <f t="shared" si="4"/>
        <v>1</v>
      </c>
      <c r="AC32" s="1575">
        <f t="shared" si="5"/>
        <v>1</v>
      </c>
    </row>
    <row r="33" spans="1:29" ht="15">
      <c r="A33" s="2907" t="s">
        <v>2717</v>
      </c>
      <c r="B33" s="172"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9" t="s">
        <v>516</v>
      </c>
      <c r="Q33" s="1571" t="str">
        <f t="shared" si="11"/>
        <v>建筑类型</v>
      </c>
      <c r="R33" s="1572" t="s">
        <v>8</v>
      </c>
      <c r="S33" s="1573">
        <f t="shared" si="12"/>
        <v>100</v>
      </c>
      <c r="T33" s="1572" t="s">
        <v>8</v>
      </c>
      <c r="U33" s="1573">
        <f t="shared" si="13"/>
        <v>100</v>
      </c>
      <c r="V33" s="1572" t="s">
        <v>8</v>
      </c>
      <c r="W33" s="1573">
        <f t="shared" si="14"/>
        <v>100</v>
      </c>
      <c r="X33" s="1566"/>
      <c r="Y33" s="3410" t="s">
        <v>516</v>
      </c>
      <c r="Z33" s="1574" t="str">
        <f t="shared" si="15"/>
        <v>建筑类型</v>
      </c>
      <c r="AA33" s="1575">
        <f t="shared" si="3"/>
        <v>1</v>
      </c>
      <c r="AB33" s="1575">
        <f t="shared" si="4"/>
        <v>1</v>
      </c>
      <c r="AC33" s="1575">
        <f t="shared" si="5"/>
        <v>1</v>
      </c>
    </row>
    <row r="34" spans="1:29" s="1338" customFormat="1" ht="15">
      <c r="A34" s="602"/>
      <c r="B34" s="527" t="s">
        <v>692</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40"/>
      <c r="M34" s="2171"/>
      <c r="N34" s="2171"/>
      <c r="O34" s="2171"/>
      <c r="P34" s="3410"/>
      <c r="Q34" s="1604" t="str">
        <f t="shared" si="11"/>
        <v>项目建筑规模</v>
      </c>
      <c r="R34" s="1576" t="s">
        <v>8</v>
      </c>
      <c r="S34" s="1577" t="e">
        <f t="shared" si="12"/>
        <v>#N/A</v>
      </c>
      <c r="T34" s="1576" t="s">
        <v>8</v>
      </c>
      <c r="U34" s="1577" t="e">
        <f t="shared" si="13"/>
        <v>#N/A</v>
      </c>
      <c r="V34" s="1576" t="s">
        <v>8</v>
      </c>
      <c r="W34" s="1577" t="e">
        <f t="shared" si="14"/>
        <v>#N/A</v>
      </c>
      <c r="X34" s="1578"/>
      <c r="Y34" s="3410"/>
      <c r="Z34" s="1579" t="str">
        <f t="shared" si="15"/>
        <v>项目建筑规模</v>
      </c>
      <c r="AA34" s="1575" t="e">
        <f t="shared" si="3"/>
        <v>#N/A</v>
      </c>
      <c r="AB34" s="1575" t="e">
        <f t="shared" si="4"/>
        <v>#N/A</v>
      </c>
      <c r="AC34" s="1575" t="e">
        <f t="shared" si="5"/>
        <v>#N/A</v>
      </c>
    </row>
    <row r="35" spans="1:29" ht="15">
      <c r="A35" s="593"/>
      <c r="B35" s="527"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0"/>
      <c r="Q35" s="1571" t="str">
        <f t="shared" si="11"/>
        <v>建筑结构</v>
      </c>
      <c r="R35" s="1572" t="s">
        <v>8</v>
      </c>
      <c r="S35" s="1573">
        <f t="shared" si="12"/>
        <v>100</v>
      </c>
      <c r="T35" s="1572" t="s">
        <v>8</v>
      </c>
      <c r="U35" s="1573">
        <f t="shared" si="13"/>
        <v>100</v>
      </c>
      <c r="V35" s="1572" t="s">
        <v>8</v>
      </c>
      <c r="W35" s="1573">
        <f t="shared" si="14"/>
        <v>100</v>
      </c>
      <c r="X35" s="1566"/>
      <c r="Y35" s="3410"/>
      <c r="Z35" s="1574" t="str">
        <f t="shared" si="15"/>
        <v>建筑结构</v>
      </c>
      <c r="AA35" s="1575">
        <f t="shared" si="3"/>
        <v>1</v>
      </c>
      <c r="AB35" s="1575">
        <f t="shared" si="4"/>
        <v>1</v>
      </c>
      <c r="AC35" s="1575">
        <f t="shared" si="5"/>
        <v>1</v>
      </c>
    </row>
    <row r="36" spans="1:29" ht="15">
      <c r="A36" s="593"/>
      <c r="B36" s="527"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0"/>
      <c r="Q36" s="1571" t="str">
        <f t="shared" si="11"/>
        <v>公共部分装修</v>
      </c>
      <c r="R36" s="1572" t="s">
        <v>8</v>
      </c>
      <c r="S36" s="1573">
        <f t="shared" si="12"/>
        <v>100</v>
      </c>
      <c r="T36" s="1572" t="s">
        <v>8</v>
      </c>
      <c r="U36" s="1573">
        <f t="shared" si="13"/>
        <v>100</v>
      </c>
      <c r="V36" s="1572" t="s">
        <v>8</v>
      </c>
      <c r="W36" s="1573">
        <f t="shared" si="14"/>
        <v>100</v>
      </c>
      <c r="X36" s="1566"/>
      <c r="Y36" s="3410"/>
      <c r="Z36" s="1574" t="str">
        <f t="shared" si="15"/>
        <v>公共部分装修</v>
      </c>
      <c r="AA36" s="1575">
        <f t="shared" si="3"/>
        <v>1</v>
      </c>
      <c r="AB36" s="1575">
        <f t="shared" si="4"/>
        <v>1</v>
      </c>
      <c r="AC36" s="1575">
        <f t="shared" si="5"/>
        <v>1</v>
      </c>
    </row>
    <row r="37" spans="1:29" ht="15">
      <c r="A37" s="593"/>
      <c r="B37" s="527"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0"/>
      <c r="Q37" s="1571" t="str">
        <f t="shared" si="11"/>
        <v>成新度</v>
      </c>
      <c r="R37" s="1572" t="s">
        <v>8</v>
      </c>
      <c r="S37" s="1573" t="e">
        <f t="shared" si="12"/>
        <v>#N/A</v>
      </c>
      <c r="T37" s="1572" t="s">
        <v>8</v>
      </c>
      <c r="U37" s="1573" t="e">
        <f t="shared" si="13"/>
        <v>#N/A</v>
      </c>
      <c r="V37" s="1572" t="s">
        <v>8</v>
      </c>
      <c r="W37" s="1573" t="e">
        <f t="shared" si="14"/>
        <v>#N/A</v>
      </c>
      <c r="X37" s="1566"/>
      <c r="Y37" s="3410"/>
      <c r="Z37" s="1574" t="str">
        <f t="shared" si="15"/>
        <v>成新度</v>
      </c>
      <c r="AA37" s="1575" t="e">
        <f t="shared" si="3"/>
        <v>#N/A</v>
      </c>
      <c r="AB37" s="1575" t="e">
        <f t="shared" si="4"/>
        <v>#N/A</v>
      </c>
      <c r="AC37" s="1575" t="e">
        <f t="shared" si="5"/>
        <v>#N/A</v>
      </c>
    </row>
    <row r="38" spans="1:29" s="1219" customFormat="1" ht="15">
      <c r="A38" s="599"/>
      <c r="B38" s="527" t="s">
        <v>747</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0"/>
      <c r="Q38" s="1150" t="str">
        <f t="shared" si="11"/>
        <v>写字楼等级</v>
      </c>
      <c r="R38" s="1567" t="s">
        <v>8</v>
      </c>
      <c r="S38" s="1568">
        <f t="shared" si="12"/>
        <v>100</v>
      </c>
      <c r="T38" s="1567" t="s">
        <v>8</v>
      </c>
      <c r="U38" s="1568">
        <f t="shared" si="13"/>
        <v>100</v>
      </c>
      <c r="V38" s="1567" t="s">
        <v>8</v>
      </c>
      <c r="W38" s="1568">
        <f t="shared" si="14"/>
        <v>100</v>
      </c>
      <c r="X38" s="1569"/>
      <c r="Y38" s="3410"/>
      <c r="Z38" s="1149" t="str">
        <f t="shared" si="15"/>
        <v>写字楼等级</v>
      </c>
      <c r="AA38" s="1570">
        <f t="shared" si="3"/>
        <v>1</v>
      </c>
      <c r="AB38" s="1570">
        <f t="shared" si="4"/>
        <v>1</v>
      </c>
      <c r="AC38" s="1570">
        <f t="shared" si="5"/>
        <v>1</v>
      </c>
    </row>
    <row r="39" spans="1:29" ht="15">
      <c r="A39" s="593"/>
      <c r="B39" s="527"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0" t="s">
        <v>516</v>
      </c>
      <c r="Q39" s="1571" t="str">
        <f t="shared" si="11"/>
        <v>物业管理</v>
      </c>
      <c r="R39" s="1572" t="s">
        <v>8</v>
      </c>
      <c r="S39" s="1573">
        <f t="shared" si="12"/>
        <v>100</v>
      </c>
      <c r="T39" s="1572" t="s">
        <v>8</v>
      </c>
      <c r="U39" s="1573">
        <f t="shared" si="13"/>
        <v>100</v>
      </c>
      <c r="V39" s="1572" t="s">
        <v>8</v>
      </c>
      <c r="W39" s="1573">
        <f t="shared" si="14"/>
        <v>100</v>
      </c>
      <c r="X39" s="1566"/>
      <c r="Y39" s="3410" t="s">
        <v>516</v>
      </c>
      <c r="Z39" s="1574" t="str">
        <f t="shared" si="15"/>
        <v>物业管理</v>
      </c>
      <c r="AA39" s="1575">
        <f t="shared" si="3"/>
        <v>1</v>
      </c>
      <c r="AB39" s="1575">
        <f t="shared" si="4"/>
        <v>1</v>
      </c>
      <c r="AC39" s="1575">
        <f t="shared" si="5"/>
        <v>1</v>
      </c>
    </row>
    <row r="40" spans="1:29" ht="15">
      <c r="A40" s="593"/>
      <c r="B40" s="1895" t="s">
        <v>2528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0"/>
      <c r="Q40" s="1571" t="str">
        <f t="shared" si="11"/>
        <v>市政基础设施</v>
      </c>
      <c r="R40" s="1572" t="s">
        <v>8</v>
      </c>
      <c r="S40" s="1573">
        <f t="shared" si="12"/>
        <v>100</v>
      </c>
      <c r="T40" s="1572" t="s">
        <v>8</v>
      </c>
      <c r="U40" s="1573">
        <f t="shared" si="13"/>
        <v>100</v>
      </c>
      <c r="V40" s="1572" t="s">
        <v>8</v>
      </c>
      <c r="W40" s="1573">
        <f t="shared" si="14"/>
        <v>100</v>
      </c>
      <c r="X40" s="1566"/>
      <c r="Y40" s="3410"/>
      <c r="Z40" s="1574" t="str">
        <f t="shared" si="15"/>
        <v>市政基础设施</v>
      </c>
      <c r="AA40" s="1575">
        <f t="shared" si="3"/>
        <v>1</v>
      </c>
      <c r="AB40" s="1575">
        <f t="shared" si="4"/>
        <v>1</v>
      </c>
      <c r="AC40" s="1575">
        <f t="shared" si="5"/>
        <v>1</v>
      </c>
    </row>
    <row r="41" spans="1:29" ht="15">
      <c r="A41" s="593"/>
      <c r="B41" s="527"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0"/>
      <c r="Q41" s="1571" t="str">
        <f t="shared" si="11"/>
        <v>层高</v>
      </c>
      <c r="R41" s="1572" t="s">
        <v>8</v>
      </c>
      <c r="S41" s="1573">
        <f t="shared" si="12"/>
        <v>100</v>
      </c>
      <c r="T41" s="1572" t="s">
        <v>8</v>
      </c>
      <c r="U41" s="1573">
        <f t="shared" si="13"/>
        <v>100</v>
      </c>
      <c r="V41" s="1572" t="s">
        <v>8</v>
      </c>
      <c r="W41" s="1573">
        <f t="shared" si="14"/>
        <v>100</v>
      </c>
      <c r="X41" s="1566"/>
      <c r="Y41" s="3410"/>
      <c r="Z41" s="1574" t="str">
        <f t="shared" si="15"/>
        <v>层高</v>
      </c>
      <c r="AA41" s="1575">
        <f t="shared" si="3"/>
        <v>1</v>
      </c>
      <c r="AB41" s="1575">
        <f t="shared" si="4"/>
        <v>1</v>
      </c>
      <c r="AC41" s="1575">
        <f t="shared" si="5"/>
        <v>1</v>
      </c>
    </row>
    <row r="42" spans="1:29" s="1338"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0"/>
      <c r="Q42" s="1604" t="str">
        <f t="shared" si="11"/>
        <v>单套建筑面积</v>
      </c>
      <c r="R42" s="1576" t="s">
        <v>8</v>
      </c>
      <c r="S42" s="1577">
        <f t="shared" si="12"/>
        <v>100</v>
      </c>
      <c r="T42" s="1576" t="s">
        <v>8</v>
      </c>
      <c r="U42" s="1577">
        <f t="shared" si="13"/>
        <v>100</v>
      </c>
      <c r="V42" s="1576" t="s">
        <v>8</v>
      </c>
      <c r="W42" s="1577">
        <f t="shared" si="14"/>
        <v>100</v>
      </c>
      <c r="X42" s="1578"/>
      <c r="Y42" s="3410"/>
      <c r="Z42" s="1579" t="str">
        <f t="shared" si="15"/>
        <v>单套建筑面积</v>
      </c>
      <c r="AA42" s="1575">
        <f t="shared" si="3"/>
        <v>1</v>
      </c>
      <c r="AB42" s="1575">
        <f t="shared" si="4"/>
        <v>1</v>
      </c>
      <c r="AC42" s="1575">
        <f t="shared" si="5"/>
        <v>1</v>
      </c>
    </row>
    <row r="43" spans="1:29" ht="15">
      <c r="A43" s="593"/>
      <c r="B43" s="527"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0"/>
      <c r="Q43" s="1571" t="str">
        <f t="shared" si="11"/>
        <v>内部装修</v>
      </c>
      <c r="R43" s="1572" t="s">
        <v>8</v>
      </c>
      <c r="S43" s="1573">
        <f t="shared" si="12"/>
        <v>100</v>
      </c>
      <c r="T43" s="1572" t="s">
        <v>8</v>
      </c>
      <c r="U43" s="1573">
        <f t="shared" si="13"/>
        <v>100</v>
      </c>
      <c r="V43" s="1572" t="s">
        <v>8</v>
      </c>
      <c r="W43" s="1573">
        <f t="shared" si="14"/>
        <v>100</v>
      </c>
      <c r="X43" s="1566"/>
      <c r="Y43" s="3410"/>
      <c r="Z43" s="1574" t="str">
        <f t="shared" si="15"/>
        <v>内部装修</v>
      </c>
      <c r="AA43" s="1575">
        <f t="shared" si="3"/>
        <v>1</v>
      </c>
      <c r="AB43" s="1575">
        <f t="shared" si="4"/>
        <v>1</v>
      </c>
      <c r="AC43" s="1575">
        <f t="shared" si="5"/>
        <v>1</v>
      </c>
    </row>
    <row r="44" spans="1:29" ht="27">
      <c r="A44" s="593"/>
      <c r="B44" s="527"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0"/>
      <c r="Q44" s="1571" t="str">
        <f t="shared" si="11"/>
        <v>内部装修维护情况</v>
      </c>
      <c r="R44" s="1572" t="s">
        <v>8</v>
      </c>
      <c r="S44" s="1573">
        <f t="shared" si="12"/>
        <v>100</v>
      </c>
      <c r="T44" s="1572" t="s">
        <v>8</v>
      </c>
      <c r="U44" s="1573">
        <f t="shared" si="13"/>
        <v>100</v>
      </c>
      <c r="V44" s="1572" t="s">
        <v>8</v>
      </c>
      <c r="W44" s="1573">
        <f t="shared" si="14"/>
        <v>100</v>
      </c>
      <c r="X44" s="1566"/>
      <c r="Y44" s="3410"/>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5"/>
      <c r="M45" s="2136"/>
      <c r="N45" s="2136"/>
      <c r="O45" s="2136"/>
      <c r="P45" s="3410"/>
      <c r="Q45" s="1150">
        <f t="shared" si="11"/>
        <v>111</v>
      </c>
      <c r="R45" s="1567" t="s">
        <v>8</v>
      </c>
      <c r="S45" s="1568">
        <f t="shared" si="12"/>
        <v>100</v>
      </c>
      <c r="T45" s="1567" t="s">
        <v>8</v>
      </c>
      <c r="U45" s="1568">
        <f t="shared" si="13"/>
        <v>100</v>
      </c>
      <c r="V45" s="1567" t="s">
        <v>8</v>
      </c>
      <c r="W45" s="1568">
        <f t="shared" si="14"/>
        <v>100</v>
      </c>
      <c r="X45" s="1569"/>
      <c r="Y45" s="3410"/>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2"/>
      <c r="M46" s="2134"/>
      <c r="N46" s="2134"/>
      <c r="O46" s="2134"/>
      <c r="P46" s="3410"/>
      <c r="Q46" s="1571">
        <f t="shared" si="11"/>
        <v>111</v>
      </c>
      <c r="R46" s="1572" t="s">
        <v>8</v>
      </c>
      <c r="S46" s="1573">
        <f t="shared" si="12"/>
        <v>100</v>
      </c>
      <c r="T46" s="1572" t="s">
        <v>8</v>
      </c>
      <c r="U46" s="1573">
        <f t="shared" si="13"/>
        <v>100</v>
      </c>
      <c r="V46" s="1572" t="s">
        <v>8</v>
      </c>
      <c r="W46" s="1573">
        <f t="shared" si="14"/>
        <v>100</v>
      </c>
      <c r="X46" s="1566"/>
      <c r="Y46" s="3410"/>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2"/>
      <c r="M47" s="2134"/>
      <c r="N47" s="2134"/>
      <c r="O47" s="2134"/>
      <c r="P47" s="3488"/>
      <c r="Q47" s="1571">
        <f t="shared" si="11"/>
        <v>111</v>
      </c>
      <c r="R47" s="1572" t="s">
        <v>8</v>
      </c>
      <c r="S47" s="1573">
        <f t="shared" si="12"/>
        <v>100</v>
      </c>
      <c r="T47" s="1572" t="s">
        <v>8</v>
      </c>
      <c r="U47" s="1573">
        <f t="shared" si="13"/>
        <v>100</v>
      </c>
      <c r="V47" s="1572" t="s">
        <v>8</v>
      </c>
      <c r="W47" s="1573">
        <f t="shared" si="14"/>
        <v>100</v>
      </c>
      <c r="X47" s="1566"/>
      <c r="Y47" s="3488"/>
      <c r="Z47" s="1574">
        <f t="shared" si="15"/>
        <v>111</v>
      </c>
      <c r="AA47" s="1575">
        <f t="shared" si="3"/>
        <v>1</v>
      </c>
      <c r="AB47" s="1575">
        <f t="shared" si="4"/>
        <v>1</v>
      </c>
      <c r="AC47" s="1575">
        <f t="shared" si="5"/>
        <v>1</v>
      </c>
    </row>
    <row r="48" spans="1:29" ht="15">
      <c r="A48" s="606" t="s">
        <v>702</v>
      </c>
      <c r="B48" s="886"/>
      <c r="C48" s="2627" t="s">
        <v>1</v>
      </c>
      <c r="D48" s="2628"/>
      <c r="E48" s="2629"/>
      <c r="F48" s="2630"/>
      <c r="G48" s="2631"/>
      <c r="H48" s="2632"/>
      <c r="I48" s="2629"/>
      <c r="J48" s="2632"/>
      <c r="K48" s="1610"/>
      <c r="L48" s="2144"/>
      <c r="M48" s="2134"/>
      <c r="N48" s="2134"/>
      <c r="O48" s="2134"/>
      <c r="P48" s="3370" t="str">
        <f>A48</f>
        <v>成交单价（元/平方米）</v>
      </c>
      <c r="Q48" s="3372"/>
      <c r="R48" s="3487">
        <f>E48</f>
        <v>0</v>
      </c>
      <c r="S48" s="3487"/>
      <c r="T48" s="3487">
        <f>G48</f>
        <v>0</v>
      </c>
      <c r="U48" s="3487"/>
      <c r="V48" s="3487">
        <f>I48</f>
        <v>0</v>
      </c>
      <c r="W48" s="3487"/>
      <c r="X48" s="1558"/>
      <c r="Y48" s="1580"/>
      <c r="Z48" s="1558"/>
      <c r="AA48" s="1558"/>
      <c r="AB48" s="1558"/>
      <c r="AC48" s="1558"/>
    </row>
    <row r="49" spans="1:29" ht="15.75" thickBot="1">
      <c r="A49" s="614" t="s">
        <v>2722</v>
      </c>
      <c r="B49" s="887"/>
      <c r="C49" s="2633" t="e">
        <f>R50</f>
        <v>#DIV/0!</v>
      </c>
      <c r="D49" s="2634"/>
      <c r="E49" s="2635" t="e">
        <f>R49</f>
        <v>#DIV/0!</v>
      </c>
      <c r="F49" s="2635"/>
      <c r="G49" s="2633" t="e">
        <f>T49</f>
        <v>#DIV/0!</v>
      </c>
      <c r="H49" s="2634"/>
      <c r="I49" s="2635" t="e">
        <f>V49</f>
        <v>#DIV/0!</v>
      </c>
      <c r="J49" s="2634"/>
      <c r="K49" s="1611"/>
      <c r="L49" s="2144"/>
      <c r="M49" s="2134"/>
      <c r="N49" s="2134"/>
      <c r="O49" s="2134"/>
      <c r="P49" s="3370" t="str">
        <f>A49</f>
        <v>比较价格（元/平方米）</v>
      </c>
      <c r="Q49" s="3372"/>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8"/>
      <c r="Y49" s="1558"/>
      <c r="Z49" s="1558"/>
      <c r="AA49" s="1558"/>
      <c r="AB49" s="1558"/>
      <c r="AC49" s="1558"/>
    </row>
    <row r="50" spans="1:29" ht="15.75" thickBot="1">
      <c r="A50" s="620" t="s">
        <v>2892</v>
      </c>
      <c r="B50" s="621"/>
      <c r="C50" s="2636" t="e">
        <f>R50</f>
        <v>#DIV/0!</v>
      </c>
      <c r="D50" s="2636"/>
      <c r="E50" s="2636"/>
      <c r="F50" s="2636"/>
      <c r="G50" s="2636"/>
      <c r="H50" s="2636"/>
      <c r="I50" s="2636"/>
      <c r="J50" s="2636"/>
      <c r="K50" s="1612"/>
      <c r="L50" s="2144"/>
      <c r="M50" s="2134"/>
      <c r="N50" s="2134"/>
      <c r="O50" s="2134"/>
      <c r="P50" s="3490" t="str">
        <f>A50</f>
        <v>估价对象XX用房的比较价格（楼面单价，元/平方米）</v>
      </c>
      <c r="Q50" s="3370"/>
      <c r="R50" s="3486" t="e">
        <f>IF(F1="售价",ROUND(AVERAGE(R49:V49),0),ROUND(AVERAGE(R49:V49),1))</f>
        <v>#DIV/0!</v>
      </c>
      <c r="S50" s="3486"/>
      <c r="T50" s="3486"/>
      <c r="U50" s="3486"/>
      <c r="V50" s="3486"/>
      <c r="W50" s="348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540</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495</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541</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497</v>
      </c>
      <c r="B62" s="647"/>
      <c r="C62" s="659" t="s">
        <v>542</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543</v>
      </c>
      <c r="B64" s="664" t="s">
        <v>500</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503</v>
      </c>
      <c r="C66" s="673" t="s">
        <v>703</v>
      </c>
      <c r="D66" s="673" t="s">
        <v>704</v>
      </c>
      <c r="E66" s="673" t="s">
        <v>705</v>
      </c>
      <c r="F66" s="673" t="s">
        <v>706</v>
      </c>
      <c r="G66" s="673" t="s">
        <v>707</v>
      </c>
      <c r="H66" s="673" t="s">
        <v>708</v>
      </c>
      <c r="I66" s="673" t="s">
        <v>709</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505</v>
      </c>
      <c r="B77" s="664" t="s">
        <v>551</v>
      </c>
      <c r="C77" s="702" t="s">
        <v>545</v>
      </c>
      <c r="D77" s="702" t="s">
        <v>546</v>
      </c>
      <c r="E77" s="702" t="s">
        <v>547</v>
      </c>
      <c r="F77" s="702" t="s">
        <v>548</v>
      </c>
      <c r="G77" s="702" t="s">
        <v>549</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552</v>
      </c>
      <c r="C79" s="707" t="s">
        <v>545</v>
      </c>
      <c r="D79" s="707" t="s">
        <v>546</v>
      </c>
      <c r="E79" s="707" t="s">
        <v>547</v>
      </c>
      <c r="F79" s="707" t="s">
        <v>548</v>
      </c>
      <c r="G79" s="707" t="s">
        <v>549</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2520</v>
      </c>
      <c r="C81" s="707" t="s">
        <v>545</v>
      </c>
      <c r="D81" s="707" t="s">
        <v>546</v>
      </c>
      <c r="E81" s="707" t="s">
        <v>547</v>
      </c>
      <c r="F81" s="707" t="s">
        <v>548</v>
      </c>
      <c r="G81" s="707" t="s">
        <v>549</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2521</v>
      </c>
      <c r="C83" s="2598" t="s">
        <v>2522</v>
      </c>
      <c r="D83" s="2598" t="s">
        <v>2523</v>
      </c>
      <c r="E83" s="2598" t="s">
        <v>2524</v>
      </c>
      <c r="F83" s="2598" t="s">
        <v>2525</v>
      </c>
      <c r="G83" s="2598" t="s">
        <v>2526</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750</v>
      </c>
      <c r="C85" s="707" t="s">
        <v>545</v>
      </c>
      <c r="D85" s="707" t="s">
        <v>546</v>
      </c>
      <c r="E85" s="707" t="s">
        <v>547</v>
      </c>
      <c r="F85" s="707" t="s">
        <v>548</v>
      </c>
      <c r="G85" s="707" t="s">
        <v>549</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751</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517</v>
      </c>
      <c r="B101" s="664" t="s">
        <v>713</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715</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717</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752</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719</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2519</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753</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741</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721</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722</v>
      </c>
      <c r="C125" s="707" t="s">
        <v>545</v>
      </c>
      <c r="D125" s="707" t="s">
        <v>546</v>
      </c>
      <c r="E125" s="707" t="s">
        <v>547</v>
      </c>
      <c r="F125" s="707" t="s">
        <v>548</v>
      </c>
      <c r="G125" s="707" t="s">
        <v>549</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754</v>
      </c>
      <c r="C1" s="504" t="s">
        <v>686</v>
      </c>
      <c r="D1" s="848"/>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485</v>
      </c>
      <c r="B3" s="510" t="e">
        <f>C43</f>
        <v>#DIV/0!</v>
      </c>
      <c r="C3" s="851" t="s">
        <v>688</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487</v>
      </c>
      <c r="B4" s="513"/>
      <c r="C4" s="3378" t="s">
        <v>488</v>
      </c>
      <c r="D4" s="3379"/>
      <c r="E4" s="3414" t="s">
        <v>489</v>
      </c>
      <c r="F4" s="3415"/>
      <c r="G4" s="3378" t="s">
        <v>490</v>
      </c>
      <c r="H4" s="3379"/>
      <c r="I4" s="3378" t="s">
        <v>491</v>
      </c>
      <c r="J4" s="3379"/>
      <c r="K4" s="514"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6"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4"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40" si="3">D8/F8</f>
        <v>#DIV/0!</v>
      </c>
      <c r="AB8" s="1570" t="e">
        <f t="shared" ref="AB8:AB40" si="4">D8/H8</f>
        <v>#DIV/0!</v>
      </c>
      <c r="AC8" s="1570" t="e">
        <f t="shared" ref="AC8:AC40" si="5">D8/J8</f>
        <v>#DIV/0!</v>
      </c>
    </row>
    <row r="9" spans="1:29" s="1219" customFormat="1" ht="15">
      <c r="A9" s="2914"/>
      <c r="B9" s="2921" t="s">
        <v>2718</v>
      </c>
      <c r="C9" s="856"/>
      <c r="D9" s="254">
        <v>100</v>
      </c>
      <c r="E9" s="859"/>
      <c r="F9" s="254">
        <f>SUMIF(57:57,E9,58:58)-SUMIF(57:57,C9,58:58)+100</f>
        <v>100</v>
      </c>
      <c r="G9" s="857"/>
      <c r="H9" s="254">
        <f>SUMIF(57:57,G9,58:58)-SUMIF(57:57,C9,58:58)+100</f>
        <v>100</v>
      </c>
      <c r="I9" s="857"/>
      <c r="J9" s="254">
        <f>SUMIF(57:57,I9,58:58)-SUMIF(57:57,C9,58:58)+100</f>
        <v>100</v>
      </c>
      <c r="K9" s="52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SUMIF(59:59,E10,60:60)-SUMIF(59:59,C10,60:60)+100</f>
        <v>100</v>
      </c>
      <c r="G10" s="861"/>
      <c r="H10" s="255">
        <f>SUMIF(59:59,G10,60:60)-SUMIF(59:59,C10,60:60)+100</f>
        <v>100</v>
      </c>
      <c r="I10" s="860"/>
      <c r="J10" s="255">
        <f>SUMIF(59:59,I10,60:60)-SUMIF(59:59,C10,60:60)+100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40"/>
      <c r="M11" s="2134"/>
      <c r="N11" s="2134"/>
      <c r="O11" s="2141"/>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SUMIF(64:64,E12,65:65)-SUMIF(64:64,C12,65:65)+100</f>
        <v>100</v>
      </c>
      <c r="G12" s="919"/>
      <c r="H12" s="255">
        <f>SUMIF(64:64,G12,65:65)-SUMIF(64:64,C12,65:65)+100</f>
        <v>100</v>
      </c>
      <c r="I12" s="879"/>
      <c r="J12" s="255">
        <f>SUMIF(64:64,I12,65:65)-SUMIF(64:64,C12,65:65)+100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38"/>
      <c r="F13" s="255">
        <f>SUMIF(66:66,E13,67:67)-SUMIF(66:66,C13,67:67)+100</f>
        <v>100</v>
      </c>
      <c r="G13" s="919"/>
      <c r="H13" s="539">
        <f>SUMIF(66:66,G13,67:67)-SUMIF(66:66,C13,67:67)+100</f>
        <v>100</v>
      </c>
      <c r="I13" s="879"/>
      <c r="J13" s="539">
        <f>SUMIF(66:66,I13,67:67)-SUMIF(66:66,C13,67:67)+100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57">
      <c r="A15" s="2910" t="s">
        <v>2716</v>
      </c>
      <c r="B15" s="166" t="s">
        <v>755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7" t="s">
        <v>506</v>
      </c>
      <c r="Q15" s="1571" t="str">
        <f t="shared" si="6"/>
        <v>产业集聚程度</v>
      </c>
      <c r="R15" s="1572" t="s">
        <v>8</v>
      </c>
      <c r="S15" s="1573">
        <f t="shared" si="0"/>
        <v>100</v>
      </c>
      <c r="T15" s="1572" t="s">
        <v>8</v>
      </c>
      <c r="U15" s="1573">
        <f t="shared" si="1"/>
        <v>100</v>
      </c>
      <c r="V15" s="1572" t="s">
        <v>8</v>
      </c>
      <c r="W15" s="1573">
        <f t="shared" si="2"/>
        <v>100</v>
      </c>
      <c r="X15" s="1566"/>
      <c r="Y15" s="3407" t="s">
        <v>506</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8"/>
      <c r="Q16" s="1571"/>
      <c r="R16" s="1572"/>
      <c r="S16" s="1573"/>
      <c r="T16" s="1572"/>
      <c r="U16" s="1573"/>
      <c r="V16" s="1572"/>
      <c r="W16" s="1573"/>
      <c r="X16" s="1566"/>
      <c r="Y16" s="3408"/>
      <c r="Z16" s="1574"/>
      <c r="AA16" s="1575">
        <v>1</v>
      </c>
      <c r="AB16" s="1575">
        <v>1</v>
      </c>
      <c r="AC16" s="1575">
        <v>1</v>
      </c>
    </row>
    <row r="17" spans="1:29" ht="85.5">
      <c r="A17" s="531"/>
      <c r="B17" s="870" t="s">
        <v>262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3" t="s">
        <v>2509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8"/>
      <c r="Q20" s="1571"/>
      <c r="R20" s="1572"/>
      <c r="S20" s="1573"/>
      <c r="T20" s="1572"/>
      <c r="U20" s="1573"/>
      <c r="V20" s="1572"/>
      <c r="W20" s="1573"/>
      <c r="X20" s="1566"/>
      <c r="Y20" s="3408"/>
      <c r="Z20" s="1574"/>
      <c r="AA20" s="1575">
        <v>1</v>
      </c>
      <c r="AB20" s="1575">
        <v>1</v>
      </c>
      <c r="AC20" s="1575">
        <v>1</v>
      </c>
    </row>
    <row r="21" spans="1:29" ht="28.5">
      <c r="A21" s="531"/>
      <c r="B21" s="2591" t="s">
        <v>2521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8"/>
      <c r="Q22" s="2579"/>
      <c r="R22" s="1572"/>
      <c r="S22" s="1573"/>
      <c r="T22" s="1572"/>
      <c r="U22" s="1573"/>
      <c r="V22" s="1572"/>
      <c r="W22" s="1573"/>
      <c r="X22" s="2581"/>
      <c r="Y22" s="3408"/>
      <c r="Z22" s="2580"/>
      <c r="AA22" s="1575">
        <v>1</v>
      </c>
      <c r="AB22" s="1575">
        <v>1</v>
      </c>
      <c r="AC22" s="1575">
        <v>1</v>
      </c>
    </row>
    <row r="23" spans="1:29" ht="71.25">
      <c r="A23" s="531"/>
      <c r="B23" s="870" t="s">
        <v>744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8"/>
      <c r="Q23" s="1571" t="str">
        <f>B23</f>
        <v>环境质量</v>
      </c>
      <c r="R23" s="1572" t="s">
        <v>8</v>
      </c>
      <c r="S23" s="1573">
        <f>F23</f>
        <v>100</v>
      </c>
      <c r="T23" s="1572" t="s">
        <v>8</v>
      </c>
      <c r="U23" s="1573">
        <f>H23</f>
        <v>100</v>
      </c>
      <c r="V23" s="1572" t="s">
        <v>8</v>
      </c>
      <c r="W23" s="1573">
        <f>J23</f>
        <v>100</v>
      </c>
      <c r="X23" s="1566"/>
      <c r="Y23" s="3408"/>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8"/>
      <c r="Q25" s="1571">
        <f>B25</f>
        <v>111</v>
      </c>
      <c r="R25" s="1572" t="s">
        <v>8</v>
      </c>
      <c r="S25" s="1573">
        <f>F25</f>
        <v>100</v>
      </c>
      <c r="T25" s="1572" t="s">
        <v>8</v>
      </c>
      <c r="U25" s="1573">
        <f>H25</f>
        <v>100</v>
      </c>
      <c r="V25" s="1572" t="s">
        <v>8</v>
      </c>
      <c r="W25" s="1573">
        <f>J25</f>
        <v>100</v>
      </c>
      <c r="X25" s="1566"/>
      <c r="Y25" s="340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8"/>
      <c r="Q26" s="1571">
        <f t="shared" ref="Q26:Q40" si="11">B26</f>
        <v>111</v>
      </c>
      <c r="R26" s="1572" t="s">
        <v>8</v>
      </c>
      <c r="S26" s="1573">
        <f>F26</f>
        <v>100</v>
      </c>
      <c r="T26" s="1572" t="s">
        <v>8</v>
      </c>
      <c r="U26" s="1573">
        <f>H26</f>
        <v>100</v>
      </c>
      <c r="V26" s="1572" t="s">
        <v>8</v>
      </c>
      <c r="W26" s="1573">
        <f>J26</f>
        <v>100</v>
      </c>
      <c r="X26" s="1566"/>
      <c r="Y26" s="3408"/>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8"/>
      <c r="Q27" s="1150">
        <f t="shared" si="11"/>
        <v>111</v>
      </c>
      <c r="R27" s="1567" t="s">
        <v>8</v>
      </c>
      <c r="S27" s="1568">
        <f>F27</f>
        <v>100</v>
      </c>
      <c r="T27" s="1567" t="s">
        <v>8</v>
      </c>
      <c r="U27" s="1568">
        <f>H27</f>
        <v>100</v>
      </c>
      <c r="V27" s="1567" t="s">
        <v>8</v>
      </c>
      <c r="W27" s="1568">
        <f>J27</f>
        <v>100</v>
      </c>
      <c r="X27" s="1569"/>
      <c r="Y27" s="3408"/>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8"/>
      <c r="Q28" s="1571">
        <f t="shared" si="11"/>
        <v>111</v>
      </c>
      <c r="R28" s="1572" t="s">
        <v>8</v>
      </c>
      <c r="S28" s="1573">
        <f t="shared" ref="S28:S40" si="12">F28</f>
        <v>100</v>
      </c>
      <c r="T28" s="1572" t="s">
        <v>8</v>
      </c>
      <c r="U28" s="1573">
        <f t="shared" ref="U28:U40" si="13">H28</f>
        <v>100</v>
      </c>
      <c r="V28" s="1572" t="s">
        <v>8</v>
      </c>
      <c r="W28" s="1573">
        <f t="shared" ref="W28:W40" si="14">J28</f>
        <v>100</v>
      </c>
      <c r="X28" s="1566"/>
      <c r="Y28" s="3408"/>
      <c r="Z28" s="1574">
        <f t="shared" ref="Z28:Z40" si="15">Q28</f>
        <v>111</v>
      </c>
      <c r="AA28" s="1575">
        <f t="shared" si="3"/>
        <v>1</v>
      </c>
      <c r="AB28" s="1575">
        <f t="shared" si="4"/>
        <v>1</v>
      </c>
      <c r="AC28" s="1575">
        <f t="shared" si="5"/>
        <v>1</v>
      </c>
    </row>
    <row r="29" spans="1:29" ht="15">
      <c r="A29" s="2907" t="s">
        <v>2717</v>
      </c>
      <c r="B29" s="172" t="s">
        <v>746</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9" t="s">
        <v>516</v>
      </c>
      <c r="Q29" s="1571" t="str">
        <f t="shared" si="11"/>
        <v>建筑类型</v>
      </c>
      <c r="R29" s="1572" t="s">
        <v>8</v>
      </c>
      <c r="S29" s="1573">
        <f t="shared" si="12"/>
        <v>100</v>
      </c>
      <c r="T29" s="1572" t="s">
        <v>8</v>
      </c>
      <c r="U29" s="1573">
        <f t="shared" si="13"/>
        <v>100</v>
      </c>
      <c r="V29" s="1572" t="s">
        <v>8</v>
      </c>
      <c r="W29" s="1573">
        <f t="shared" si="14"/>
        <v>100</v>
      </c>
      <c r="X29" s="1566"/>
      <c r="Y29" s="3410" t="s">
        <v>516</v>
      </c>
      <c r="Z29" s="1574" t="str">
        <f t="shared" si="15"/>
        <v>建筑类型</v>
      </c>
      <c r="AA29" s="1575">
        <f t="shared" si="3"/>
        <v>1</v>
      </c>
      <c r="AB29" s="1575">
        <f t="shared" si="4"/>
        <v>1</v>
      </c>
      <c r="AC29" s="1575">
        <f t="shared" si="5"/>
        <v>1</v>
      </c>
    </row>
    <row r="30" spans="1:29" s="1338" customFormat="1" ht="15">
      <c r="A30" s="602"/>
      <c r="B30" s="527" t="s">
        <v>692</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40"/>
      <c r="M30" s="2171"/>
      <c r="N30" s="2171"/>
      <c r="O30" s="2143"/>
      <c r="P30" s="3410"/>
      <c r="Q30" s="1604" t="str">
        <f t="shared" si="11"/>
        <v>项目建筑规模</v>
      </c>
      <c r="R30" s="1576" t="s">
        <v>8</v>
      </c>
      <c r="S30" s="1577" t="e">
        <f t="shared" si="12"/>
        <v>#N/A</v>
      </c>
      <c r="T30" s="1576" t="s">
        <v>8</v>
      </c>
      <c r="U30" s="1577" t="e">
        <f t="shared" si="13"/>
        <v>#N/A</v>
      </c>
      <c r="V30" s="1576" t="s">
        <v>8</v>
      </c>
      <c r="W30" s="1577" t="e">
        <f t="shared" si="14"/>
        <v>#N/A</v>
      </c>
      <c r="X30" s="1578"/>
      <c r="Y30" s="3410"/>
      <c r="Z30" s="1579" t="str">
        <f t="shared" si="15"/>
        <v>项目建筑规模</v>
      </c>
      <c r="AA30" s="1575" t="e">
        <f t="shared" si="3"/>
        <v>#N/A</v>
      </c>
      <c r="AB30" s="1575" t="e">
        <f t="shared" si="4"/>
        <v>#N/A</v>
      </c>
      <c r="AC30" s="1575" t="e">
        <f t="shared" si="5"/>
        <v>#N/A</v>
      </c>
    </row>
    <row r="31" spans="1:29" ht="15">
      <c r="A31" s="593"/>
      <c r="B31" s="527" t="s">
        <v>693</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0"/>
      <c r="Q31" s="1571" t="str">
        <f t="shared" si="11"/>
        <v>建筑结构</v>
      </c>
      <c r="R31" s="1572" t="s">
        <v>8</v>
      </c>
      <c r="S31" s="1573">
        <f t="shared" si="12"/>
        <v>100</v>
      </c>
      <c r="T31" s="1572" t="s">
        <v>8</v>
      </c>
      <c r="U31" s="1573">
        <f t="shared" si="13"/>
        <v>100</v>
      </c>
      <c r="V31" s="1572" t="s">
        <v>8</v>
      </c>
      <c r="W31" s="1573">
        <f t="shared" si="14"/>
        <v>100</v>
      </c>
      <c r="X31" s="1566"/>
      <c r="Y31" s="3410"/>
      <c r="Z31" s="1574" t="str">
        <f t="shared" si="15"/>
        <v>建筑结构</v>
      </c>
      <c r="AA31" s="1575">
        <f t="shared" si="3"/>
        <v>1</v>
      </c>
      <c r="AB31" s="1575">
        <f t="shared" si="4"/>
        <v>1</v>
      </c>
      <c r="AC31" s="1575">
        <f t="shared" si="5"/>
        <v>1</v>
      </c>
    </row>
    <row r="32" spans="1:29" ht="15">
      <c r="A32" s="593"/>
      <c r="B32" s="527" t="s">
        <v>729</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0"/>
      <c r="Q32" s="1571" t="str">
        <f t="shared" si="11"/>
        <v>公共部分装修</v>
      </c>
      <c r="R32" s="1572" t="s">
        <v>8</v>
      </c>
      <c r="S32" s="1573">
        <f t="shared" si="12"/>
        <v>100</v>
      </c>
      <c r="T32" s="1572" t="s">
        <v>8</v>
      </c>
      <c r="U32" s="1573">
        <f t="shared" si="13"/>
        <v>100</v>
      </c>
      <c r="V32" s="1572" t="s">
        <v>8</v>
      </c>
      <c r="W32" s="1573">
        <f t="shared" si="14"/>
        <v>100</v>
      </c>
      <c r="X32" s="1566"/>
      <c r="Y32" s="3410"/>
      <c r="Z32" s="1574" t="str">
        <f t="shared" si="15"/>
        <v>公共部分装修</v>
      </c>
      <c r="AA32" s="1575">
        <f t="shared" si="3"/>
        <v>1</v>
      </c>
      <c r="AB32" s="1575">
        <f t="shared" si="4"/>
        <v>1</v>
      </c>
      <c r="AC32" s="1575">
        <f t="shared" si="5"/>
        <v>1</v>
      </c>
    </row>
    <row r="33" spans="1:29" ht="15">
      <c r="A33" s="593"/>
      <c r="B33" s="527"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0"/>
      <c r="Q33" s="1571" t="str">
        <f t="shared" si="11"/>
        <v>成新度</v>
      </c>
      <c r="R33" s="1572" t="s">
        <v>8</v>
      </c>
      <c r="S33" s="1573" t="e">
        <f t="shared" si="12"/>
        <v>#N/A</v>
      </c>
      <c r="T33" s="1572" t="s">
        <v>8</v>
      </c>
      <c r="U33" s="1573" t="e">
        <f t="shared" si="13"/>
        <v>#N/A</v>
      </c>
      <c r="V33" s="1572" t="s">
        <v>8</v>
      </c>
      <c r="W33" s="1573" t="e">
        <f t="shared" si="14"/>
        <v>#N/A</v>
      </c>
      <c r="X33" s="1566"/>
      <c r="Y33" s="3410"/>
      <c r="Z33" s="1574" t="str">
        <f t="shared" si="15"/>
        <v>成新度</v>
      </c>
      <c r="AA33" s="1575" t="e">
        <f t="shared" si="3"/>
        <v>#N/A</v>
      </c>
      <c r="AB33" s="1575" t="e">
        <f t="shared" si="4"/>
        <v>#N/A</v>
      </c>
      <c r="AC33" s="1575" t="e">
        <f t="shared" si="5"/>
        <v>#N/A</v>
      </c>
    </row>
    <row r="34" spans="1:29" s="1219" customFormat="1" ht="15">
      <c r="A34" s="599"/>
      <c r="B34" s="527" t="s">
        <v>748</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0"/>
      <c r="Q34" s="1150" t="str">
        <f t="shared" si="11"/>
        <v>物业管理</v>
      </c>
      <c r="R34" s="1567" t="s">
        <v>8</v>
      </c>
      <c r="S34" s="1568">
        <f t="shared" si="12"/>
        <v>100</v>
      </c>
      <c r="T34" s="1567" t="s">
        <v>8</v>
      </c>
      <c r="U34" s="1568">
        <f t="shared" si="13"/>
        <v>100</v>
      </c>
      <c r="V34" s="1567" t="s">
        <v>8</v>
      </c>
      <c r="W34" s="1568">
        <f t="shared" si="14"/>
        <v>100</v>
      </c>
      <c r="X34" s="1569"/>
      <c r="Y34" s="3410"/>
      <c r="Z34" s="1149" t="str">
        <f t="shared" si="15"/>
        <v>物业管理</v>
      </c>
      <c r="AA34" s="1570">
        <f t="shared" si="3"/>
        <v>1</v>
      </c>
      <c r="AB34" s="1570">
        <f t="shared" si="4"/>
        <v>1</v>
      </c>
      <c r="AC34" s="1570">
        <f t="shared" si="5"/>
        <v>1</v>
      </c>
    </row>
    <row r="35" spans="1:29" ht="15">
      <c r="A35" s="593"/>
      <c r="B35" s="1895" t="s">
        <v>2528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0" t="s">
        <v>516</v>
      </c>
      <c r="Q35" s="1571" t="str">
        <f t="shared" si="11"/>
        <v>市政基础设施</v>
      </c>
      <c r="R35" s="1572" t="s">
        <v>8</v>
      </c>
      <c r="S35" s="1573">
        <f t="shared" si="12"/>
        <v>100</v>
      </c>
      <c r="T35" s="1572" t="s">
        <v>8</v>
      </c>
      <c r="U35" s="1573">
        <f t="shared" si="13"/>
        <v>100</v>
      </c>
      <c r="V35" s="1572" t="s">
        <v>8</v>
      </c>
      <c r="W35" s="1573">
        <f t="shared" si="14"/>
        <v>100</v>
      </c>
      <c r="X35" s="1566"/>
      <c r="Y35" s="3410" t="s">
        <v>516</v>
      </c>
      <c r="Z35" s="1574" t="str">
        <f t="shared" si="15"/>
        <v>市政基础设施</v>
      </c>
      <c r="AA35" s="1575">
        <f t="shared" si="3"/>
        <v>1</v>
      </c>
      <c r="AB35" s="1575">
        <f t="shared" si="4"/>
        <v>1</v>
      </c>
      <c r="AC35" s="1575">
        <f t="shared" si="5"/>
        <v>1</v>
      </c>
    </row>
    <row r="36" spans="1:29" ht="15">
      <c r="A36" s="593"/>
      <c r="B36" s="527"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0"/>
      <c r="Q36" s="1571" t="str">
        <f t="shared" si="11"/>
        <v>内部装修</v>
      </c>
      <c r="R36" s="1572" t="s">
        <v>8</v>
      </c>
      <c r="S36" s="1573">
        <f t="shared" si="12"/>
        <v>100</v>
      </c>
      <c r="T36" s="1572" t="s">
        <v>8</v>
      </c>
      <c r="U36" s="1573">
        <f t="shared" si="13"/>
        <v>100</v>
      </c>
      <c r="V36" s="1572" t="s">
        <v>8</v>
      </c>
      <c r="W36" s="1573">
        <f t="shared" si="14"/>
        <v>100</v>
      </c>
      <c r="X36" s="1566"/>
      <c r="Y36" s="3410"/>
      <c r="Z36" s="1574" t="str">
        <f t="shared" si="15"/>
        <v>内部装修</v>
      </c>
      <c r="AA36" s="1575">
        <f t="shared" si="3"/>
        <v>1</v>
      </c>
      <c r="AB36" s="1575">
        <f t="shared" si="4"/>
        <v>1</v>
      </c>
      <c r="AC36" s="1575">
        <f t="shared" si="5"/>
        <v>1</v>
      </c>
    </row>
    <row r="37" spans="1:29" ht="15">
      <c r="A37" s="593"/>
      <c r="B37" s="527"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0"/>
      <c r="Q37" s="1571" t="str">
        <f t="shared" si="11"/>
        <v>内部装修状况</v>
      </c>
      <c r="R37" s="1572" t="s">
        <v>8</v>
      </c>
      <c r="S37" s="1573">
        <f t="shared" si="12"/>
        <v>100</v>
      </c>
      <c r="T37" s="1572" t="s">
        <v>8</v>
      </c>
      <c r="U37" s="1573">
        <f t="shared" si="13"/>
        <v>100</v>
      </c>
      <c r="V37" s="1572" t="s">
        <v>8</v>
      </c>
      <c r="W37" s="1573">
        <f t="shared" si="14"/>
        <v>100</v>
      </c>
      <c r="X37" s="1566"/>
      <c r="Y37" s="3410"/>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0"/>
      <c r="Q38" s="1604">
        <f t="shared" si="11"/>
        <v>111</v>
      </c>
      <c r="R38" s="1576" t="s">
        <v>8</v>
      </c>
      <c r="S38" s="1577">
        <f t="shared" si="12"/>
        <v>100</v>
      </c>
      <c r="T38" s="1576" t="s">
        <v>8</v>
      </c>
      <c r="U38" s="1577">
        <f t="shared" si="13"/>
        <v>100</v>
      </c>
      <c r="V38" s="1576" t="s">
        <v>8</v>
      </c>
      <c r="W38" s="1577">
        <f t="shared" si="14"/>
        <v>100</v>
      </c>
      <c r="X38" s="1578"/>
      <c r="Y38" s="3410"/>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0"/>
      <c r="Q39" s="1571">
        <f t="shared" si="11"/>
        <v>111</v>
      </c>
      <c r="R39" s="1572" t="s">
        <v>8</v>
      </c>
      <c r="S39" s="1573">
        <f t="shared" si="12"/>
        <v>100</v>
      </c>
      <c r="T39" s="1572" t="s">
        <v>8</v>
      </c>
      <c r="U39" s="1573">
        <f t="shared" si="13"/>
        <v>100</v>
      </c>
      <c r="V39" s="1572" t="s">
        <v>8</v>
      </c>
      <c r="W39" s="1573">
        <f t="shared" si="14"/>
        <v>100</v>
      </c>
      <c r="X39" s="1566"/>
      <c r="Y39" s="3410"/>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8"/>
      <c r="Q40" s="1571">
        <f t="shared" si="11"/>
        <v>111</v>
      </c>
      <c r="R40" s="1572" t="s">
        <v>8</v>
      </c>
      <c r="S40" s="1573">
        <f t="shared" si="12"/>
        <v>100</v>
      </c>
      <c r="T40" s="1572" t="s">
        <v>8</v>
      </c>
      <c r="U40" s="1573">
        <f t="shared" si="13"/>
        <v>100</v>
      </c>
      <c r="V40" s="1572" t="s">
        <v>8</v>
      </c>
      <c r="W40" s="1573">
        <f t="shared" si="14"/>
        <v>100</v>
      </c>
      <c r="X40" s="1566"/>
      <c r="Y40" s="3488"/>
      <c r="Z40" s="1574">
        <f t="shared" si="15"/>
        <v>111</v>
      </c>
      <c r="AA40" s="1575">
        <f t="shared" si="3"/>
        <v>1</v>
      </c>
      <c r="AB40" s="1575">
        <f t="shared" si="4"/>
        <v>1</v>
      </c>
      <c r="AC40" s="1575">
        <f t="shared" si="5"/>
        <v>1</v>
      </c>
    </row>
    <row r="41" spans="1:29" ht="15">
      <c r="A41" s="606" t="s">
        <v>702</v>
      </c>
      <c r="B41" s="886"/>
      <c r="C41" s="2627" t="s">
        <v>1</v>
      </c>
      <c r="D41" s="2628"/>
      <c r="E41" s="2629"/>
      <c r="F41" s="2630"/>
      <c r="G41" s="2631"/>
      <c r="H41" s="2632"/>
      <c r="I41" s="2629"/>
      <c r="J41" s="2632"/>
      <c r="K41" s="1610"/>
      <c r="L41" s="2144"/>
      <c r="M41" s="2145"/>
      <c r="N41" s="2134"/>
      <c r="O41" s="2145"/>
      <c r="P41" s="3372" t="str">
        <f>A41</f>
        <v>成交单价（元/平方米）</v>
      </c>
      <c r="Q41" s="3372"/>
      <c r="R41" s="3487">
        <f>E41</f>
        <v>0</v>
      </c>
      <c r="S41" s="3487"/>
      <c r="T41" s="3487">
        <f>G41</f>
        <v>0</v>
      </c>
      <c r="U41" s="3487"/>
      <c r="V41" s="3487">
        <f>I41</f>
        <v>0</v>
      </c>
      <c r="W41" s="3487"/>
      <c r="X41" s="1558"/>
      <c r="Y41" s="1580"/>
      <c r="Z41" s="1558"/>
      <c r="AA41" s="1558"/>
      <c r="AB41" s="1558"/>
      <c r="AC41" s="1558"/>
    </row>
    <row r="42" spans="1:29" ht="15.75" thickBot="1">
      <c r="A42" s="614" t="s">
        <v>2722</v>
      </c>
      <c r="B42" s="887"/>
      <c r="C42" s="2633" t="e">
        <f>R43</f>
        <v>#DIV/0!</v>
      </c>
      <c r="D42" s="2634"/>
      <c r="E42" s="2635" t="e">
        <f>R42</f>
        <v>#DIV/0!</v>
      </c>
      <c r="F42" s="2635"/>
      <c r="G42" s="2633" t="e">
        <f>T42</f>
        <v>#DIV/0!</v>
      </c>
      <c r="H42" s="2634"/>
      <c r="I42" s="2635" t="e">
        <f>V42</f>
        <v>#DIV/0!</v>
      </c>
      <c r="J42" s="2634"/>
      <c r="K42" s="1611"/>
      <c r="L42" s="2144"/>
      <c r="M42" s="2145"/>
      <c r="N42" s="2134"/>
      <c r="O42" s="2145"/>
      <c r="P42" s="3372" t="str">
        <f>A42</f>
        <v>比较价格（元/平方米）</v>
      </c>
      <c r="Q42" s="3372"/>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8"/>
      <c r="Y42" s="1558"/>
      <c r="Z42" s="1558"/>
      <c r="AA42" s="1558"/>
      <c r="AB42" s="1558"/>
      <c r="AC42" s="1558"/>
    </row>
    <row r="43" spans="1:29" ht="15.75" thickBot="1">
      <c r="A43" s="620" t="s">
        <v>2892</v>
      </c>
      <c r="B43" s="621"/>
      <c r="C43" s="2636" t="e">
        <f>R43</f>
        <v>#DIV/0!</v>
      </c>
      <c r="D43" s="2636"/>
      <c r="E43" s="2636"/>
      <c r="F43" s="2636"/>
      <c r="G43" s="2636"/>
      <c r="H43" s="2636"/>
      <c r="I43" s="2636"/>
      <c r="J43" s="2636"/>
      <c r="K43" s="1612"/>
      <c r="L43" s="2144"/>
      <c r="M43" s="2145"/>
      <c r="N43" s="2145"/>
      <c r="O43" s="2145"/>
      <c r="P43" s="3369" t="str">
        <f>A43</f>
        <v>估价对象XX用房的比较价格（楼面单价，元/平方米）</v>
      </c>
      <c r="Q43" s="3370"/>
      <c r="R43" s="3486" t="e">
        <f>IF(F1="售价",ROUND(AVERAGE(R42:V42),0),ROUND(AVERAGE(R42:V42),1))</f>
        <v>#DIV/0!</v>
      </c>
      <c r="S43" s="3486"/>
      <c r="T43" s="3486"/>
      <c r="U43" s="3486"/>
      <c r="V43" s="3486"/>
      <c r="W43" s="348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540</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495</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541</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497</v>
      </c>
      <c r="B55" s="647"/>
      <c r="C55" s="659" t="s">
        <v>542</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543</v>
      </c>
      <c r="B57" s="664" t="s">
        <v>500</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503</v>
      </c>
      <c r="C59" s="673" t="s">
        <v>703</v>
      </c>
      <c r="D59" s="673" t="s">
        <v>704</v>
      </c>
      <c r="E59" s="673" t="s">
        <v>705</v>
      </c>
      <c r="F59" s="673" t="s">
        <v>706</v>
      </c>
      <c r="G59" s="673" t="s">
        <v>707</v>
      </c>
      <c r="H59" s="673" t="s">
        <v>708</v>
      </c>
      <c r="I59" s="673" t="s">
        <v>709</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505</v>
      </c>
      <c r="B70" s="664" t="s">
        <v>551</v>
      </c>
      <c r="C70" s="702" t="s">
        <v>545</v>
      </c>
      <c r="D70" s="702" t="s">
        <v>546</v>
      </c>
      <c r="E70" s="702" t="s">
        <v>547</v>
      </c>
      <c r="F70" s="702" t="s">
        <v>548</v>
      </c>
      <c r="G70" s="702" t="s">
        <v>549</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552</v>
      </c>
      <c r="C72" s="707" t="s">
        <v>545</v>
      </c>
      <c r="D72" s="707" t="s">
        <v>546</v>
      </c>
      <c r="E72" s="707" t="s">
        <v>547</v>
      </c>
      <c r="F72" s="707" t="s">
        <v>548</v>
      </c>
      <c r="G72" s="707" t="s">
        <v>549</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2520</v>
      </c>
      <c r="C74" s="707" t="s">
        <v>545</v>
      </c>
      <c r="D74" s="707" t="s">
        <v>546</v>
      </c>
      <c r="E74" s="707" t="s">
        <v>547</v>
      </c>
      <c r="F74" s="707" t="s">
        <v>548</v>
      </c>
      <c r="G74" s="707" t="s">
        <v>549</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2521</v>
      </c>
      <c r="C76" s="2598" t="s">
        <v>2522</v>
      </c>
      <c r="D76" s="2598" t="s">
        <v>2523</v>
      </c>
      <c r="E76" s="2598" t="s">
        <v>2524</v>
      </c>
      <c r="F76" s="2598" t="s">
        <v>2525</v>
      </c>
      <c r="G76" s="2598" t="s">
        <v>2526</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750</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517</v>
      </c>
      <c r="B88" s="664" t="s">
        <v>713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717</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719</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2519</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721</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757</v>
      </c>
      <c r="C106" s="707" t="s">
        <v>545</v>
      </c>
      <c r="D106" s="707" t="s">
        <v>546</v>
      </c>
      <c r="E106" s="707" t="s">
        <v>547</v>
      </c>
      <c r="F106" s="707" t="s">
        <v>548</v>
      </c>
      <c r="G106" s="707" t="s">
        <v>549</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IF(B37="元/平方米",C39,ROUND(B2*10000/D3,0))</f>
        <v>#DIV/0!</v>
      </c>
      <c r="C3" s="851" t="s">
        <v>762</v>
      </c>
      <c r="D3" s="850">
        <f>SUMIF('数据-汇总表'!$C19:$C33,D1,'数据-汇总表'!$E19:$E33)</f>
        <v>0</v>
      </c>
      <c r="E3" s="1848" t="s">
        <v>2039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78" t="s">
        <v>764</v>
      </c>
      <c r="D4" s="3379"/>
      <c r="E4" s="3378" t="s">
        <v>765</v>
      </c>
      <c r="F4" s="3379"/>
      <c r="G4" s="3378" t="s">
        <v>766</v>
      </c>
      <c r="H4" s="3379"/>
      <c r="I4" s="3378" t="s">
        <v>767</v>
      </c>
      <c r="J4" s="3379"/>
      <c r="K4" s="514" t="s">
        <v>768</v>
      </c>
      <c r="L4" s="2133"/>
      <c r="M4" s="2134"/>
      <c r="N4" s="2134"/>
      <c r="O4" s="2134"/>
      <c r="P4" s="3380" t="s">
        <v>769</v>
      </c>
      <c r="Q4" s="3381"/>
      <c r="R4" s="3386" t="s">
        <v>765</v>
      </c>
      <c r="S4" s="3387"/>
      <c r="T4" s="3386" t="s">
        <v>766</v>
      </c>
      <c r="U4" s="3387"/>
      <c r="V4" s="3373" t="s">
        <v>767</v>
      </c>
      <c r="W4" s="3373"/>
      <c r="X4" s="1566"/>
      <c r="Y4" s="3386" t="s">
        <v>769</v>
      </c>
      <c r="Z4" s="3387"/>
      <c r="AA4" s="3375" t="s">
        <v>765</v>
      </c>
      <c r="AB4" s="3376" t="s">
        <v>766</v>
      </c>
      <c r="AC4" s="3375" t="s">
        <v>767</v>
      </c>
    </row>
    <row r="5" spans="1:29" ht="15">
      <c r="A5" s="515"/>
      <c r="B5" s="516"/>
      <c r="C5" s="3411" t="s">
        <v>2886</v>
      </c>
      <c r="D5" s="3395"/>
      <c r="E5" s="3411" t="s">
        <v>2887</v>
      </c>
      <c r="F5" s="3395"/>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397" t="s">
        <v>2890</v>
      </c>
      <c r="F6" s="3398"/>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4" t="s">
        <v>496</v>
      </c>
      <c r="Q7" s="3406"/>
      <c r="R7" s="1567" t="s">
        <v>8</v>
      </c>
      <c r="S7" s="1568">
        <f t="shared" ref="S7:S14" si="0">F7</f>
        <v>0</v>
      </c>
      <c r="T7" s="1567" t="s">
        <v>8</v>
      </c>
      <c r="U7" s="1568">
        <f t="shared" ref="U7:U14" si="1">H7</f>
        <v>0</v>
      </c>
      <c r="V7" s="1567" t="s">
        <v>8</v>
      </c>
      <c r="W7" s="1568">
        <f t="shared" ref="W7:W14"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36" si="3">D8/F8</f>
        <v>#DIV/0!</v>
      </c>
      <c r="AB8" s="1570" t="e">
        <f t="shared" ref="AB8:AB36" si="4">D8/H8</f>
        <v>#DIV/0!</v>
      </c>
      <c r="AC8" s="1570" t="e">
        <f t="shared" ref="AC8:AC36" si="5">D8/J8</f>
        <v>#DIV/0!</v>
      </c>
    </row>
    <row r="9" spans="1:29" s="1219" customFormat="1" ht="15">
      <c r="A9" s="2914"/>
      <c r="B9" s="2921" t="s">
        <v>2718</v>
      </c>
      <c r="C9" s="856"/>
      <c r="D9" s="254">
        <v>100</v>
      </c>
      <c r="E9" s="859"/>
      <c r="F9" s="254">
        <f>SUMIF(53:53,E9,54:54)-SUMIF(53:53,C9,54:54)+100</f>
        <v>100</v>
      </c>
      <c r="G9" s="857"/>
      <c r="H9" s="254">
        <f>SUMIF(53:53,G9,54:54)-SUMIF(53:53,C9,54:54)+100</f>
        <v>100</v>
      </c>
      <c r="I9" s="857"/>
      <c r="J9" s="254">
        <f>SUMIF(53:53,I9,54:54)-SUMIF(53:53,C9,54:54)+100</f>
        <v>100</v>
      </c>
      <c r="K9" s="524"/>
      <c r="L9" s="2135"/>
      <c r="M9" s="2136"/>
      <c r="N9" s="2136"/>
      <c r="O9" s="2137"/>
      <c r="P9" s="3372" t="s">
        <v>501</v>
      </c>
      <c r="Q9" s="1150" t="str">
        <f t="shared" ref="Q9:Q14" si="6">B9</f>
        <v>用途</v>
      </c>
      <c r="R9" s="1567" t="s">
        <v>8</v>
      </c>
      <c r="S9" s="1568">
        <f t="shared" si="0"/>
        <v>100</v>
      </c>
      <c r="T9" s="1567" t="s">
        <v>8</v>
      </c>
      <c r="U9" s="1568">
        <f t="shared" si="1"/>
        <v>100</v>
      </c>
      <c r="V9" s="1567" t="s">
        <v>8</v>
      </c>
      <c r="W9" s="1568">
        <f t="shared" si="2"/>
        <v>100</v>
      </c>
      <c r="X9" s="1569"/>
      <c r="Y9" s="3318"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SUMIF(55:55,E10,56:56)-SUMIF(55:55,C10,56:56)+100</f>
        <v>100</v>
      </c>
      <c r="G10" s="861"/>
      <c r="H10" s="255">
        <f>SUMIF(55:55,G10,56:56)-SUMIF(55:55,C10,56:56)+100</f>
        <v>100</v>
      </c>
      <c r="I10" s="860"/>
      <c r="J10" s="255">
        <f>SUMIF(55:55,I10,56:56)-SUMIF(55:55,C10,56:56)+100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0"/>
      <c r="L11" s="2140"/>
      <c r="M11" s="2134"/>
      <c r="N11" s="2134"/>
      <c r="O11" s="2141"/>
      <c r="P11" s="3372"/>
      <c r="Q11" s="1150">
        <f t="shared" si="6"/>
        <v>111</v>
      </c>
      <c r="R11" s="1567" t="s">
        <v>8</v>
      </c>
      <c r="S11" s="1568">
        <f t="shared" si="0"/>
        <v>100</v>
      </c>
      <c r="T11" s="1567" t="s">
        <v>8</v>
      </c>
      <c r="U11" s="1568">
        <f t="shared" si="1"/>
        <v>100</v>
      </c>
      <c r="V11" s="1567" t="s">
        <v>8</v>
      </c>
      <c r="W11" s="1568">
        <f t="shared" si="2"/>
        <v>100</v>
      </c>
      <c r="X11" s="1569"/>
      <c r="Y11" s="3318"/>
      <c r="Z11" s="1149">
        <f t="shared" si="7"/>
        <v>111</v>
      </c>
      <c r="AA11" s="1570">
        <f t="shared" si="3"/>
        <v>1</v>
      </c>
      <c r="AB11" s="1570">
        <f t="shared" si="4"/>
        <v>1</v>
      </c>
      <c r="AC11" s="1570">
        <f t="shared" si="5"/>
        <v>1</v>
      </c>
    </row>
    <row r="12" spans="1:29" s="1219" customFormat="1" ht="15">
      <c r="A12" s="2917"/>
      <c r="B12" s="2923">
        <v>111</v>
      </c>
      <c r="C12" s="528"/>
      <c r="D12" s="537">
        <v>100</v>
      </c>
      <c r="E12" s="528"/>
      <c r="F12" s="255">
        <f>SUMIF(59:59,E12,60:60)-SUMIF(59:59,C12,60:60)+100</f>
        <v>100</v>
      </c>
      <c r="G12" s="528"/>
      <c r="H12" s="255">
        <f>SUMIF(59:59,G12,60:60)-SUMIF(59:59,C12,60:60)+100</f>
        <v>100</v>
      </c>
      <c r="I12" s="528"/>
      <c r="J12" s="255">
        <f>SUMIF(59:59,I12,60:60)-SUMIF(59:59,C12,60:60)+100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75" thickBot="1">
      <c r="A13" s="2918"/>
      <c r="B13" s="2924">
        <v>111</v>
      </c>
      <c r="C13" s="538"/>
      <c r="D13" s="539">
        <v>100</v>
      </c>
      <c r="E13" s="528"/>
      <c r="F13" s="255">
        <f>SUMIF(61:61,E13,62:62)-SUMIF(61:61,C13,62:62)+100</f>
        <v>100</v>
      </c>
      <c r="G13" s="528"/>
      <c r="H13" s="539">
        <f>SUMIF(61:61,G13,62:62)-SUMIF(61:61,C13,62:62)+100</f>
        <v>100</v>
      </c>
      <c r="I13" s="528"/>
      <c r="J13" s="539">
        <f>SUMIF(61:61,I13,62:62)-SUMIF(61:61,C13,62:62)+100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28.25">
      <c r="A14" s="2910" t="s">
        <v>2716</v>
      </c>
      <c r="B14" s="54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7" t="s">
        <v>506</v>
      </c>
      <c r="Q14" s="1571" t="str">
        <f t="shared" si="6"/>
        <v>交通便捷度</v>
      </c>
      <c r="R14" s="1572" t="s">
        <v>8</v>
      </c>
      <c r="S14" s="1573">
        <f t="shared" si="0"/>
        <v>100</v>
      </c>
      <c r="T14" s="1572" t="s">
        <v>8</v>
      </c>
      <c r="U14" s="1573">
        <f t="shared" si="1"/>
        <v>100</v>
      </c>
      <c r="V14" s="1572" t="s">
        <v>8</v>
      </c>
      <c r="W14" s="1573">
        <f t="shared" si="2"/>
        <v>100</v>
      </c>
      <c r="X14" s="1566"/>
      <c r="Y14" s="3407" t="s">
        <v>506</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2"/>
      <c r="M15" s="2134"/>
      <c r="N15" s="2134"/>
      <c r="O15" s="2141"/>
      <c r="P15" s="3408"/>
      <c r="Q15" s="1571"/>
      <c r="R15" s="1572"/>
      <c r="S15" s="1573"/>
      <c r="T15" s="1572"/>
      <c r="U15" s="1573"/>
      <c r="V15" s="1572"/>
      <c r="W15" s="1573"/>
      <c r="X15" s="1566"/>
      <c r="Y15" s="3408"/>
      <c r="Z15" s="1574"/>
      <c r="AA15" s="1575">
        <v>1</v>
      </c>
      <c r="AB15" s="1575">
        <v>1</v>
      </c>
      <c r="AC15" s="1575">
        <v>1</v>
      </c>
    </row>
    <row r="16" spans="1:29" ht="42.75">
      <c r="A16" s="515"/>
      <c r="B16" s="2603" t="s">
        <v>2509</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8"/>
      <c r="Q16" s="1571" t="str">
        <f>B16</f>
        <v>公共配套设施</v>
      </c>
      <c r="R16" s="1572" t="s">
        <v>8</v>
      </c>
      <c r="S16" s="1573">
        <f>F16</f>
        <v>100</v>
      </c>
      <c r="T16" s="1572" t="s">
        <v>8</v>
      </c>
      <c r="U16" s="1573">
        <f>H16</f>
        <v>100</v>
      </c>
      <c r="V16" s="1572" t="s">
        <v>8</v>
      </c>
      <c r="W16" s="1573">
        <f>J16</f>
        <v>100</v>
      </c>
      <c r="X16" s="1566"/>
      <c r="Y16" s="3408"/>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2"/>
      <c r="M17" s="2134"/>
      <c r="N17" s="2134"/>
      <c r="O17" s="2141"/>
      <c r="P17" s="3408"/>
      <c r="Q17" s="1571"/>
      <c r="R17" s="1572"/>
      <c r="S17" s="1573"/>
      <c r="T17" s="1572"/>
      <c r="U17" s="1573"/>
      <c r="V17" s="1572"/>
      <c r="W17" s="1573"/>
      <c r="X17" s="1566"/>
      <c r="Y17" s="3408"/>
      <c r="Z17" s="1574"/>
      <c r="AA17" s="1575">
        <v>1</v>
      </c>
      <c r="AB17" s="1575">
        <v>1</v>
      </c>
      <c r="AC17" s="1575">
        <v>1</v>
      </c>
    </row>
    <row r="18" spans="1:29" ht="42.75">
      <c r="A18" s="515"/>
      <c r="B18" s="2591" t="s">
        <v>2521</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8"/>
      <c r="Q18" s="2579" t="str">
        <f>B18</f>
        <v>基础设施水平</v>
      </c>
      <c r="R18" s="1572" t="s">
        <v>8</v>
      </c>
      <c r="S18" s="1573">
        <f>F18</f>
        <v>100</v>
      </c>
      <c r="T18" s="1572" t="s">
        <v>8</v>
      </c>
      <c r="U18" s="1573">
        <f>H18</f>
        <v>100</v>
      </c>
      <c r="V18" s="1572" t="s">
        <v>8</v>
      </c>
      <c r="W18" s="1573">
        <f>J18</f>
        <v>100</v>
      </c>
      <c r="X18" s="2581"/>
      <c r="Y18" s="3408"/>
      <c r="Z18" s="2580"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02"/>
      <c r="L19" s="2142"/>
      <c r="M19" s="2134"/>
      <c r="N19" s="2134"/>
      <c r="O19" s="2141"/>
      <c r="P19" s="3408"/>
      <c r="Q19" s="2579"/>
      <c r="R19" s="1572"/>
      <c r="S19" s="1573"/>
      <c r="T19" s="1572"/>
      <c r="U19" s="1573"/>
      <c r="V19" s="1572"/>
      <c r="W19" s="1573"/>
      <c r="X19" s="2581"/>
      <c r="Y19" s="3408"/>
      <c r="Z19" s="2580"/>
      <c r="AA19" s="1575">
        <v>1</v>
      </c>
      <c r="AB19" s="1575">
        <v>1</v>
      </c>
      <c r="AC19" s="1575">
        <v>1</v>
      </c>
    </row>
    <row r="20" spans="1:29" ht="71.25">
      <c r="A20" s="515"/>
      <c r="B20" s="559" t="s">
        <v>770</v>
      </c>
      <c r="C20" s="871" t="str">
        <f>IF(B1="工业",估价对象房地状况!G7,估价对象房地状况!C9)</f>
        <v>区域自然环境及人文环境较好，周边有南通中央公园等；综合评价环境状况较好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8"/>
      <c r="Q20" s="1571" t="str">
        <f>B20</f>
        <v>自然及人文环境</v>
      </c>
      <c r="R20" s="1572" t="s">
        <v>8</v>
      </c>
      <c r="S20" s="1573">
        <f>F20</f>
        <v>100</v>
      </c>
      <c r="T20" s="1572" t="s">
        <v>8</v>
      </c>
      <c r="U20" s="1573">
        <f>H20</f>
        <v>100</v>
      </c>
      <c r="V20" s="1572" t="s">
        <v>8</v>
      </c>
      <c r="W20" s="1573">
        <f>J20</f>
        <v>100</v>
      </c>
      <c r="X20" s="1566"/>
      <c r="Y20" s="3408"/>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2"/>
      <c r="M21" s="2134"/>
      <c r="N21" s="2134"/>
      <c r="O21" s="2141"/>
      <c r="P21" s="3408"/>
      <c r="Q21" s="1571"/>
      <c r="R21" s="1572"/>
      <c r="S21" s="1573"/>
      <c r="T21" s="1572"/>
      <c r="U21" s="1573"/>
      <c r="V21" s="1572"/>
      <c r="W21" s="1573"/>
      <c r="X21" s="1566"/>
      <c r="Y21" s="3408"/>
      <c r="Z21" s="1574"/>
      <c r="AA21" s="1575">
        <v>1</v>
      </c>
      <c r="AB21" s="1575">
        <v>1</v>
      </c>
      <c r="AC21" s="1575">
        <v>1</v>
      </c>
    </row>
    <row r="22" spans="1:29" ht="15">
      <c r="A22" s="515"/>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8"/>
      <c r="Q22" s="1571" t="str">
        <f>B22</f>
        <v>楼层</v>
      </c>
      <c r="R22" s="1572" t="s">
        <v>8</v>
      </c>
      <c r="S22" s="1573">
        <f>F22</f>
        <v>100</v>
      </c>
      <c r="T22" s="1572" t="s">
        <v>8</v>
      </c>
      <c r="U22" s="1573">
        <f>H22</f>
        <v>100</v>
      </c>
      <c r="V22" s="1572" t="s">
        <v>8</v>
      </c>
      <c r="W22" s="1573">
        <f>J22</f>
        <v>100</v>
      </c>
      <c r="X22" s="1566"/>
      <c r="Y22" s="3408"/>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2"/>
      <c r="M23" s="2134"/>
      <c r="N23" s="2134"/>
      <c r="O23" s="2141"/>
      <c r="P23" s="3408"/>
      <c r="Q23" s="1571">
        <f>B23</f>
        <v>111</v>
      </c>
      <c r="R23" s="1572" t="s">
        <v>8</v>
      </c>
      <c r="S23" s="1573">
        <f>F23</f>
        <v>100</v>
      </c>
      <c r="T23" s="1572" t="s">
        <v>8</v>
      </c>
      <c r="U23" s="1573">
        <f>H23</f>
        <v>100</v>
      </c>
      <c r="V23" s="1572" t="s">
        <v>8</v>
      </c>
      <c r="W23" s="1573">
        <f>J23</f>
        <v>100</v>
      </c>
      <c r="X23" s="1566"/>
      <c r="Y23" s="3408"/>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2"/>
      <c r="M24" s="2134"/>
      <c r="N24" s="2134"/>
      <c r="O24" s="2141"/>
      <c r="P24" s="3408"/>
      <c r="Q24" s="1571">
        <f t="shared" ref="Q24:Q36" si="11">B24</f>
        <v>111</v>
      </c>
      <c r="R24" s="1572" t="s">
        <v>8</v>
      </c>
      <c r="S24" s="1573">
        <f>F24</f>
        <v>100</v>
      </c>
      <c r="T24" s="1572" t="s">
        <v>8</v>
      </c>
      <c r="U24" s="1573">
        <f>H24</f>
        <v>100</v>
      </c>
      <c r="V24" s="1572" t="s">
        <v>8</v>
      </c>
      <c r="W24" s="1573">
        <f>J24</f>
        <v>100</v>
      </c>
      <c r="X24" s="1566"/>
      <c r="Y24" s="3408"/>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8"/>
      <c r="Q25" s="1150">
        <f t="shared" si="11"/>
        <v>111</v>
      </c>
      <c r="R25" s="1567" t="s">
        <v>8</v>
      </c>
      <c r="S25" s="1568">
        <f>F25</f>
        <v>100</v>
      </c>
      <c r="T25" s="1567" t="s">
        <v>8</v>
      </c>
      <c r="U25" s="1568">
        <f>H25</f>
        <v>100</v>
      </c>
      <c r="V25" s="1567" t="s">
        <v>8</v>
      </c>
      <c r="W25" s="1568">
        <f>J25</f>
        <v>100</v>
      </c>
      <c r="X25" s="1569"/>
      <c r="Y25" s="3408"/>
      <c r="Z25" s="1149">
        <f>Q25</f>
        <v>111</v>
      </c>
      <c r="AA25" s="1575">
        <f>D25/F25</f>
        <v>1</v>
      </c>
      <c r="AB25" s="1575">
        <f>D25/H25</f>
        <v>1</v>
      </c>
      <c r="AC25" s="1575">
        <f>D25/J25</f>
        <v>1</v>
      </c>
    </row>
    <row r="26" spans="1:29" ht="15">
      <c r="A26" s="2907" t="s">
        <v>2717</v>
      </c>
      <c r="B26" s="170"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9"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0" t="s">
        <v>516</v>
      </c>
      <c r="Z26" s="1574" t="str">
        <f t="shared" ref="Z26:Z36" si="15">Q26</f>
        <v>配套类型</v>
      </c>
      <c r="AA26" s="1575">
        <f t="shared" si="3"/>
        <v>1</v>
      </c>
      <c r="AB26" s="1575">
        <f t="shared" si="4"/>
        <v>1</v>
      </c>
      <c r="AC26" s="1575">
        <f t="shared" si="5"/>
        <v>1</v>
      </c>
    </row>
    <row r="27" spans="1:29" s="1338" customFormat="1" ht="15">
      <c r="A27" s="928"/>
      <c r="B27" s="581" t="s">
        <v>773</v>
      </c>
      <c r="C27" s="929"/>
      <c r="D27" s="255">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0"/>
      <c r="Q27" s="1604" t="str">
        <f t="shared" si="11"/>
        <v>项目停车位配比</v>
      </c>
      <c r="R27" s="1576" t="s">
        <v>8</v>
      </c>
      <c r="S27" s="1577">
        <f t="shared" si="12"/>
        <v>100</v>
      </c>
      <c r="T27" s="1576" t="s">
        <v>8</v>
      </c>
      <c r="U27" s="1577">
        <f t="shared" si="13"/>
        <v>100</v>
      </c>
      <c r="V27" s="1576" t="s">
        <v>8</v>
      </c>
      <c r="W27" s="1577">
        <f t="shared" si="14"/>
        <v>100</v>
      </c>
      <c r="X27" s="1578"/>
      <c r="Y27" s="3410"/>
      <c r="Z27" s="1579" t="str">
        <f t="shared" si="15"/>
        <v>项目停车位配比</v>
      </c>
      <c r="AA27" s="1575">
        <f t="shared" si="3"/>
        <v>1</v>
      </c>
      <c r="AB27" s="1575">
        <f t="shared" si="4"/>
        <v>1</v>
      </c>
      <c r="AC27" s="1575">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0"/>
      <c r="Q28" s="1571" t="str">
        <f t="shared" si="11"/>
        <v>公共部分装修</v>
      </c>
      <c r="R28" s="1572" t="s">
        <v>8</v>
      </c>
      <c r="S28" s="1573">
        <f t="shared" si="12"/>
        <v>100</v>
      </c>
      <c r="T28" s="1572" t="s">
        <v>8</v>
      </c>
      <c r="U28" s="1573">
        <f t="shared" si="13"/>
        <v>100</v>
      </c>
      <c r="V28" s="1572" t="s">
        <v>8</v>
      </c>
      <c r="W28" s="1573">
        <f t="shared" si="14"/>
        <v>100</v>
      </c>
      <c r="X28" s="1566"/>
      <c r="Y28" s="3410"/>
      <c r="Z28" s="1574" t="str">
        <f t="shared" si="15"/>
        <v>公共部分装修</v>
      </c>
      <c r="AA28" s="1575">
        <f t="shared" si="3"/>
        <v>1</v>
      </c>
      <c r="AB28" s="1575">
        <f t="shared" si="4"/>
        <v>1</v>
      </c>
      <c r="AC28" s="1575">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0"/>
      <c r="Q29" s="1571" t="str">
        <f t="shared" si="11"/>
        <v>成新率</v>
      </c>
      <c r="R29" s="1572" t="s">
        <v>8</v>
      </c>
      <c r="S29" s="1573" t="e">
        <f t="shared" si="12"/>
        <v>#N/A</v>
      </c>
      <c r="T29" s="1572" t="s">
        <v>8</v>
      </c>
      <c r="U29" s="1573" t="e">
        <f t="shared" si="13"/>
        <v>#N/A</v>
      </c>
      <c r="V29" s="1572" t="s">
        <v>8</v>
      </c>
      <c r="W29" s="1573" t="e">
        <f t="shared" si="14"/>
        <v>#N/A</v>
      </c>
      <c r="X29" s="1566"/>
      <c r="Y29" s="3410"/>
      <c r="Z29" s="1574" t="str">
        <f t="shared" si="15"/>
        <v>成新率</v>
      </c>
      <c r="AA29" s="1575" t="e">
        <f t="shared" si="3"/>
        <v>#N/A</v>
      </c>
      <c r="AB29" s="1575" t="e">
        <f t="shared" si="4"/>
        <v>#N/A</v>
      </c>
      <c r="AC29" s="1575"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0"/>
      <c r="Q30" s="1571" t="str">
        <f t="shared" si="11"/>
        <v>物业等级</v>
      </c>
      <c r="R30" s="1572" t="s">
        <v>8</v>
      </c>
      <c r="S30" s="1573">
        <f t="shared" si="12"/>
        <v>100</v>
      </c>
      <c r="T30" s="1572" t="s">
        <v>8</v>
      </c>
      <c r="U30" s="1573">
        <f t="shared" si="13"/>
        <v>100</v>
      </c>
      <c r="V30" s="1572" t="s">
        <v>8</v>
      </c>
      <c r="W30" s="1573">
        <f t="shared" si="14"/>
        <v>100</v>
      </c>
      <c r="X30" s="1566"/>
      <c r="Y30" s="3410"/>
      <c r="Z30" s="1574" t="str">
        <f t="shared" si="15"/>
        <v>物业等级</v>
      </c>
      <c r="AA30" s="1575">
        <f t="shared" si="3"/>
        <v>1</v>
      </c>
      <c r="AB30" s="1575">
        <f t="shared" si="4"/>
        <v>1</v>
      </c>
      <c r="AC30" s="1575">
        <f t="shared" si="5"/>
        <v>1</v>
      </c>
    </row>
    <row r="31" spans="1:29" s="1219" customFormat="1" ht="15">
      <c r="A31" s="932"/>
      <c r="B31" s="581" t="s">
        <v>777</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0"/>
      <c r="Q31" s="1150" t="str">
        <f t="shared" si="11"/>
        <v>停车位面积</v>
      </c>
      <c r="R31" s="1567" t="s">
        <v>8</v>
      </c>
      <c r="S31" s="1568" t="e">
        <f t="shared" si="12"/>
        <v>#N/A</v>
      </c>
      <c r="T31" s="1567" t="s">
        <v>8</v>
      </c>
      <c r="U31" s="1568" t="e">
        <f t="shared" si="13"/>
        <v>#N/A</v>
      </c>
      <c r="V31" s="1567" t="s">
        <v>8</v>
      </c>
      <c r="W31" s="1568" t="e">
        <f t="shared" si="14"/>
        <v>#N/A</v>
      </c>
      <c r="X31" s="1569"/>
      <c r="Y31" s="3410"/>
      <c r="Z31" s="1149" t="str">
        <f t="shared" si="15"/>
        <v>停车位面积</v>
      </c>
      <c r="AA31" s="1570" t="e">
        <f t="shared" si="3"/>
        <v>#N/A</v>
      </c>
      <c r="AB31" s="1570" t="e">
        <f t="shared" si="4"/>
        <v>#N/A</v>
      </c>
      <c r="AC31" s="1570"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0" t="s">
        <v>516</v>
      </c>
      <c r="Q32" s="1571" t="str">
        <f t="shared" si="11"/>
        <v>车位类型</v>
      </c>
      <c r="R32" s="1572" t="s">
        <v>8</v>
      </c>
      <c r="S32" s="1573">
        <f t="shared" si="12"/>
        <v>100</v>
      </c>
      <c r="T32" s="1572" t="s">
        <v>8</v>
      </c>
      <c r="U32" s="1573">
        <f t="shared" si="13"/>
        <v>100</v>
      </c>
      <c r="V32" s="1572" t="s">
        <v>8</v>
      </c>
      <c r="W32" s="1573">
        <f t="shared" si="14"/>
        <v>100</v>
      </c>
      <c r="X32" s="1566"/>
      <c r="Y32" s="3410" t="s">
        <v>516</v>
      </c>
      <c r="Z32" s="1574" t="str">
        <f t="shared" si="15"/>
        <v>车位类型</v>
      </c>
      <c r="AA32" s="1575">
        <f t="shared" si="3"/>
        <v>1</v>
      </c>
      <c r="AB32" s="1575">
        <f t="shared" si="4"/>
        <v>1</v>
      </c>
      <c r="AC32" s="1575">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0"/>
      <c r="Q33" s="1571" t="str">
        <f t="shared" si="11"/>
        <v>是否直接入户</v>
      </c>
      <c r="R33" s="1572" t="s">
        <v>8</v>
      </c>
      <c r="S33" s="1573">
        <f t="shared" si="12"/>
        <v>100</v>
      </c>
      <c r="T33" s="1572" t="s">
        <v>8</v>
      </c>
      <c r="U33" s="1573">
        <f t="shared" si="13"/>
        <v>100</v>
      </c>
      <c r="V33" s="1572" t="s">
        <v>8</v>
      </c>
      <c r="W33" s="1573">
        <f t="shared" si="14"/>
        <v>100</v>
      </c>
      <c r="X33" s="1566"/>
      <c r="Y33" s="3410"/>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2"/>
      <c r="M34" s="2134"/>
      <c r="N34" s="2134"/>
      <c r="O34" s="2141"/>
      <c r="P34" s="3410"/>
      <c r="Q34" s="1571">
        <f t="shared" si="11"/>
        <v>111</v>
      </c>
      <c r="R34" s="1572" t="s">
        <v>8</v>
      </c>
      <c r="S34" s="1573">
        <f t="shared" si="12"/>
        <v>100</v>
      </c>
      <c r="T34" s="1572" t="s">
        <v>8</v>
      </c>
      <c r="U34" s="1573">
        <f t="shared" si="13"/>
        <v>100</v>
      </c>
      <c r="V34" s="1572" t="s">
        <v>8</v>
      </c>
      <c r="W34" s="1573">
        <f t="shared" si="14"/>
        <v>100</v>
      </c>
      <c r="X34" s="1566"/>
      <c r="Y34" s="3410"/>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40"/>
      <c r="M35" s="2171"/>
      <c r="N35" s="2171"/>
      <c r="O35" s="2143"/>
      <c r="P35" s="3410"/>
      <c r="Q35" s="1604">
        <f t="shared" si="11"/>
        <v>111</v>
      </c>
      <c r="R35" s="1576" t="s">
        <v>8</v>
      </c>
      <c r="S35" s="1577">
        <f t="shared" si="12"/>
        <v>100</v>
      </c>
      <c r="T35" s="1576" t="s">
        <v>8</v>
      </c>
      <c r="U35" s="1577">
        <f t="shared" si="13"/>
        <v>100</v>
      </c>
      <c r="V35" s="1576" t="s">
        <v>8</v>
      </c>
      <c r="W35" s="1577">
        <f t="shared" si="14"/>
        <v>100</v>
      </c>
      <c r="X35" s="1578"/>
      <c r="Y35" s="3410"/>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2"/>
      <c r="M36" s="2134"/>
      <c r="N36" s="2134"/>
      <c r="O36" s="2141"/>
      <c r="P36" s="3410"/>
      <c r="Q36" s="1571">
        <f t="shared" si="11"/>
        <v>111</v>
      </c>
      <c r="R36" s="1572" t="s">
        <v>8</v>
      </c>
      <c r="S36" s="1573">
        <f t="shared" si="12"/>
        <v>100</v>
      </c>
      <c r="T36" s="1572" t="s">
        <v>8</v>
      </c>
      <c r="U36" s="1573">
        <f t="shared" si="13"/>
        <v>100</v>
      </c>
      <c r="V36" s="1572" t="s">
        <v>8</v>
      </c>
      <c r="W36" s="1573">
        <f t="shared" si="14"/>
        <v>100</v>
      </c>
      <c r="X36" s="1566"/>
      <c r="Y36" s="3410"/>
      <c r="Z36" s="1574">
        <f t="shared" si="15"/>
        <v>111</v>
      </c>
      <c r="AA36" s="1575">
        <f t="shared" si="3"/>
        <v>1</v>
      </c>
      <c r="AB36" s="1575">
        <f t="shared" si="4"/>
        <v>1</v>
      </c>
      <c r="AC36" s="1575">
        <f t="shared" si="5"/>
        <v>1</v>
      </c>
    </row>
    <row r="37" spans="1:29" ht="15">
      <c r="A37" s="1846" t="s">
        <v>2040</v>
      </c>
      <c r="B37" s="1847" t="s">
        <v>2041</v>
      </c>
      <c r="C37" s="2627" t="s">
        <v>1</v>
      </c>
      <c r="D37" s="2628"/>
      <c r="E37" s="2629"/>
      <c r="F37" s="2630"/>
      <c r="G37" s="2631"/>
      <c r="H37" s="2632"/>
      <c r="I37" s="2629"/>
      <c r="J37" s="2632"/>
      <c r="K37" s="1610"/>
      <c r="L37" s="2144"/>
      <c r="M37" s="2145"/>
      <c r="N37" s="2134"/>
      <c r="O37" s="2145"/>
      <c r="P37" s="3372" t="str">
        <f>A37</f>
        <v>成交单价</v>
      </c>
      <c r="Q37" s="3372"/>
      <c r="R37" s="3487">
        <f>E37</f>
        <v>0</v>
      </c>
      <c r="S37" s="3487"/>
      <c r="T37" s="3487">
        <f>G37</f>
        <v>0</v>
      </c>
      <c r="U37" s="3487"/>
      <c r="V37" s="3487">
        <f>I37</f>
        <v>0</v>
      </c>
      <c r="W37" s="3487"/>
      <c r="X37" s="1558"/>
      <c r="Y37" s="1580"/>
      <c r="Z37" s="1558"/>
      <c r="AA37" s="1558"/>
      <c r="AB37" s="1558"/>
      <c r="AC37" s="1558"/>
    </row>
    <row r="38" spans="1:29" ht="15.75" thickBot="1">
      <c r="A38" s="614" t="s">
        <v>2722</v>
      </c>
      <c r="B38" s="887"/>
      <c r="C38" s="2633" t="e">
        <f>R39</f>
        <v>#DIV/0!</v>
      </c>
      <c r="D38" s="2634"/>
      <c r="E38" s="2635" t="e">
        <f>R38</f>
        <v>#DIV/0!</v>
      </c>
      <c r="F38" s="2635"/>
      <c r="G38" s="2633" t="e">
        <f>T38</f>
        <v>#DIV/0!</v>
      </c>
      <c r="H38" s="2634"/>
      <c r="I38" s="2635" t="e">
        <f>V38</f>
        <v>#DIV/0!</v>
      </c>
      <c r="J38" s="2634"/>
      <c r="K38" s="1611"/>
      <c r="L38" s="2144"/>
      <c r="M38" s="2145"/>
      <c r="N38" s="2145"/>
      <c r="O38" s="2145"/>
      <c r="P38" s="3372" t="str">
        <f>A38</f>
        <v>比较价格（元/平方米）</v>
      </c>
      <c r="Q38" s="3372"/>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8"/>
      <c r="Y38" s="1558"/>
      <c r="Z38" s="1558"/>
      <c r="AA38" s="1558"/>
      <c r="AB38" s="1558"/>
      <c r="AC38" s="1558"/>
    </row>
    <row r="39" spans="1:29" ht="15.75" thickBot="1">
      <c r="A39" s="620" t="s">
        <v>2892</v>
      </c>
      <c r="B39" s="621"/>
      <c r="C39" s="2636" t="e">
        <f>R39</f>
        <v>#DIV/0!</v>
      </c>
      <c r="D39" s="2636"/>
      <c r="E39" s="2636"/>
      <c r="F39" s="2636"/>
      <c r="G39" s="2636"/>
      <c r="H39" s="2636"/>
      <c r="I39" s="2636"/>
      <c r="J39" s="2636"/>
      <c r="K39" s="1612"/>
      <c r="L39" s="2144"/>
      <c r="M39" s="2145"/>
      <c r="N39" s="2145"/>
      <c r="O39" s="2145"/>
      <c r="P39" s="3369" t="str">
        <f>A39</f>
        <v>估价对象XX用房的比较价格（楼面单价，元/平方米）</v>
      </c>
      <c r="Q39" s="3370"/>
      <c r="R39" s="3486" t="e">
        <f>IF(F1="售价",ROUND(AVERAGE(R38:V38),0),ROUND(AVERAGE(R38:V38),1))</f>
        <v>#DIV/0!</v>
      </c>
      <c r="S39" s="3486"/>
      <c r="T39" s="3486"/>
      <c r="U39" s="3486"/>
      <c r="V39" s="3486"/>
      <c r="W39" s="348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540</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495</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541</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497</v>
      </c>
      <c r="B51" s="647"/>
      <c r="C51" s="659" t="s">
        <v>542</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543</v>
      </c>
      <c r="B53" s="664" t="s">
        <v>500</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503</v>
      </c>
      <c r="C55" s="673" t="s">
        <v>703</v>
      </c>
      <c r="D55" s="673" t="s">
        <v>704</v>
      </c>
      <c r="E55" s="673" t="s">
        <v>705</v>
      </c>
      <c r="F55" s="673" t="s">
        <v>706</v>
      </c>
      <c r="G55" s="673" t="s">
        <v>707</v>
      </c>
      <c r="H55" s="673" t="s">
        <v>708</v>
      </c>
      <c r="I55" s="673" t="s">
        <v>709</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2520</v>
      </c>
      <c r="C65" s="707" t="s">
        <v>545</v>
      </c>
      <c r="D65" s="707" t="s">
        <v>546</v>
      </c>
      <c r="E65" s="707" t="s">
        <v>547</v>
      </c>
      <c r="F65" s="707" t="s">
        <v>548</v>
      </c>
      <c r="G65" s="707" t="s">
        <v>549</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2521</v>
      </c>
      <c r="C67" s="2598" t="s">
        <v>2522</v>
      </c>
      <c r="D67" s="2598" t="s">
        <v>2523</v>
      </c>
      <c r="E67" s="2598" t="s">
        <v>2524</v>
      </c>
      <c r="F67" s="2598" t="s">
        <v>2525</v>
      </c>
      <c r="G67" s="2598" t="s">
        <v>2526</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710</v>
      </c>
      <c r="C69" s="707" t="s">
        <v>545</v>
      </c>
      <c r="D69" s="707" t="s">
        <v>546</v>
      </c>
      <c r="E69" s="707" t="s">
        <v>547</v>
      </c>
      <c r="F69" s="707" t="s">
        <v>548</v>
      </c>
      <c r="G69" s="707" t="s">
        <v>549</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711</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517</v>
      </c>
      <c r="B79" s="664" t="s">
        <v>780</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781</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717</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786</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C37</f>
        <v>#DIV/0!</v>
      </c>
      <c r="C3" s="851" t="s">
        <v>762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78" t="s">
        <v>764</v>
      </c>
      <c r="D4" s="3379"/>
      <c r="E4" s="3414" t="s">
        <v>765</v>
      </c>
      <c r="F4" s="3415"/>
      <c r="G4" s="3378" t="s">
        <v>766</v>
      </c>
      <c r="H4" s="3379"/>
      <c r="I4" s="3378" t="s">
        <v>767</v>
      </c>
      <c r="J4" s="3379"/>
      <c r="K4" s="514" t="s">
        <v>768</v>
      </c>
      <c r="L4" s="2133"/>
      <c r="M4" s="2134"/>
      <c r="N4" s="2134"/>
      <c r="O4" s="2134"/>
      <c r="P4" s="3380" t="s">
        <v>769</v>
      </c>
      <c r="Q4" s="3381"/>
      <c r="R4" s="3386" t="s">
        <v>765</v>
      </c>
      <c r="S4" s="3387"/>
      <c r="T4" s="3386" t="s">
        <v>766</v>
      </c>
      <c r="U4" s="3387"/>
      <c r="V4" s="3373" t="s">
        <v>767</v>
      </c>
      <c r="W4" s="3373"/>
      <c r="X4" s="1566"/>
      <c r="Y4" s="3386" t="s">
        <v>769</v>
      </c>
      <c r="Z4" s="3387"/>
      <c r="AA4" s="3375" t="s">
        <v>765</v>
      </c>
      <c r="AB4" s="3376" t="s">
        <v>766</v>
      </c>
      <c r="AC4" s="3375" t="s">
        <v>767</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4" t="s">
        <v>496</v>
      </c>
      <c r="Q7" s="3406"/>
      <c r="R7" s="1567" t="s">
        <v>8</v>
      </c>
      <c r="S7" s="1568">
        <f t="shared" ref="S7:S14" si="0">F7</f>
        <v>0</v>
      </c>
      <c r="T7" s="1567" t="s">
        <v>8</v>
      </c>
      <c r="U7" s="1568">
        <f t="shared" ref="U7:U14" si="1">H7</f>
        <v>0</v>
      </c>
      <c r="V7" s="1567" t="s">
        <v>8</v>
      </c>
      <c r="W7" s="1568">
        <f t="shared" ref="W7:W14"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34" si="3">D8/F8</f>
        <v>#DIV/0!</v>
      </c>
      <c r="AB8" s="1570" t="e">
        <f t="shared" ref="AB8:AB34" si="4">D8/H8</f>
        <v>#DIV/0!</v>
      </c>
      <c r="AC8" s="1570" t="e">
        <f t="shared" ref="AC8:AC34" si="5">D8/J8</f>
        <v>#DIV/0!</v>
      </c>
    </row>
    <row r="9" spans="1:29" s="1219" customFormat="1" ht="15">
      <c r="A9" s="2914"/>
      <c r="B9" s="2921" t="s">
        <v>2718</v>
      </c>
      <c r="C9" s="856"/>
      <c r="D9" s="254">
        <v>100</v>
      </c>
      <c r="E9" s="859"/>
      <c r="F9" s="254">
        <f>SUMIF(51:51,E9,52:52)-SUMIF(51:51,C9,52:52)+100</f>
        <v>100</v>
      </c>
      <c r="G9" s="859"/>
      <c r="H9" s="254">
        <f>SUMIF(51:51,G9,52:52)-SUMIF(51:51,C9,52:52)+100</f>
        <v>100</v>
      </c>
      <c r="I9" s="859"/>
      <c r="J9" s="254">
        <f>SUMIF(51:51,I9,52:52)-SUMIF(51:51,C9,52:52)+100</f>
        <v>100</v>
      </c>
      <c r="K9" s="524"/>
      <c r="L9" s="2135"/>
      <c r="M9" s="2136"/>
      <c r="N9" s="2136"/>
      <c r="O9" s="2137"/>
      <c r="P9" s="3372" t="s">
        <v>501</v>
      </c>
      <c r="Q9" s="1150" t="str">
        <f t="shared" ref="Q9:Q14" si="6">B9</f>
        <v>用途</v>
      </c>
      <c r="R9" s="1567" t="s">
        <v>8</v>
      </c>
      <c r="S9" s="1568">
        <f t="shared" si="0"/>
        <v>100</v>
      </c>
      <c r="T9" s="1567" t="s">
        <v>8</v>
      </c>
      <c r="U9" s="1568">
        <f t="shared" si="1"/>
        <v>100</v>
      </c>
      <c r="V9" s="1567" t="s">
        <v>8</v>
      </c>
      <c r="W9" s="1568">
        <f t="shared" si="2"/>
        <v>100</v>
      </c>
      <c r="X9" s="1569"/>
      <c r="Y9" s="3318"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SUMIF(53:53,E10,54:54)-SUMIF(53:53,C10,54:54)+100</f>
        <v>100</v>
      </c>
      <c r="G10" s="861"/>
      <c r="H10" s="255">
        <f>SUMIF(53:53,G10,54:54)-SUMIF(53:53,C10,54:54)+100</f>
        <v>100</v>
      </c>
      <c r="I10" s="860"/>
      <c r="J10" s="255">
        <f>SUMIF(53:53,I10,54:54)-SUMIF(53:53,C10,54:54)+100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0"/>
      <c r="L11" s="2140"/>
      <c r="M11" s="2134"/>
      <c r="N11" s="2134"/>
      <c r="O11" s="2141"/>
      <c r="P11" s="3372"/>
      <c r="Q11" s="1150">
        <f t="shared" si="6"/>
        <v>111</v>
      </c>
      <c r="R11" s="1567" t="s">
        <v>8</v>
      </c>
      <c r="S11" s="1568">
        <f t="shared" si="0"/>
        <v>100</v>
      </c>
      <c r="T11" s="1567" t="s">
        <v>8</v>
      </c>
      <c r="U11" s="1568">
        <f t="shared" si="1"/>
        <v>100</v>
      </c>
      <c r="V11" s="1567" t="s">
        <v>8</v>
      </c>
      <c r="W11" s="1568">
        <f t="shared" si="2"/>
        <v>100</v>
      </c>
      <c r="X11" s="1569"/>
      <c r="Y11" s="3318"/>
      <c r="Z11" s="1149">
        <f t="shared" si="7"/>
        <v>111</v>
      </c>
      <c r="AA11" s="1570">
        <f t="shared" si="3"/>
        <v>1</v>
      </c>
      <c r="AB11" s="1570">
        <f t="shared" si="4"/>
        <v>1</v>
      </c>
      <c r="AC11" s="1570">
        <f t="shared" si="5"/>
        <v>1</v>
      </c>
    </row>
    <row r="12" spans="1:29" s="1219" customFormat="1" ht="15">
      <c r="A12" s="2917"/>
      <c r="B12" s="2923">
        <v>111</v>
      </c>
      <c r="C12" s="528"/>
      <c r="D12" s="537">
        <v>100</v>
      </c>
      <c r="E12" s="879"/>
      <c r="F12" s="255">
        <f>SUMIF(57:57,E12,58:58)-SUMIF(57:57,C12,58:58)+100</f>
        <v>100</v>
      </c>
      <c r="G12" s="879"/>
      <c r="H12" s="255">
        <f>SUMIF(57:57,G12,58:58)-SUMIF(57:57,C12,58:58)+100</f>
        <v>100</v>
      </c>
      <c r="I12" s="879"/>
      <c r="J12" s="255">
        <f>SUMIF(57:57,I12,58:58)-SUMIF(57:57,C12,58:58)+100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75" thickBot="1">
      <c r="A13" s="2918"/>
      <c r="B13" s="2924">
        <v>111</v>
      </c>
      <c r="C13" s="538"/>
      <c r="D13" s="539">
        <v>100</v>
      </c>
      <c r="E13" s="879"/>
      <c r="F13" s="255">
        <f>SUMIF(59:59,E13,60:60)-SUMIF(59:59,C13,60:60)+100</f>
        <v>100</v>
      </c>
      <c r="G13" s="879"/>
      <c r="H13" s="539">
        <f>SUMIF(59:59,G13,60:60)-SUMIF(59:59,C13,60:60)+100</f>
        <v>100</v>
      </c>
      <c r="I13" s="879"/>
      <c r="J13" s="539">
        <f>SUMIF(59:59,I13,60:60)-SUMIF(59:59,C13,60:60)+100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28.25">
      <c r="A14" s="2910" t="s">
        <v>2716</v>
      </c>
      <c r="B14" s="16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7" t="s">
        <v>506</v>
      </c>
      <c r="Q14" s="1571" t="str">
        <f t="shared" si="6"/>
        <v>交通便捷度</v>
      </c>
      <c r="R14" s="1572" t="s">
        <v>8</v>
      </c>
      <c r="S14" s="1573">
        <f t="shared" si="0"/>
        <v>100</v>
      </c>
      <c r="T14" s="1572" t="s">
        <v>8</v>
      </c>
      <c r="U14" s="1573">
        <f t="shared" si="1"/>
        <v>100</v>
      </c>
      <c r="V14" s="1572" t="s">
        <v>8</v>
      </c>
      <c r="W14" s="1573">
        <f t="shared" si="2"/>
        <v>100</v>
      </c>
      <c r="X14" s="1566"/>
      <c r="Y14" s="3407" t="s">
        <v>506</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8"/>
      <c r="Q15" s="1571"/>
      <c r="R15" s="1572"/>
      <c r="S15" s="1573"/>
      <c r="T15" s="1572"/>
      <c r="U15" s="1573"/>
      <c r="V15" s="1572"/>
      <c r="W15" s="1573"/>
      <c r="X15" s="1566"/>
      <c r="Y15" s="3408"/>
      <c r="Z15" s="1574"/>
      <c r="AA15" s="1575">
        <v>1</v>
      </c>
      <c r="AB15" s="1575">
        <v>1</v>
      </c>
      <c r="AC15" s="1575">
        <v>1</v>
      </c>
    </row>
    <row r="16" spans="1:29" ht="42.75">
      <c r="A16" s="531"/>
      <c r="B16" s="2603" t="s">
        <v>2509</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8"/>
      <c r="Q16" s="1571" t="str">
        <f>B16</f>
        <v>公共配套设施</v>
      </c>
      <c r="R16" s="1572" t="s">
        <v>8</v>
      </c>
      <c r="S16" s="1573">
        <f>F16</f>
        <v>100</v>
      </c>
      <c r="T16" s="1572" t="s">
        <v>8</v>
      </c>
      <c r="U16" s="1573">
        <f>H16</f>
        <v>100</v>
      </c>
      <c r="V16" s="1572" t="s">
        <v>8</v>
      </c>
      <c r="W16" s="1573">
        <f>J16</f>
        <v>100</v>
      </c>
      <c r="X16" s="1566"/>
      <c r="Y16" s="340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8"/>
      <c r="Q17" s="1571"/>
      <c r="R17" s="1572"/>
      <c r="S17" s="1573"/>
      <c r="T17" s="1572"/>
      <c r="U17" s="1573"/>
      <c r="V17" s="1572"/>
      <c r="W17" s="1573"/>
      <c r="X17" s="1566"/>
      <c r="Y17" s="3408"/>
      <c r="Z17" s="1574"/>
      <c r="AA17" s="1575">
        <v>1</v>
      </c>
      <c r="AB17" s="1575">
        <v>1</v>
      </c>
      <c r="AC17" s="1575">
        <v>1</v>
      </c>
    </row>
    <row r="18" spans="1:29" ht="42.75">
      <c r="A18" s="531"/>
      <c r="B18" s="2591" t="s">
        <v>2521</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8"/>
      <c r="Q18" s="2579" t="str">
        <f>B18</f>
        <v>基础设施水平</v>
      </c>
      <c r="R18" s="1572" t="s">
        <v>8</v>
      </c>
      <c r="S18" s="1573">
        <f>F18</f>
        <v>100</v>
      </c>
      <c r="T18" s="1572" t="s">
        <v>8</v>
      </c>
      <c r="U18" s="1573">
        <f>H18</f>
        <v>100</v>
      </c>
      <c r="V18" s="1572" t="s">
        <v>8</v>
      </c>
      <c r="W18" s="1573">
        <f>J18</f>
        <v>100</v>
      </c>
      <c r="X18" s="2581"/>
      <c r="Y18" s="3408"/>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8"/>
      <c r="Q19" s="2579"/>
      <c r="R19" s="1572"/>
      <c r="S19" s="1573"/>
      <c r="T19" s="1572"/>
      <c r="U19" s="1573"/>
      <c r="V19" s="1572"/>
      <c r="W19" s="1573"/>
      <c r="X19" s="2581"/>
      <c r="Y19" s="3408"/>
      <c r="Z19" s="2580"/>
      <c r="AA19" s="1575">
        <v>1</v>
      </c>
      <c r="AB19" s="1575">
        <v>1</v>
      </c>
      <c r="AC19" s="1575">
        <v>1</v>
      </c>
    </row>
    <row r="20" spans="1:29" ht="71.25">
      <c r="A20" s="531"/>
      <c r="B20" s="870" t="s">
        <v>770</v>
      </c>
      <c r="C20" s="871" t="str">
        <f>IF(B1="工业",估价对象房地状况!G7,估价对象房地状况!C9)</f>
        <v>区域自然环境及人文环境较好，周边有南通中央公园等；综合评价环境状况较好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8"/>
      <c r="Q20" s="1571" t="str">
        <f>B20</f>
        <v>自然及人文环境</v>
      </c>
      <c r="R20" s="1572" t="s">
        <v>8</v>
      </c>
      <c r="S20" s="1573">
        <f>F20</f>
        <v>100</v>
      </c>
      <c r="T20" s="1572" t="s">
        <v>8</v>
      </c>
      <c r="U20" s="1573">
        <f>H20</f>
        <v>100</v>
      </c>
      <c r="V20" s="1572" t="s">
        <v>8</v>
      </c>
      <c r="W20" s="1573">
        <f>J20</f>
        <v>100</v>
      </c>
      <c r="X20" s="1566"/>
      <c r="Y20" s="340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8"/>
      <c r="Q21" s="1571"/>
      <c r="R21" s="1572"/>
      <c r="S21" s="1573"/>
      <c r="T21" s="1572"/>
      <c r="U21" s="1573"/>
      <c r="V21" s="1572"/>
      <c r="W21" s="1573"/>
      <c r="X21" s="1566"/>
      <c r="Y21" s="3408"/>
      <c r="Z21" s="1574"/>
      <c r="AA21" s="1575">
        <v>1</v>
      </c>
      <c r="AB21" s="1575">
        <v>1</v>
      </c>
      <c r="AC21" s="1575">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8"/>
      <c r="Q22" s="1571" t="str">
        <f>B22</f>
        <v>楼层</v>
      </c>
      <c r="R22" s="1572" t="s">
        <v>8</v>
      </c>
      <c r="S22" s="1573">
        <f>F22</f>
        <v>100</v>
      </c>
      <c r="T22" s="1572" t="s">
        <v>8</v>
      </c>
      <c r="U22" s="1573">
        <f>H22</f>
        <v>100</v>
      </c>
      <c r="V22" s="1572" t="s">
        <v>8</v>
      </c>
      <c r="W22" s="1573">
        <f>J22</f>
        <v>100</v>
      </c>
      <c r="X22" s="1566"/>
      <c r="Y22" s="3408"/>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8"/>
      <c r="Q23" s="1571">
        <f>B23</f>
        <v>111</v>
      </c>
      <c r="R23" s="1572" t="s">
        <v>8</v>
      </c>
      <c r="S23" s="1573">
        <f>F23</f>
        <v>100</v>
      </c>
      <c r="T23" s="1572" t="s">
        <v>8</v>
      </c>
      <c r="U23" s="1573">
        <f>H23</f>
        <v>100</v>
      </c>
      <c r="V23" s="1572" t="s">
        <v>8</v>
      </c>
      <c r="W23" s="1573">
        <f>J23</f>
        <v>100</v>
      </c>
      <c r="X23" s="1566"/>
      <c r="Y23" s="3408"/>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8"/>
      <c r="Q24" s="1571">
        <f t="shared" ref="Q24:Q34" si="11">B24</f>
        <v>111</v>
      </c>
      <c r="R24" s="1572" t="s">
        <v>8</v>
      </c>
      <c r="S24" s="1573">
        <f>F24</f>
        <v>100</v>
      </c>
      <c r="T24" s="1572" t="s">
        <v>8</v>
      </c>
      <c r="U24" s="1573">
        <f>H24</f>
        <v>100</v>
      </c>
      <c r="V24" s="1572" t="s">
        <v>8</v>
      </c>
      <c r="W24" s="1573">
        <f>J24</f>
        <v>100</v>
      </c>
      <c r="X24" s="1566"/>
      <c r="Y24" s="3408"/>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8"/>
      <c r="Q25" s="1150">
        <f t="shared" si="11"/>
        <v>111</v>
      </c>
      <c r="R25" s="1567" t="s">
        <v>8</v>
      </c>
      <c r="S25" s="1568">
        <f>F25</f>
        <v>100</v>
      </c>
      <c r="T25" s="1567" t="s">
        <v>8</v>
      </c>
      <c r="U25" s="1568">
        <f>H25</f>
        <v>100</v>
      </c>
      <c r="V25" s="1567" t="s">
        <v>8</v>
      </c>
      <c r="W25" s="1568">
        <f>J25</f>
        <v>100</v>
      </c>
      <c r="X25" s="1569"/>
      <c r="Y25" s="3408"/>
      <c r="Z25" s="1149">
        <f>Q25</f>
        <v>111</v>
      </c>
      <c r="AA25" s="1575">
        <f>D25/F25</f>
        <v>1</v>
      </c>
      <c r="AB25" s="1575">
        <f>D25/H25</f>
        <v>1</v>
      </c>
      <c r="AC25" s="1575">
        <f>D25/J25</f>
        <v>1</v>
      </c>
    </row>
    <row r="26" spans="1:29" ht="15">
      <c r="A26" s="2907" t="s">
        <v>2717</v>
      </c>
      <c r="B26" s="172" t="s">
        <v>774</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9"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0" t="s">
        <v>787</v>
      </c>
      <c r="Z26" s="1574" t="str">
        <f t="shared" ref="Z26:Z34" si="15">Q26</f>
        <v>公共部分装修</v>
      </c>
      <c r="AA26" s="1575">
        <f t="shared" si="3"/>
        <v>1</v>
      </c>
      <c r="AB26" s="1575">
        <f t="shared" si="4"/>
        <v>1</v>
      </c>
      <c r="AC26" s="1575">
        <f t="shared" si="5"/>
        <v>1</v>
      </c>
    </row>
    <row r="27" spans="1:29" s="1338" customFormat="1" ht="15">
      <c r="A27" s="602"/>
      <c r="B27" s="527" t="s">
        <v>775</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0"/>
      <c r="Q27" s="1604" t="str">
        <f t="shared" si="11"/>
        <v>成新率</v>
      </c>
      <c r="R27" s="1576" t="s">
        <v>8</v>
      </c>
      <c r="S27" s="1577" t="e">
        <f t="shared" si="12"/>
        <v>#N/A</v>
      </c>
      <c r="T27" s="1576" t="s">
        <v>8</v>
      </c>
      <c r="U27" s="1577" t="e">
        <f t="shared" si="13"/>
        <v>#N/A</v>
      </c>
      <c r="V27" s="1576" t="s">
        <v>8</v>
      </c>
      <c r="W27" s="1577" t="e">
        <f t="shared" si="14"/>
        <v>#N/A</v>
      </c>
      <c r="X27" s="1578"/>
      <c r="Y27" s="3410"/>
      <c r="Z27" s="1579" t="str">
        <f t="shared" si="15"/>
        <v>成新率</v>
      </c>
      <c r="AA27" s="1575" t="e">
        <f t="shared" si="3"/>
        <v>#N/A</v>
      </c>
      <c r="AB27" s="1575" t="e">
        <f t="shared" si="4"/>
        <v>#N/A</v>
      </c>
      <c r="AC27" s="1575" t="e">
        <f t="shared" si="5"/>
        <v>#N/A</v>
      </c>
    </row>
    <row r="28" spans="1:29" ht="15">
      <c r="A28" s="593"/>
      <c r="B28" s="527" t="s">
        <v>776</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0"/>
      <c r="Q28" s="1571" t="str">
        <f t="shared" si="11"/>
        <v>物业等级</v>
      </c>
      <c r="R28" s="1572" t="s">
        <v>8</v>
      </c>
      <c r="S28" s="1573">
        <f t="shared" si="12"/>
        <v>100</v>
      </c>
      <c r="T28" s="1572" t="s">
        <v>8</v>
      </c>
      <c r="U28" s="1573">
        <f t="shared" si="13"/>
        <v>100</v>
      </c>
      <c r="V28" s="1572" t="s">
        <v>8</v>
      </c>
      <c r="W28" s="1573">
        <f t="shared" si="14"/>
        <v>100</v>
      </c>
      <c r="X28" s="1566"/>
      <c r="Y28" s="3410"/>
      <c r="Z28" s="1574" t="str">
        <f t="shared" si="15"/>
        <v>物业等级</v>
      </c>
      <c r="AA28" s="1575">
        <f t="shared" si="3"/>
        <v>1</v>
      </c>
      <c r="AB28" s="1575">
        <f t="shared" si="4"/>
        <v>1</v>
      </c>
      <c r="AC28" s="1575">
        <f t="shared" si="5"/>
        <v>1</v>
      </c>
    </row>
    <row r="29" spans="1:29" ht="15">
      <c r="A29" s="593"/>
      <c r="B29" s="527" t="s">
        <v>788</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0"/>
      <c r="Q29" s="1571" t="str">
        <f t="shared" si="11"/>
        <v>有无电梯</v>
      </c>
      <c r="R29" s="1572" t="s">
        <v>8</v>
      </c>
      <c r="S29" s="1573">
        <f t="shared" si="12"/>
        <v>100</v>
      </c>
      <c r="T29" s="1572" t="s">
        <v>8</v>
      </c>
      <c r="U29" s="1573">
        <f t="shared" si="13"/>
        <v>100</v>
      </c>
      <c r="V29" s="1572" t="s">
        <v>8</v>
      </c>
      <c r="W29" s="1573">
        <f t="shared" si="14"/>
        <v>100</v>
      </c>
      <c r="X29" s="1566"/>
      <c r="Y29" s="3410"/>
      <c r="Z29" s="1574" t="str">
        <f t="shared" si="15"/>
        <v>有无电梯</v>
      </c>
      <c r="AA29" s="1575">
        <f t="shared" si="3"/>
        <v>1</v>
      </c>
      <c r="AB29" s="1575">
        <f t="shared" si="4"/>
        <v>1</v>
      </c>
      <c r="AC29" s="1575">
        <f t="shared" si="5"/>
        <v>1</v>
      </c>
    </row>
    <row r="30" spans="1:29" ht="15">
      <c r="A30" s="593"/>
      <c r="B30" s="527"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0"/>
      <c r="Q30" s="1571" t="str">
        <f t="shared" si="11"/>
        <v>建筑面积</v>
      </c>
      <c r="R30" s="1572" t="s">
        <v>8</v>
      </c>
      <c r="S30" s="1573" t="e">
        <f t="shared" si="12"/>
        <v>#N/A</v>
      </c>
      <c r="T30" s="1572" t="s">
        <v>8</v>
      </c>
      <c r="U30" s="1573" t="e">
        <f t="shared" si="13"/>
        <v>#N/A</v>
      </c>
      <c r="V30" s="1572" t="s">
        <v>8</v>
      </c>
      <c r="W30" s="1573" t="e">
        <f t="shared" si="14"/>
        <v>#N/A</v>
      </c>
      <c r="X30" s="1566"/>
      <c r="Y30" s="3410"/>
      <c r="Z30" s="1574" t="str">
        <f t="shared" si="15"/>
        <v>建筑面积</v>
      </c>
      <c r="AA30" s="1575" t="e">
        <f t="shared" si="3"/>
        <v>#N/A</v>
      </c>
      <c r="AB30" s="1575" t="e">
        <f t="shared" si="4"/>
        <v>#N/A</v>
      </c>
      <c r="AC30" s="1575" t="e">
        <f t="shared" si="5"/>
        <v>#N/A</v>
      </c>
    </row>
    <row r="31" spans="1:29" s="1219" customFormat="1" ht="15">
      <c r="A31" s="599"/>
      <c r="B31" s="527" t="s">
        <v>790</v>
      </c>
      <c r="C31" s="931"/>
      <c r="D31" s="255">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0"/>
      <c r="Q31" s="1150" t="str">
        <f t="shared" si="11"/>
        <v>是否封闭</v>
      </c>
      <c r="R31" s="1567" t="s">
        <v>8</v>
      </c>
      <c r="S31" s="1568">
        <f t="shared" si="12"/>
        <v>100</v>
      </c>
      <c r="T31" s="1567" t="s">
        <v>8</v>
      </c>
      <c r="U31" s="1568">
        <f t="shared" si="13"/>
        <v>100</v>
      </c>
      <c r="V31" s="1567" t="s">
        <v>8</v>
      </c>
      <c r="W31" s="1568">
        <f t="shared" si="14"/>
        <v>100</v>
      </c>
      <c r="X31" s="1569"/>
      <c r="Y31" s="3410"/>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0" t="s">
        <v>516</v>
      </c>
      <c r="Q32" s="1571">
        <f t="shared" si="11"/>
        <v>111</v>
      </c>
      <c r="R32" s="1572" t="s">
        <v>8</v>
      </c>
      <c r="S32" s="1573">
        <f t="shared" si="12"/>
        <v>100</v>
      </c>
      <c r="T32" s="1572" t="s">
        <v>8</v>
      </c>
      <c r="U32" s="1573">
        <f t="shared" si="13"/>
        <v>100</v>
      </c>
      <c r="V32" s="1572" t="s">
        <v>8</v>
      </c>
      <c r="W32" s="1573">
        <f t="shared" si="14"/>
        <v>100</v>
      </c>
      <c r="X32" s="1566"/>
      <c r="Y32" s="3410" t="s">
        <v>516</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0"/>
      <c r="Q33" s="1571">
        <f t="shared" si="11"/>
        <v>111</v>
      </c>
      <c r="R33" s="1572" t="s">
        <v>8</v>
      </c>
      <c r="S33" s="1573">
        <f t="shared" si="12"/>
        <v>100</v>
      </c>
      <c r="T33" s="1572" t="s">
        <v>8</v>
      </c>
      <c r="U33" s="1573">
        <f t="shared" si="13"/>
        <v>100</v>
      </c>
      <c r="V33" s="1572" t="s">
        <v>8</v>
      </c>
      <c r="W33" s="1573">
        <f t="shared" si="14"/>
        <v>100</v>
      </c>
      <c r="X33" s="1566"/>
      <c r="Y33" s="3410"/>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0"/>
      <c r="Q34" s="1571">
        <f t="shared" si="11"/>
        <v>111</v>
      </c>
      <c r="R34" s="1572" t="s">
        <v>8</v>
      </c>
      <c r="S34" s="1573">
        <f t="shared" si="12"/>
        <v>100</v>
      </c>
      <c r="T34" s="1572" t="s">
        <v>8</v>
      </c>
      <c r="U34" s="1573">
        <f t="shared" si="13"/>
        <v>100</v>
      </c>
      <c r="V34" s="1572" t="s">
        <v>8</v>
      </c>
      <c r="W34" s="1573">
        <f t="shared" si="14"/>
        <v>100</v>
      </c>
      <c r="X34" s="1566"/>
      <c r="Y34" s="3410"/>
      <c r="Z34" s="1574">
        <f t="shared" si="15"/>
        <v>111</v>
      </c>
      <c r="AA34" s="1575">
        <f t="shared" si="3"/>
        <v>1</v>
      </c>
      <c r="AB34" s="1575">
        <f t="shared" si="4"/>
        <v>1</v>
      </c>
      <c r="AC34" s="1575">
        <f t="shared" si="5"/>
        <v>1</v>
      </c>
    </row>
    <row r="35" spans="1:29" ht="15">
      <c r="A35" s="606" t="s">
        <v>702</v>
      </c>
      <c r="B35" s="886"/>
      <c r="C35" s="2627" t="s">
        <v>1</v>
      </c>
      <c r="D35" s="2628"/>
      <c r="E35" s="2629"/>
      <c r="F35" s="2630"/>
      <c r="G35" s="2631"/>
      <c r="H35" s="2632"/>
      <c r="I35" s="2629"/>
      <c r="J35" s="2632"/>
      <c r="K35" s="1610"/>
      <c r="L35" s="2144"/>
      <c r="M35" s="2145"/>
      <c r="N35" s="2134"/>
      <c r="O35" s="2145"/>
      <c r="P35" s="3372" t="str">
        <f>A35</f>
        <v>成交单价（元/平方米）</v>
      </c>
      <c r="Q35" s="3372"/>
      <c r="R35" s="3487">
        <f>E35</f>
        <v>0</v>
      </c>
      <c r="S35" s="3487"/>
      <c r="T35" s="3487">
        <f>G35</f>
        <v>0</v>
      </c>
      <c r="U35" s="3487"/>
      <c r="V35" s="3487">
        <f>I35</f>
        <v>0</v>
      </c>
      <c r="W35" s="3487"/>
      <c r="X35" s="1558"/>
      <c r="Y35" s="1580"/>
      <c r="Z35" s="1558"/>
      <c r="AA35" s="1558"/>
      <c r="AB35" s="1558"/>
      <c r="AC35" s="1558"/>
    </row>
    <row r="36" spans="1:29" ht="15.75" thickBot="1">
      <c r="A36" s="614" t="s">
        <v>2722</v>
      </c>
      <c r="B36" s="887"/>
      <c r="C36" s="2633" t="e">
        <f>R37</f>
        <v>#DIV/0!</v>
      </c>
      <c r="D36" s="2634"/>
      <c r="E36" s="2635" t="e">
        <f>R36</f>
        <v>#DIV/0!</v>
      </c>
      <c r="F36" s="2635"/>
      <c r="G36" s="2633" t="e">
        <f>T36</f>
        <v>#DIV/0!</v>
      </c>
      <c r="H36" s="2634"/>
      <c r="I36" s="2635" t="e">
        <f>V36</f>
        <v>#DIV/0!</v>
      </c>
      <c r="J36" s="2634"/>
      <c r="K36" s="1611"/>
      <c r="L36" s="2144"/>
      <c r="M36" s="2145"/>
      <c r="N36" s="2134"/>
      <c r="O36" s="2145"/>
      <c r="P36" s="3372" t="str">
        <f>A36</f>
        <v>比较价格（元/平方米）</v>
      </c>
      <c r="Q36" s="3372"/>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8"/>
      <c r="Y36" s="1558"/>
      <c r="Z36" s="1558"/>
      <c r="AA36" s="1558"/>
      <c r="AB36" s="1558"/>
      <c r="AC36" s="1558"/>
    </row>
    <row r="37" spans="1:29" ht="15.75" thickBot="1">
      <c r="A37" s="620" t="s">
        <v>2892</v>
      </c>
      <c r="B37" s="621"/>
      <c r="C37" s="2636" t="e">
        <f>R37</f>
        <v>#DIV/0!</v>
      </c>
      <c r="D37" s="2636"/>
      <c r="E37" s="2636"/>
      <c r="F37" s="2636"/>
      <c r="G37" s="2636"/>
      <c r="H37" s="2636"/>
      <c r="I37" s="2636"/>
      <c r="J37" s="2636"/>
      <c r="K37" s="1612"/>
      <c r="L37" s="2144"/>
      <c r="M37" s="2145"/>
      <c r="N37" s="2145"/>
      <c r="O37" s="2145"/>
      <c r="P37" s="3369" t="str">
        <f>A37</f>
        <v>估价对象XX用房的比较价格（楼面单价，元/平方米）</v>
      </c>
      <c r="Q37" s="3370"/>
      <c r="R37" s="3486" t="e">
        <f>IF(F1="售价",ROUND(AVERAGE(R36:V36),0),ROUND(AVERAGE(R36:V36),1))</f>
        <v>#DIV/0!</v>
      </c>
      <c r="S37" s="3486"/>
      <c r="T37" s="3486"/>
      <c r="U37" s="3486"/>
      <c r="V37" s="3486"/>
      <c r="W37" s="348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540</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495</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541</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497</v>
      </c>
      <c r="B49" s="647"/>
      <c r="C49" s="659" t="s">
        <v>542</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543</v>
      </c>
      <c r="B51" s="664" t="s">
        <v>500</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503</v>
      </c>
      <c r="C53" s="673" t="s">
        <v>703</v>
      </c>
      <c r="D53" s="673" t="s">
        <v>704</v>
      </c>
      <c r="E53" s="673" t="s">
        <v>705</v>
      </c>
      <c r="F53" s="673" t="s">
        <v>706</v>
      </c>
      <c r="G53" s="673" t="s">
        <v>707</v>
      </c>
      <c r="H53" s="673" t="s">
        <v>708</v>
      </c>
      <c r="I53" s="673" t="s">
        <v>709</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2520</v>
      </c>
      <c r="C63" s="707" t="s">
        <v>545</v>
      </c>
      <c r="D63" s="707" t="s">
        <v>546</v>
      </c>
      <c r="E63" s="707" t="s">
        <v>547</v>
      </c>
      <c r="F63" s="707" t="s">
        <v>548</v>
      </c>
      <c r="G63" s="707" t="s">
        <v>549</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2521</v>
      </c>
      <c r="C65" s="2598" t="s">
        <v>2522</v>
      </c>
      <c r="D65" s="2598" t="s">
        <v>2523</v>
      </c>
      <c r="E65" s="2598" t="s">
        <v>2524</v>
      </c>
      <c r="F65" s="2598" t="s">
        <v>2525</v>
      </c>
      <c r="G65" s="2598" t="s">
        <v>2526</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710</v>
      </c>
      <c r="C67" s="707" t="s">
        <v>545</v>
      </c>
      <c r="D67" s="707" t="s">
        <v>546</v>
      </c>
      <c r="E67" s="707" t="s">
        <v>547</v>
      </c>
      <c r="F67" s="707" t="s">
        <v>548</v>
      </c>
      <c r="G67" s="707" t="s">
        <v>549</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517</v>
      </c>
      <c r="B77" s="664" t="s">
        <v>717</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783</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791</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793</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2266</v>
      </c>
      <c r="C1" s="3497" t="s">
        <v>2267</v>
      </c>
      <c r="D1" s="3498"/>
      <c r="E1" s="3498"/>
      <c r="F1" s="3498"/>
      <c r="G1" s="3498"/>
      <c r="H1" s="3498"/>
      <c r="I1" s="3498"/>
      <c r="J1" s="3498"/>
      <c r="K1" s="3498"/>
      <c r="L1" s="3498"/>
      <c r="M1" s="3498"/>
      <c r="N1" s="3498"/>
      <c r="O1" s="3498"/>
      <c r="P1" s="3498"/>
      <c r="Q1" s="3498"/>
      <c r="R1" s="3498"/>
      <c r="S1" s="3499"/>
      <c r="T1" s="2234" t="s">
        <v>2268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2885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2884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2883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2898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2882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2881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2270</v>
      </c>
      <c r="B17" s="2278" t="s">
        <v>2271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794</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795</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796</v>
      </c>
      <c r="B22" s="53">
        <f>SUM(B24:B10000)</f>
        <v>0</v>
      </c>
      <c r="C22" s="3494" t="s">
        <v>19</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1" t="s">
        <v>800</v>
      </c>
      <c r="S23" s="17" t="s">
        <v>801</v>
      </c>
      <c r="T23" s="18"/>
      <c r="U23" s="18"/>
      <c r="V23" s="18"/>
      <c r="W23" s="18"/>
      <c r="X23" s="18"/>
      <c r="Y23" s="18"/>
      <c r="Z23" s="18"/>
      <c r="AA23" s="18"/>
      <c r="AB23" s="18"/>
      <c r="AC23" s="18"/>
      <c r="AD23" s="18"/>
      <c r="AE23" s="18"/>
      <c r="AF23" s="18"/>
      <c r="AG23" s="18"/>
      <c r="AH23" s="18"/>
      <c r="AI23" s="18"/>
    </row>
    <row r="24" spans="1:45" s="1614"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93.75">
      <c r="A7" s="2873" t="s">
        <v>2710</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2034</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2037</v>
      </c>
    </row>
    <row r="23" spans="1:1" ht="18.75">
      <c r="A23" s="2875" t="s">
        <v>2711</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2750</v>
      </c>
      <c r="C1" s="3004">
        <f>项目基本情况!D3</f>
        <v>43360</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2781</v>
      </c>
      <c r="C2" s="3005">
        <f>'数据-取费表'!B22</f>
        <v>3</v>
      </c>
      <c r="D2" s="3000" t="s">
        <v>2751</v>
      </c>
      <c r="E2" s="3003">
        <f ca="1">INDIRECT("I"&amp;$I$1)/100</f>
        <v>4.7500000000000001E-2</v>
      </c>
      <c r="G2" s="2940"/>
      <c r="H2" s="2940"/>
      <c r="I2" s="2940" t="s">
        <v>2752</v>
      </c>
      <c r="K2" s="2940"/>
      <c r="L2" s="2940"/>
      <c r="M2" s="2940"/>
      <c r="N2" s="2940" t="s">
        <v>2753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2783</v>
      </c>
      <c r="C3" s="3002">
        <f>'数据-取费表'!B19</f>
        <v>0</v>
      </c>
      <c r="D3" s="3000" t="s">
        <v>2751</v>
      </c>
      <c r="E3" s="3003">
        <f ca="1">INDIRECT("J"&amp;$J$1)/100</f>
        <v>0</v>
      </c>
      <c r="G3" s="2942" t="s">
        <v>2754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2782</v>
      </c>
      <c r="C4" s="3003">
        <f ca="1">N4/100</f>
        <v>1.4999999999999999E-2</v>
      </c>
      <c r="G4" s="2948" t="s">
        <v>2755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2760</v>
      </c>
      <c r="C10" s="2967"/>
      <c r="D10" s="2967"/>
      <c r="E10" s="2967"/>
      <c r="F10" s="2967"/>
      <c r="G10" s="2967"/>
      <c r="H10" s="2967"/>
      <c r="I10" s="2941"/>
      <c r="J10" s="2941"/>
      <c r="K10" s="2967"/>
      <c r="L10" s="2968" t="s">
        <v>2761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2762</v>
      </c>
      <c r="C11" s="2972" t="s">
        <v>2763</v>
      </c>
      <c r="D11" s="2973" t="s">
        <v>2764</v>
      </c>
      <c r="E11" s="2974"/>
      <c r="F11" s="2973" t="s">
        <v>2765</v>
      </c>
      <c r="G11" s="2975"/>
      <c r="H11" s="2974"/>
      <c r="I11" s="2973" t="s">
        <v>2766</v>
      </c>
      <c r="J11" s="2974"/>
      <c r="K11" s="2970"/>
      <c r="L11" s="2971" t="s">
        <v>2762</v>
      </c>
      <c r="M11" s="2972" t="s">
        <v>2763</v>
      </c>
      <c r="N11" s="2971" t="s">
        <v>2767</v>
      </c>
      <c r="O11" s="2973" t="s">
        <v>2768</v>
      </c>
      <c r="P11" s="2975"/>
      <c r="Q11" s="2975"/>
      <c r="R11" s="2975"/>
      <c r="S11" s="2975"/>
      <c r="T11" s="2974"/>
      <c r="U11" s="2973" t="s">
        <v>2769</v>
      </c>
      <c r="V11" s="2975"/>
      <c r="W11" s="2974"/>
      <c r="X11" s="2971" t="s">
        <v>2770</v>
      </c>
      <c r="Y11" s="2971" t="s">
        <v>2771</v>
      </c>
      <c r="Z11" s="2971" t="s">
        <v>2772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2773</v>
      </c>
      <c r="E12" s="2980" t="s">
        <v>2774</v>
      </c>
      <c r="F12" s="2980" t="s">
        <v>2775</v>
      </c>
      <c r="G12" s="2980" t="s">
        <v>2776</v>
      </c>
      <c r="H12" s="2980" t="s">
        <v>2758</v>
      </c>
      <c r="I12" s="2981" t="s">
        <v>2777</v>
      </c>
      <c r="J12" s="2981" t="s">
        <v>2777</v>
      </c>
      <c r="K12" s="2977"/>
      <c r="L12" s="2978"/>
      <c r="M12" s="2979"/>
      <c r="N12" s="2978"/>
      <c r="O12" s="2981" t="s">
        <v>2778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2779</v>
      </c>
      <c r="C13" s="2985">
        <v>42301</v>
      </c>
      <c r="D13" s="2986">
        <v>4.3499999999999996</v>
      </c>
      <c r="E13" s="2986">
        <v>4.3499999999999996</v>
      </c>
      <c r="F13" s="2986">
        <v>4.75</v>
      </c>
      <c r="G13" s="2986">
        <v>4.75</v>
      </c>
      <c r="H13" s="2986">
        <v>4.9000000000000004</v>
      </c>
      <c r="I13" s="2986">
        <v>2.75</v>
      </c>
      <c r="J13" s="2986">
        <v>3.25</v>
      </c>
      <c r="K13" s="2983"/>
      <c r="L13" s="2984" t="s">
        <v>2779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2780</v>
      </c>
      <c r="Y42" s="2990" t="s">
        <v>2780</v>
      </c>
      <c r="Z42" s="2990" t="s">
        <v>2780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2780</v>
      </c>
      <c r="Y43" s="2990" t="s">
        <v>2780</v>
      </c>
      <c r="Z43" s="2990" t="s">
        <v>2780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2780</v>
      </c>
      <c r="Y44" s="2990" t="s">
        <v>2780</v>
      </c>
      <c r="Z44" s="2990" t="s">
        <v>2780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2780</v>
      </c>
      <c r="Y45" s="2990" t="s">
        <v>2780</v>
      </c>
      <c r="Z45" s="2990" t="s">
        <v>2780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2780</v>
      </c>
      <c r="Y46" s="2990" t="s">
        <v>2780</v>
      </c>
      <c r="Z46" s="2990" t="s">
        <v>2780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2780</v>
      </c>
      <c r="Y47" s="2990" t="s">
        <v>2780</v>
      </c>
      <c r="Z47" s="2990" t="s">
        <v>2780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2780</v>
      </c>
      <c r="Y48" s="2990" t="s">
        <v>2780</v>
      </c>
      <c r="Z48" s="2990" t="s">
        <v>2780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2780</v>
      </c>
      <c r="Y49" s="2990" t="s">
        <v>2780</v>
      </c>
      <c r="Z49" s="2990" t="s">
        <v>2780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2780</v>
      </c>
      <c r="Y50" s="2990" t="s">
        <v>2780</v>
      </c>
      <c r="Z50" s="2990" t="s">
        <v>2780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2780</v>
      </c>
      <c r="V51" s="2990" t="s">
        <v>2780</v>
      </c>
      <c r="W51" s="2990" t="s">
        <v>2780</v>
      </c>
      <c r="X51" s="2990" t="s">
        <v>2780</v>
      </c>
      <c r="Y51" s="2990" t="s">
        <v>2780</v>
      </c>
      <c r="Z51" s="2990" t="s">
        <v>2780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2780</v>
      </c>
      <c r="J55" s="2990" t="s">
        <v>2780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R33" sqref="R33"/>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2"/>
  <sheetViews>
    <sheetView workbookViewId="0">
      <selection activeCell="K8" sqref="K8"/>
    </sheetView>
  </sheetViews>
  <sheetFormatPr defaultRowHeight="13.5"/>
  <cols>
    <col min="2" max="2" width="12" customWidth="1"/>
    <col min="4" max="4" width="16" customWidth="1"/>
    <col min="6" max="6" width="16.625" customWidth="1"/>
    <col min="7" max="7" width="20.875" customWidth="1"/>
    <col min="8" max="8" width="13.75" customWidth="1"/>
    <col min="9" max="9" width="13.875" customWidth="1"/>
    <col min="10" max="10" width="17" customWidth="1"/>
  </cols>
  <sheetData>
    <row r="2" spans="2:10">
      <c r="B2" s="2939" t="s">
        <v>3049</v>
      </c>
      <c r="C2" s="2939" t="s">
        <v>3050</v>
      </c>
      <c r="D2" s="2939" t="s">
        <v>3051</v>
      </c>
      <c r="E2" s="2939" t="s">
        <v>3052</v>
      </c>
      <c r="F2" s="2939" t="s">
        <v>3053</v>
      </c>
      <c r="G2" s="2939" t="s">
        <v>1995</v>
      </c>
      <c r="H2" s="2939" t="s">
        <v>3054</v>
      </c>
      <c r="I2" s="2939" t="s">
        <v>3055</v>
      </c>
      <c r="J2" s="2939" t="s">
        <v>3056</v>
      </c>
    </row>
    <row r="3" spans="2:10">
      <c r="B3" s="2939" t="s">
        <v>3057</v>
      </c>
      <c r="C3" s="2939" t="s">
        <v>2951</v>
      </c>
      <c r="D3" s="2939" t="s">
        <v>3058</v>
      </c>
      <c r="E3" s="2939" t="s">
        <v>3059</v>
      </c>
      <c r="F3" s="2939">
        <v>35725.4</v>
      </c>
      <c r="G3" s="2939" t="s">
        <v>3060</v>
      </c>
      <c r="H3" s="2939" t="s">
        <v>3061</v>
      </c>
      <c r="I3" s="2939">
        <v>747.33</v>
      </c>
      <c r="J3" s="2939">
        <v>6555.56</v>
      </c>
    </row>
    <row r="4" spans="2:10">
      <c r="B4" s="2939" t="s">
        <v>3062</v>
      </c>
      <c r="C4" s="2939" t="s">
        <v>2951</v>
      </c>
      <c r="D4" s="2939" t="s">
        <v>3058</v>
      </c>
      <c r="E4" s="2939" t="s">
        <v>3063</v>
      </c>
      <c r="F4" s="2939">
        <v>68499.88</v>
      </c>
      <c r="G4" s="2939" t="s">
        <v>3064</v>
      </c>
      <c r="H4" s="2939" t="s">
        <v>3061</v>
      </c>
      <c r="I4" s="2939">
        <v>462.67</v>
      </c>
      <c r="J4" s="2939">
        <v>3487.44</v>
      </c>
    </row>
    <row r="5" spans="2:10">
      <c r="B5" s="3200" t="s">
        <v>3065</v>
      </c>
      <c r="C5" s="3200" t="s">
        <v>2951</v>
      </c>
      <c r="D5" s="3200" t="s">
        <v>3066</v>
      </c>
      <c r="E5" s="3200" t="s">
        <v>3067</v>
      </c>
      <c r="F5" s="3200">
        <v>71445</v>
      </c>
      <c r="G5" s="3200" t="s">
        <v>3068</v>
      </c>
      <c r="H5" s="3200" t="s">
        <v>3069</v>
      </c>
      <c r="I5" s="3200">
        <v>533.33000000000004</v>
      </c>
      <c r="J5" s="3200">
        <v>4705.88</v>
      </c>
    </row>
    <row r="6" spans="2:10">
      <c r="B6" s="2939" t="s">
        <v>3070</v>
      </c>
      <c r="C6" s="2939" t="s">
        <v>2951</v>
      </c>
      <c r="D6" s="2939" t="s">
        <v>3058</v>
      </c>
      <c r="E6" s="2939" t="s">
        <v>3059</v>
      </c>
      <c r="F6" s="2939">
        <v>44195.14</v>
      </c>
      <c r="G6" s="2939" t="s">
        <v>3071</v>
      </c>
      <c r="H6" s="2939" t="s">
        <v>3072</v>
      </c>
      <c r="I6" s="2939">
        <v>510</v>
      </c>
      <c r="J6" s="2939">
        <v>6499.56</v>
      </c>
    </row>
    <row r="7" spans="2:10">
      <c r="B7" s="2939" t="s">
        <v>3073</v>
      </c>
      <c r="C7" s="2939" t="s">
        <v>2951</v>
      </c>
      <c r="D7" s="2939" t="s">
        <v>3058</v>
      </c>
      <c r="E7" s="2939" t="s">
        <v>3074</v>
      </c>
      <c r="F7" s="2939">
        <v>47404.92</v>
      </c>
      <c r="G7" s="2939" t="s">
        <v>3075</v>
      </c>
      <c r="H7" s="2939" t="s">
        <v>3076</v>
      </c>
      <c r="I7" s="2939">
        <v>370</v>
      </c>
      <c r="J7" s="2939">
        <v>3468.75</v>
      </c>
    </row>
    <row r="8" spans="2:10">
      <c r="B8" s="2939" t="s">
        <v>3077</v>
      </c>
      <c r="C8" s="2939" t="s">
        <v>2951</v>
      </c>
      <c r="D8" s="2939" t="s">
        <v>3058</v>
      </c>
      <c r="E8" s="2939" t="s">
        <v>3074</v>
      </c>
      <c r="F8" s="2939">
        <v>34689.43</v>
      </c>
      <c r="G8" s="2939" t="s">
        <v>3078</v>
      </c>
      <c r="H8" s="2939" t="s">
        <v>3079</v>
      </c>
      <c r="I8" s="2939">
        <v>442.67</v>
      </c>
      <c r="J8" s="2939">
        <v>3688.88</v>
      </c>
    </row>
    <row r="9" spans="2:10">
      <c r="B9" s="3200" t="s">
        <v>3080</v>
      </c>
      <c r="C9" s="3200" t="s">
        <v>2951</v>
      </c>
      <c r="D9" s="3200" t="s">
        <v>3066</v>
      </c>
      <c r="E9" s="3200" t="s">
        <v>3074</v>
      </c>
      <c r="F9" s="3200">
        <v>58031.38</v>
      </c>
      <c r="G9" s="3200" t="s">
        <v>3081</v>
      </c>
      <c r="H9" s="3200" t="s">
        <v>3082</v>
      </c>
      <c r="I9" s="3200">
        <v>350</v>
      </c>
      <c r="J9" s="3200">
        <v>3750</v>
      </c>
    </row>
    <row r="10" spans="2:10">
      <c r="B10" s="2939" t="s">
        <v>3083</v>
      </c>
      <c r="C10" s="2939" t="s">
        <v>2951</v>
      </c>
      <c r="D10" s="2939" t="s">
        <v>3058</v>
      </c>
      <c r="E10" s="2939" t="s">
        <v>3063</v>
      </c>
      <c r="F10" s="2939">
        <v>117037.6</v>
      </c>
      <c r="G10" s="2939" t="s">
        <v>3084</v>
      </c>
      <c r="H10" s="2939" t="s">
        <v>3085</v>
      </c>
      <c r="I10" s="2939">
        <v>454</v>
      </c>
      <c r="J10" s="2939">
        <v>4258.8999999999996</v>
      </c>
    </row>
    <row r="11" spans="2:10">
      <c r="B11" s="2939" t="s">
        <v>3086</v>
      </c>
      <c r="C11" s="2939" t="s">
        <v>2951</v>
      </c>
      <c r="D11" s="2939" t="s">
        <v>3058</v>
      </c>
      <c r="E11" s="2939" t="s">
        <v>3063</v>
      </c>
      <c r="F11" s="2939">
        <v>52042.080000000002</v>
      </c>
      <c r="G11" s="2939" t="s">
        <v>3087</v>
      </c>
      <c r="H11" s="2939" t="s">
        <v>3085</v>
      </c>
      <c r="I11" s="2939">
        <v>278</v>
      </c>
      <c r="J11" s="2939">
        <v>2645.94</v>
      </c>
    </row>
    <row r="12" spans="2:10">
      <c r="B12" s="2939" t="s">
        <v>3088</v>
      </c>
      <c r="C12" s="2939" t="s">
        <v>2951</v>
      </c>
      <c r="D12" s="2939" t="s">
        <v>3058</v>
      </c>
      <c r="E12" s="2939" t="s">
        <v>3067</v>
      </c>
      <c r="F12" s="2939">
        <v>28716</v>
      </c>
      <c r="G12" s="2939" t="s">
        <v>3089</v>
      </c>
      <c r="H12" s="2939" t="s">
        <v>3090</v>
      </c>
      <c r="I12" s="2939">
        <v>860</v>
      </c>
      <c r="J12" s="2939">
        <v>7166.67</v>
      </c>
    </row>
    <row r="13" spans="2:10">
      <c r="B13" s="2939" t="s">
        <v>3091</v>
      </c>
      <c r="C13" s="2939" t="s">
        <v>2951</v>
      </c>
      <c r="D13" s="2939" t="s">
        <v>3058</v>
      </c>
      <c r="E13" s="2939" t="s">
        <v>3067</v>
      </c>
      <c r="F13" s="2939">
        <v>15287</v>
      </c>
      <c r="G13" s="2939" t="s">
        <v>3092</v>
      </c>
      <c r="H13" s="2939" t="s">
        <v>3090</v>
      </c>
      <c r="I13" s="2939">
        <v>20</v>
      </c>
      <c r="J13" s="2939">
        <v>176.46</v>
      </c>
    </row>
    <row r="14" spans="2:10">
      <c r="B14" s="2939" t="s">
        <v>3093</v>
      </c>
      <c r="C14" s="2939" t="s">
        <v>2951</v>
      </c>
      <c r="D14" s="2939" t="s">
        <v>3058</v>
      </c>
      <c r="E14" s="2939" t="s">
        <v>3059</v>
      </c>
      <c r="F14" s="2939">
        <v>25595.53</v>
      </c>
      <c r="G14" s="2939" t="s">
        <v>3094</v>
      </c>
      <c r="H14" s="2939" t="s">
        <v>3095</v>
      </c>
      <c r="I14" s="2939">
        <v>3096.67</v>
      </c>
      <c r="J14" s="2939">
        <v>19435.13</v>
      </c>
    </row>
    <row r="15" spans="2:10">
      <c r="B15" s="2939" t="s">
        <v>3096</v>
      </c>
      <c r="C15" s="2939" t="s">
        <v>2951</v>
      </c>
      <c r="D15" s="2939" t="s">
        <v>3058</v>
      </c>
      <c r="E15" s="2939" t="s">
        <v>3063</v>
      </c>
      <c r="F15" s="2939">
        <v>58331.02</v>
      </c>
      <c r="G15" s="2939" t="s">
        <v>3097</v>
      </c>
      <c r="H15" s="2939" t="s">
        <v>3098</v>
      </c>
      <c r="I15" s="2939">
        <v>1243.33</v>
      </c>
      <c r="J15" s="2939">
        <v>9764.39</v>
      </c>
    </row>
    <row r="16" spans="2:10">
      <c r="B16" s="2939" t="s">
        <v>3099</v>
      </c>
      <c r="C16" s="2939" t="s">
        <v>2951</v>
      </c>
      <c r="D16" s="2939" t="s">
        <v>3058</v>
      </c>
      <c r="E16" s="2939" t="s">
        <v>3074</v>
      </c>
      <c r="F16" s="2939">
        <v>29883.17</v>
      </c>
      <c r="G16" s="2939" t="s">
        <v>3078</v>
      </c>
      <c r="H16" s="2939" t="s">
        <v>3098</v>
      </c>
      <c r="I16" s="2939">
        <v>402</v>
      </c>
      <c r="J16" s="2939">
        <v>3350</v>
      </c>
    </row>
    <row r="17" spans="2:10">
      <c r="B17" s="2939" t="s">
        <v>3100</v>
      </c>
      <c r="C17" s="2939" t="s">
        <v>2951</v>
      </c>
      <c r="D17" s="2939" t="s">
        <v>3058</v>
      </c>
      <c r="E17" s="2939" t="s">
        <v>3067</v>
      </c>
      <c r="F17" s="2939">
        <v>60798</v>
      </c>
      <c r="G17" s="2939" t="s">
        <v>3101</v>
      </c>
      <c r="H17" s="2939" t="s">
        <v>3102</v>
      </c>
      <c r="I17" s="2939">
        <v>622.66999999999996</v>
      </c>
      <c r="J17" s="2939">
        <v>4670</v>
      </c>
    </row>
    <row r="18" spans="2:10">
      <c r="B18" s="2939" t="s">
        <v>3103</v>
      </c>
      <c r="C18" s="2939" t="s">
        <v>2951</v>
      </c>
      <c r="D18" s="2939" t="s">
        <v>3058</v>
      </c>
      <c r="E18" s="2939" t="s">
        <v>3067</v>
      </c>
      <c r="F18" s="2939">
        <v>77953</v>
      </c>
      <c r="G18" s="2939" t="s">
        <v>3104</v>
      </c>
      <c r="H18" s="2939" t="s">
        <v>3105</v>
      </c>
      <c r="I18" s="2939">
        <v>557.33000000000004</v>
      </c>
      <c r="J18" s="2939">
        <v>6430.77</v>
      </c>
    </row>
    <row r="19" spans="2:10">
      <c r="B19" s="2939" t="s">
        <v>3106</v>
      </c>
      <c r="C19" s="2939" t="s">
        <v>2951</v>
      </c>
      <c r="D19" s="2939" t="s">
        <v>3066</v>
      </c>
      <c r="E19" s="2939" t="s">
        <v>3067</v>
      </c>
      <c r="F19" s="2939">
        <v>15436</v>
      </c>
      <c r="G19" s="2939" t="s">
        <v>3107</v>
      </c>
      <c r="H19" s="2939" t="s">
        <v>3108</v>
      </c>
      <c r="I19" s="2939">
        <v>93</v>
      </c>
      <c r="J19" s="2939">
        <v>1162.5</v>
      </c>
    </row>
    <row r="20" spans="2:10">
      <c r="B20" s="2939" t="s">
        <v>3109</v>
      </c>
      <c r="C20" s="2939" t="s">
        <v>2951</v>
      </c>
      <c r="D20" s="2939" t="s">
        <v>3058</v>
      </c>
      <c r="E20" s="2939" t="s">
        <v>3067</v>
      </c>
      <c r="F20" s="2939">
        <v>149668</v>
      </c>
      <c r="G20" s="2939" t="s">
        <v>3110</v>
      </c>
      <c r="H20" s="2939" t="s">
        <v>3111</v>
      </c>
      <c r="I20" s="2939">
        <v>752.67</v>
      </c>
      <c r="J20" s="2939">
        <v>7056.25</v>
      </c>
    </row>
    <row r="21" spans="2:10">
      <c r="B21" s="2939" t="s">
        <v>3112</v>
      </c>
      <c r="C21" s="2939" t="s">
        <v>2951</v>
      </c>
      <c r="D21" s="2939" t="s">
        <v>3058</v>
      </c>
      <c r="E21" s="2939" t="s">
        <v>3067</v>
      </c>
      <c r="F21" s="2939">
        <v>33299</v>
      </c>
      <c r="G21" s="2939" t="s">
        <v>3113</v>
      </c>
      <c r="H21" s="2939" t="s">
        <v>3114</v>
      </c>
      <c r="I21" s="2939">
        <v>1060</v>
      </c>
      <c r="J21" s="2939">
        <v>7227.27</v>
      </c>
    </row>
    <row r="22" spans="2:10">
      <c r="B22" s="2939" t="s">
        <v>3115</v>
      </c>
      <c r="C22" s="2939" t="s">
        <v>2951</v>
      </c>
      <c r="D22" s="2939" t="s">
        <v>3058</v>
      </c>
      <c r="E22" s="2939" t="s">
        <v>3067</v>
      </c>
      <c r="F22" s="2939">
        <v>36927</v>
      </c>
      <c r="G22" s="2939" t="s">
        <v>3107</v>
      </c>
      <c r="H22" s="2939" t="s">
        <v>3116</v>
      </c>
      <c r="I22" s="2939">
        <v>160.66999999999999</v>
      </c>
      <c r="J22" s="2939">
        <v>2008.32</v>
      </c>
    </row>
    <row r="23" spans="2:10">
      <c r="B23" s="2939" t="s">
        <v>3117</v>
      </c>
      <c r="C23" s="2939" t="s">
        <v>2951</v>
      </c>
      <c r="D23" s="2939" t="s">
        <v>3058</v>
      </c>
      <c r="E23" s="2939" t="s">
        <v>3063</v>
      </c>
      <c r="F23" s="2939">
        <v>56499.59</v>
      </c>
      <c r="G23" s="2939" t="s">
        <v>3118</v>
      </c>
      <c r="H23" s="2939" t="s">
        <v>3119</v>
      </c>
      <c r="I23" s="2939">
        <v>1002.67</v>
      </c>
      <c r="J23" s="2939">
        <v>10835.72</v>
      </c>
    </row>
    <row r="24" spans="2:10">
      <c r="B24" s="2939" t="s">
        <v>3120</v>
      </c>
      <c r="C24" s="2939" t="s">
        <v>2951</v>
      </c>
      <c r="D24" s="2939" t="s">
        <v>3058</v>
      </c>
      <c r="E24" s="2939" t="s">
        <v>3067</v>
      </c>
      <c r="F24" s="2939">
        <v>63679</v>
      </c>
      <c r="G24" s="2939" t="s">
        <v>3089</v>
      </c>
      <c r="H24" s="2939" t="s">
        <v>3119</v>
      </c>
      <c r="I24" s="2939">
        <v>641.33000000000004</v>
      </c>
      <c r="J24" s="2939">
        <v>5344.43</v>
      </c>
    </row>
    <row r="25" spans="2:10">
      <c r="B25" s="2939" t="s">
        <v>3121</v>
      </c>
      <c r="C25" s="2939" t="s">
        <v>2951</v>
      </c>
      <c r="D25" s="2939" t="s">
        <v>3058</v>
      </c>
      <c r="E25" s="2939" t="s">
        <v>3059</v>
      </c>
      <c r="F25" s="2939">
        <v>115121.8</v>
      </c>
      <c r="G25" s="2939" t="s">
        <v>3122</v>
      </c>
      <c r="H25" s="2939" t="s">
        <v>3123</v>
      </c>
      <c r="I25" s="2939">
        <v>519.33000000000004</v>
      </c>
      <c r="J25" s="2939">
        <v>5256.4</v>
      </c>
    </row>
    <row r="26" spans="2:10">
      <c r="B26" s="2939" t="s">
        <v>3124</v>
      </c>
      <c r="C26" s="2939" t="s">
        <v>2951</v>
      </c>
      <c r="D26" s="2939" t="s">
        <v>3058</v>
      </c>
      <c r="E26" s="2939" t="s">
        <v>3059</v>
      </c>
      <c r="F26" s="2939">
        <v>62644.28</v>
      </c>
      <c r="G26" s="2939" t="s">
        <v>3125</v>
      </c>
      <c r="H26" s="2939" t="s">
        <v>3123</v>
      </c>
      <c r="I26" s="2939">
        <v>761.33</v>
      </c>
      <c r="J26" s="2939">
        <v>6797.61</v>
      </c>
    </row>
    <row r="27" spans="2:10">
      <c r="B27" s="2939" t="s">
        <v>3126</v>
      </c>
      <c r="C27" s="2939" t="s">
        <v>2951</v>
      </c>
      <c r="D27" s="2939" t="s">
        <v>3058</v>
      </c>
      <c r="E27" s="2939" t="s">
        <v>3059</v>
      </c>
      <c r="F27" s="2939">
        <v>100613.1</v>
      </c>
      <c r="G27" s="2939" t="s">
        <v>3127</v>
      </c>
      <c r="H27" s="2939" t="s">
        <v>3128</v>
      </c>
      <c r="I27" s="2939">
        <v>2069.31</v>
      </c>
      <c r="J27" s="2939">
        <v>14070.57</v>
      </c>
    </row>
    <row r="28" spans="2:10">
      <c r="B28" s="2939" t="s">
        <v>3129</v>
      </c>
      <c r="C28" s="2939" t="s">
        <v>2951</v>
      </c>
      <c r="D28" s="2939" t="s">
        <v>3058</v>
      </c>
      <c r="E28" s="2939" t="s">
        <v>3074</v>
      </c>
      <c r="F28" s="2939">
        <v>189968.3</v>
      </c>
      <c r="G28" s="2939" t="s">
        <v>3130</v>
      </c>
      <c r="H28" s="2939" t="s">
        <v>3131</v>
      </c>
      <c r="I28" s="2939">
        <v>965.33</v>
      </c>
      <c r="J28" s="2939">
        <v>6895.23</v>
      </c>
    </row>
    <row r="29" spans="2:10">
      <c r="B29" s="2939" t="s">
        <v>3132</v>
      </c>
      <c r="C29" s="2939" t="s">
        <v>2951</v>
      </c>
      <c r="D29" s="2939" t="s">
        <v>3058</v>
      </c>
      <c r="E29" s="2939" t="s">
        <v>3059</v>
      </c>
      <c r="F29" s="2939">
        <v>44960.45</v>
      </c>
      <c r="G29" s="2939" t="s">
        <v>3133</v>
      </c>
      <c r="H29" s="2939" t="s">
        <v>3134</v>
      </c>
      <c r="I29" s="2939">
        <v>1924.67</v>
      </c>
      <c r="J29" s="2939">
        <v>14782.37</v>
      </c>
    </row>
    <row r="30" spans="2:10">
      <c r="B30" s="2939" t="s">
        <v>3135</v>
      </c>
      <c r="C30" s="2939" t="s">
        <v>2951</v>
      </c>
      <c r="D30" s="2939" t="s">
        <v>3058</v>
      </c>
      <c r="E30" s="2939" t="s">
        <v>3059</v>
      </c>
      <c r="F30" s="2939">
        <v>20767.98</v>
      </c>
      <c r="G30" s="2939" t="s">
        <v>3136</v>
      </c>
      <c r="H30" s="2939" t="s">
        <v>3137</v>
      </c>
      <c r="I30" s="2939">
        <v>1514</v>
      </c>
      <c r="J30" s="2939">
        <v>11366.37</v>
      </c>
    </row>
    <row r="31" spans="2:10">
      <c r="B31" s="2939" t="s">
        <v>3138</v>
      </c>
      <c r="C31" s="2939" t="s">
        <v>2951</v>
      </c>
      <c r="D31" s="2939" t="s">
        <v>3058</v>
      </c>
      <c r="E31" s="2939" t="s">
        <v>3059</v>
      </c>
      <c r="F31" s="2939">
        <v>22401.919999999998</v>
      </c>
      <c r="G31" s="2939" t="s">
        <v>3139</v>
      </c>
      <c r="H31" s="2939" t="s">
        <v>3137</v>
      </c>
      <c r="I31" s="2939">
        <v>1978</v>
      </c>
      <c r="J31" s="2939">
        <v>12017.01</v>
      </c>
    </row>
    <row r="32" spans="2:10">
      <c r="B32" s="2939" t="s">
        <v>3140</v>
      </c>
      <c r="C32" s="2939" t="s">
        <v>2951</v>
      </c>
      <c r="D32" s="2939" t="s">
        <v>3058</v>
      </c>
      <c r="E32" s="2939" t="s">
        <v>3063</v>
      </c>
      <c r="F32" s="2939">
        <v>19989.16</v>
      </c>
      <c r="G32" s="2939" t="s">
        <v>3141</v>
      </c>
      <c r="H32" s="2939" t="s">
        <v>3142</v>
      </c>
      <c r="I32" s="2939">
        <v>438</v>
      </c>
      <c r="J32" s="2939">
        <v>5053.8500000000004</v>
      </c>
    </row>
    <row r="33" spans="2:10">
      <c r="B33" s="2939" t="s">
        <v>3143</v>
      </c>
      <c r="C33" s="2939" t="s">
        <v>2951</v>
      </c>
      <c r="D33" s="2939" t="s">
        <v>3058</v>
      </c>
      <c r="E33" s="2939" t="s">
        <v>3063</v>
      </c>
      <c r="F33" s="2939">
        <v>19553.63</v>
      </c>
      <c r="G33" s="2939" t="s">
        <v>3144</v>
      </c>
      <c r="H33" s="2939" t="s">
        <v>3142</v>
      </c>
      <c r="I33" s="2939">
        <v>417.33</v>
      </c>
      <c r="J33" s="2939">
        <v>5089.43</v>
      </c>
    </row>
    <row r="34" spans="2:10">
      <c r="B34" s="2939" t="s">
        <v>3145</v>
      </c>
      <c r="C34" s="2939" t="s">
        <v>2951</v>
      </c>
      <c r="D34" s="2939" t="s">
        <v>3058</v>
      </c>
      <c r="E34" s="2939" t="s">
        <v>3074</v>
      </c>
      <c r="F34" s="2939">
        <v>63121.05</v>
      </c>
      <c r="G34" s="2939" t="s">
        <v>3146</v>
      </c>
      <c r="H34" s="2939" t="s">
        <v>3147</v>
      </c>
      <c r="I34" s="2939">
        <v>274.67</v>
      </c>
      <c r="J34" s="2939">
        <v>2060</v>
      </c>
    </row>
    <row r="35" spans="2:10">
      <c r="B35" s="2939" t="s">
        <v>3148</v>
      </c>
      <c r="C35" s="2939" t="s">
        <v>2951</v>
      </c>
      <c r="D35" s="2939" t="s">
        <v>3066</v>
      </c>
      <c r="E35" s="2939" t="s">
        <v>3067</v>
      </c>
      <c r="F35" s="2939">
        <v>33153</v>
      </c>
      <c r="G35" s="2939" t="s">
        <v>3149</v>
      </c>
      <c r="H35" s="2939" t="s">
        <v>3150</v>
      </c>
      <c r="I35" s="2939">
        <v>21</v>
      </c>
      <c r="J35" s="2939">
        <v>157.5</v>
      </c>
    </row>
    <row r="36" spans="2:10">
      <c r="B36" s="2939" t="s">
        <v>3151</v>
      </c>
      <c r="C36" s="2939" t="s">
        <v>2951</v>
      </c>
      <c r="D36" s="2939" t="s">
        <v>3058</v>
      </c>
      <c r="E36" s="2939" t="s">
        <v>3067</v>
      </c>
      <c r="F36" s="2939">
        <v>35365</v>
      </c>
      <c r="G36" s="2939" t="s">
        <v>3152</v>
      </c>
      <c r="H36" s="2939" t="s">
        <v>3153</v>
      </c>
      <c r="I36" s="2939">
        <v>460</v>
      </c>
      <c r="J36" s="2939">
        <v>3450</v>
      </c>
    </row>
    <row r="37" spans="2:10">
      <c r="B37" s="2939" t="s">
        <v>3154</v>
      </c>
      <c r="C37" s="2939" t="s">
        <v>2951</v>
      </c>
      <c r="D37" s="2939" t="s">
        <v>3058</v>
      </c>
      <c r="E37" s="2939" t="s">
        <v>3067</v>
      </c>
      <c r="F37" s="2939">
        <v>4353</v>
      </c>
      <c r="G37" s="2939" t="s">
        <v>3155</v>
      </c>
      <c r="H37" s="2939" t="s">
        <v>3156</v>
      </c>
      <c r="I37" s="2939">
        <v>120</v>
      </c>
      <c r="J37" s="2939">
        <v>1636.35</v>
      </c>
    </row>
    <row r="38" spans="2:10">
      <c r="B38" s="2939" t="s">
        <v>3157</v>
      </c>
      <c r="C38" s="2939" t="s">
        <v>2951</v>
      </c>
      <c r="D38" s="2939" t="s">
        <v>3066</v>
      </c>
      <c r="E38" s="2939" t="s">
        <v>3067</v>
      </c>
      <c r="F38" s="2939">
        <v>9382</v>
      </c>
      <c r="G38" s="2939" t="s">
        <v>3104</v>
      </c>
      <c r="H38" s="2939" t="s">
        <v>3156</v>
      </c>
      <c r="I38" s="2939">
        <v>92</v>
      </c>
      <c r="J38" s="2939">
        <v>1061.53</v>
      </c>
    </row>
    <row r="39" spans="2:10">
      <c r="B39" s="2939" t="s">
        <v>3158</v>
      </c>
      <c r="C39" s="2939" t="s">
        <v>2951</v>
      </c>
      <c r="D39" s="2939" t="s">
        <v>3058</v>
      </c>
      <c r="E39" s="2939" t="s">
        <v>3067</v>
      </c>
      <c r="F39" s="2939">
        <v>79130</v>
      </c>
      <c r="G39" s="2939" t="s">
        <v>3159</v>
      </c>
      <c r="H39" s="2939" t="s">
        <v>3160</v>
      </c>
      <c r="I39" s="2939">
        <v>80</v>
      </c>
      <c r="J39" s="2939">
        <v>888.88</v>
      </c>
    </row>
    <row r="40" spans="2:10">
      <c r="B40" s="2939" t="s">
        <v>3161</v>
      </c>
      <c r="C40" s="2939" t="s">
        <v>2951</v>
      </c>
      <c r="D40" s="2939" t="s">
        <v>3066</v>
      </c>
      <c r="E40" s="2939" t="s">
        <v>3063</v>
      </c>
      <c r="F40" s="2939">
        <v>49635.09</v>
      </c>
      <c r="G40" s="2939" t="s">
        <v>3162</v>
      </c>
      <c r="H40" s="2939" t="s">
        <v>3163</v>
      </c>
      <c r="I40" s="2939">
        <v>763.33</v>
      </c>
      <c r="J40" s="2939">
        <v>8202.01</v>
      </c>
    </row>
    <row r="41" spans="2:10">
      <c r="B41" s="2939" t="s">
        <v>3164</v>
      </c>
      <c r="C41" s="2939" t="s">
        <v>2951</v>
      </c>
      <c r="D41" s="2939" t="s">
        <v>3058</v>
      </c>
      <c r="E41" s="2939" t="s">
        <v>3063</v>
      </c>
      <c r="F41" s="2939">
        <v>40109.040000000001</v>
      </c>
      <c r="G41" s="2939" t="s">
        <v>3165</v>
      </c>
      <c r="H41" s="2939" t="s">
        <v>3166</v>
      </c>
      <c r="I41" s="2939">
        <v>234</v>
      </c>
      <c r="J41" s="2939">
        <v>2452.8200000000002</v>
      </c>
    </row>
    <row r="42" spans="2:10">
      <c r="B42" s="2939" t="s">
        <v>3167</v>
      </c>
      <c r="C42" s="2939" t="s">
        <v>2951</v>
      </c>
      <c r="D42" s="2939" t="s">
        <v>3058</v>
      </c>
      <c r="E42" s="2939" t="s">
        <v>3067</v>
      </c>
      <c r="F42" s="2939">
        <v>14761</v>
      </c>
      <c r="G42" s="2939" t="s">
        <v>3168</v>
      </c>
      <c r="H42" s="2939" t="s">
        <v>3169</v>
      </c>
      <c r="I42" s="2939">
        <v>21</v>
      </c>
      <c r="J42" s="2939">
        <v>175</v>
      </c>
    </row>
    <row r="43" spans="2:10">
      <c r="B43" s="2939" t="s">
        <v>3170</v>
      </c>
      <c r="C43" s="2939" t="s">
        <v>2951</v>
      </c>
      <c r="D43" s="2939" t="s">
        <v>3058</v>
      </c>
      <c r="E43" s="2939" t="s">
        <v>3074</v>
      </c>
      <c r="F43" s="2939">
        <v>133976.9</v>
      </c>
      <c r="G43" s="2939" t="s">
        <v>3171</v>
      </c>
      <c r="H43" s="2939" t="s">
        <v>3172</v>
      </c>
      <c r="I43" s="2939">
        <v>967.33</v>
      </c>
      <c r="J43" s="2939">
        <v>8034.32</v>
      </c>
    </row>
    <row r="44" spans="2:10">
      <c r="B44" s="2939" t="s">
        <v>3173</v>
      </c>
      <c r="C44" s="2939" t="s">
        <v>2951</v>
      </c>
      <c r="D44" s="2939" t="s">
        <v>3058</v>
      </c>
      <c r="E44" s="2939" t="s">
        <v>3074</v>
      </c>
      <c r="F44" s="2939">
        <v>132980.6</v>
      </c>
      <c r="G44" s="2939" t="s">
        <v>3174</v>
      </c>
      <c r="H44" s="2939" t="s">
        <v>3175</v>
      </c>
      <c r="I44" s="2939">
        <v>954</v>
      </c>
      <c r="J44" s="2939">
        <v>7963.27</v>
      </c>
    </row>
    <row r="45" spans="2:10">
      <c r="B45" s="2939" t="s">
        <v>3176</v>
      </c>
      <c r="C45" s="2939" t="s">
        <v>2951</v>
      </c>
      <c r="D45" s="2939" t="s">
        <v>3058</v>
      </c>
      <c r="E45" s="2939" t="s">
        <v>3063</v>
      </c>
      <c r="F45" s="2939">
        <v>58079.45</v>
      </c>
      <c r="G45" s="2939" t="s">
        <v>3177</v>
      </c>
      <c r="H45" s="2939" t="s">
        <v>3178</v>
      </c>
      <c r="I45" s="2939">
        <v>284.67</v>
      </c>
      <c r="J45" s="2939">
        <v>2212.44</v>
      </c>
    </row>
    <row r="46" spans="2:10">
      <c r="B46" s="2939" t="s">
        <v>3179</v>
      </c>
      <c r="C46" s="2939" t="s">
        <v>2951</v>
      </c>
      <c r="D46" s="2939" t="s">
        <v>3066</v>
      </c>
      <c r="E46" s="2939" t="s">
        <v>3059</v>
      </c>
      <c r="F46" s="2939">
        <v>123407.6</v>
      </c>
      <c r="G46" s="2939" t="s">
        <v>3180</v>
      </c>
      <c r="H46" s="2939" t="s">
        <v>3181</v>
      </c>
      <c r="I46" s="2939">
        <v>701.33</v>
      </c>
      <c r="J46" s="2939">
        <v>7909.77</v>
      </c>
    </row>
    <row r="47" spans="2:10">
      <c r="B47" s="2939" t="s">
        <v>3182</v>
      </c>
      <c r="C47" s="2939" t="s">
        <v>2951</v>
      </c>
      <c r="D47" s="2939" t="s">
        <v>3066</v>
      </c>
      <c r="E47" s="2939" t="s">
        <v>3063</v>
      </c>
      <c r="F47" s="2939">
        <v>75322.53</v>
      </c>
      <c r="G47" s="2939" t="s">
        <v>3183</v>
      </c>
      <c r="H47" s="2939" t="s">
        <v>3184</v>
      </c>
      <c r="I47" s="2939">
        <v>953.33</v>
      </c>
      <c r="J47" s="2939">
        <v>7857.14</v>
      </c>
    </row>
    <row r="48" spans="2:10">
      <c r="B48" s="2939" t="s">
        <v>3185</v>
      </c>
      <c r="C48" s="2939" t="s">
        <v>2951</v>
      </c>
      <c r="D48" s="2939" t="s">
        <v>3058</v>
      </c>
      <c r="E48" s="2939" t="s">
        <v>3059</v>
      </c>
      <c r="F48" s="2939">
        <v>47168.45</v>
      </c>
      <c r="G48" s="2939" t="s">
        <v>3186</v>
      </c>
      <c r="H48" s="2939" t="s">
        <v>3187</v>
      </c>
      <c r="I48" s="2939">
        <v>1200</v>
      </c>
      <c r="J48" s="2939">
        <v>8256.8700000000008</v>
      </c>
    </row>
    <row r="49" spans="2:10">
      <c r="B49" s="2939" t="s">
        <v>3188</v>
      </c>
      <c r="C49" s="2939" t="s">
        <v>2951</v>
      </c>
      <c r="D49" s="2939" t="s">
        <v>3058</v>
      </c>
      <c r="E49" s="2939" t="s">
        <v>3074</v>
      </c>
      <c r="F49" s="2939">
        <v>135543.79999999999</v>
      </c>
      <c r="G49" s="2939" t="s">
        <v>3189</v>
      </c>
      <c r="H49" s="2939" t="s">
        <v>3190</v>
      </c>
      <c r="I49" s="2939">
        <v>811.33</v>
      </c>
      <c r="J49" s="2939">
        <v>7158.82</v>
      </c>
    </row>
    <row r="50" spans="2:10">
      <c r="B50" s="2939" t="s">
        <v>3191</v>
      </c>
      <c r="C50" s="2939" t="s">
        <v>2951</v>
      </c>
      <c r="D50" s="2939" t="s">
        <v>3058</v>
      </c>
      <c r="E50" s="2939" t="s">
        <v>3067</v>
      </c>
      <c r="F50" s="2939">
        <v>136835</v>
      </c>
      <c r="G50" s="2939" t="s">
        <v>3192</v>
      </c>
      <c r="H50" s="2939" t="s">
        <v>3193</v>
      </c>
      <c r="I50" s="2939">
        <v>500</v>
      </c>
      <c r="J50" s="2939">
        <v>5000</v>
      </c>
    </row>
    <row r="51" spans="2:10">
      <c r="B51" s="2939" t="s">
        <v>3194</v>
      </c>
      <c r="C51" s="2939" t="s">
        <v>2951</v>
      </c>
      <c r="D51" s="2939" t="s">
        <v>3058</v>
      </c>
      <c r="E51" s="2939" t="s">
        <v>3067</v>
      </c>
      <c r="F51" s="2939">
        <v>55868</v>
      </c>
      <c r="G51" s="2939" t="s">
        <v>3195</v>
      </c>
      <c r="H51" s="2939" t="s">
        <v>3196</v>
      </c>
      <c r="I51" s="2939">
        <v>210</v>
      </c>
      <c r="J51" s="2939">
        <v>2100</v>
      </c>
    </row>
    <row r="52" spans="2:10">
      <c r="B52" s="2939" t="s">
        <v>3197</v>
      </c>
      <c r="C52" s="2939" t="s">
        <v>2951</v>
      </c>
      <c r="D52" s="2939" t="s">
        <v>3058</v>
      </c>
      <c r="E52" s="2939" t="s">
        <v>3067</v>
      </c>
      <c r="F52" s="2939">
        <v>66710</v>
      </c>
      <c r="G52" s="2939" t="s">
        <v>3198</v>
      </c>
      <c r="H52" s="2939" t="s">
        <v>3196</v>
      </c>
      <c r="I52" s="2939">
        <v>354</v>
      </c>
      <c r="J52" s="2939">
        <v>3540</v>
      </c>
    </row>
    <row r="53" spans="2:10">
      <c r="B53" s="3202" t="s">
        <v>3558</v>
      </c>
      <c r="C53" s="3202" t="s">
        <v>2951</v>
      </c>
      <c r="D53" s="3202" t="s">
        <v>3058</v>
      </c>
      <c r="E53" s="3202" t="s">
        <v>3059</v>
      </c>
      <c r="F53" s="3202">
        <v>52094.41</v>
      </c>
      <c r="G53" s="3202" t="s">
        <v>3559</v>
      </c>
      <c r="H53" s="3202" t="s">
        <v>3560</v>
      </c>
      <c r="I53" s="3202">
        <v>1275.33</v>
      </c>
      <c r="J53" s="3202">
        <v>9705.7199999999993</v>
      </c>
    </row>
    <row r="54" spans="2:10">
      <c r="B54" s="3202" t="s">
        <v>3561</v>
      </c>
      <c r="C54" s="3202" t="s">
        <v>2951</v>
      </c>
      <c r="D54" s="3202" t="s">
        <v>3058</v>
      </c>
      <c r="E54" s="3202" t="s">
        <v>3059</v>
      </c>
      <c r="F54" s="3202">
        <v>75193.45</v>
      </c>
      <c r="G54" s="3202" t="s">
        <v>3562</v>
      </c>
      <c r="H54" s="3202" t="s">
        <v>3560</v>
      </c>
      <c r="I54" s="3202">
        <v>1395.33</v>
      </c>
      <c r="J54" s="3202">
        <v>9539.65</v>
      </c>
    </row>
    <row r="55" spans="2:10">
      <c r="B55" s="3202" t="s">
        <v>3563</v>
      </c>
      <c r="C55" s="3202" t="s">
        <v>2951</v>
      </c>
      <c r="D55" s="3202" t="s">
        <v>3058</v>
      </c>
      <c r="E55" s="3202" t="s">
        <v>3074</v>
      </c>
      <c r="F55" s="3202">
        <v>66536.38</v>
      </c>
      <c r="G55" s="3202" t="s">
        <v>3081</v>
      </c>
      <c r="H55" s="3202" t="s">
        <v>3564</v>
      </c>
      <c r="I55" s="3202">
        <v>401.33</v>
      </c>
      <c r="J55" s="3202">
        <v>4300</v>
      </c>
    </row>
    <row r="56" spans="2:10">
      <c r="B56" s="3202" t="s">
        <v>3565</v>
      </c>
      <c r="C56" s="3202" t="s">
        <v>2951</v>
      </c>
      <c r="D56" s="3202" t="s">
        <v>3066</v>
      </c>
      <c r="E56" s="3202" t="s">
        <v>3067</v>
      </c>
      <c r="F56" s="3202">
        <v>36178</v>
      </c>
      <c r="G56" s="3202" t="s">
        <v>3168</v>
      </c>
      <c r="H56" s="3202" t="s">
        <v>3564</v>
      </c>
      <c r="I56" s="3202">
        <v>99</v>
      </c>
      <c r="J56" s="3202">
        <v>825</v>
      </c>
    </row>
    <row r="57" spans="2:10">
      <c r="B57" s="3202" t="s">
        <v>3566</v>
      </c>
      <c r="C57" s="3202" t="s">
        <v>2951</v>
      </c>
      <c r="D57" s="3202" t="s">
        <v>3066</v>
      </c>
      <c r="E57" s="3202" t="s">
        <v>3067</v>
      </c>
      <c r="F57" s="3202">
        <v>77205</v>
      </c>
      <c r="G57" s="3202" t="s">
        <v>3168</v>
      </c>
      <c r="H57" s="3202" t="s">
        <v>3567</v>
      </c>
      <c r="I57" s="3202">
        <v>179.67</v>
      </c>
      <c r="J57" s="3202">
        <v>1497.22</v>
      </c>
    </row>
    <row r="58" spans="2:10">
      <c r="B58" s="3202" t="s">
        <v>3568</v>
      </c>
      <c r="C58" s="3202" t="s">
        <v>2951</v>
      </c>
      <c r="D58" s="3202" t="s">
        <v>3058</v>
      </c>
      <c r="E58" s="3202" t="s">
        <v>3074</v>
      </c>
      <c r="F58" s="3202">
        <v>115500</v>
      </c>
      <c r="G58" s="3202" t="s">
        <v>2780</v>
      </c>
      <c r="H58" s="3202" t="s">
        <v>3368</v>
      </c>
      <c r="I58" s="3202">
        <v>352.67</v>
      </c>
      <c r="J58" s="3202">
        <v>3306.25</v>
      </c>
    </row>
    <row r="59" spans="2:10">
      <c r="B59" s="3202" t="s">
        <v>3569</v>
      </c>
      <c r="C59" s="3202" t="s">
        <v>2951</v>
      </c>
      <c r="D59" s="3202" t="s">
        <v>3058</v>
      </c>
      <c r="E59" s="3202" t="s">
        <v>3067</v>
      </c>
      <c r="F59" s="3202">
        <v>89882</v>
      </c>
      <c r="G59" s="3202" t="s">
        <v>3570</v>
      </c>
      <c r="H59" s="3202" t="s">
        <v>3370</v>
      </c>
      <c r="I59" s="3202">
        <v>95</v>
      </c>
      <c r="J59" s="3202">
        <v>950</v>
      </c>
    </row>
    <row r="60" spans="2:10">
      <c r="B60" s="3202" t="s">
        <v>3571</v>
      </c>
      <c r="C60" s="3202" t="s">
        <v>2951</v>
      </c>
      <c r="D60" s="3202" t="s">
        <v>3058</v>
      </c>
      <c r="E60" s="3202" t="s">
        <v>3067</v>
      </c>
      <c r="F60" s="3202">
        <v>22235</v>
      </c>
      <c r="G60" s="3202" t="s">
        <v>3572</v>
      </c>
      <c r="H60" s="3202" t="s">
        <v>3573</v>
      </c>
      <c r="I60" s="3202">
        <v>21</v>
      </c>
      <c r="J60" s="3202">
        <v>143.18</v>
      </c>
    </row>
    <row r="61" spans="2:10">
      <c r="B61" s="3202" t="s">
        <v>3574</v>
      </c>
      <c r="C61" s="3202" t="s">
        <v>2951</v>
      </c>
      <c r="D61" s="3202" t="s">
        <v>3058</v>
      </c>
      <c r="E61" s="3202" t="s">
        <v>3067</v>
      </c>
      <c r="F61" s="3202">
        <v>66002</v>
      </c>
      <c r="G61" s="3202" t="s">
        <v>3575</v>
      </c>
      <c r="H61" s="3202" t="s">
        <v>3573</v>
      </c>
      <c r="I61" s="3202">
        <v>21</v>
      </c>
      <c r="J61" s="3202">
        <v>131.25</v>
      </c>
    </row>
    <row r="62" spans="2:10">
      <c r="B62" s="3202" t="s">
        <v>3576</v>
      </c>
      <c r="C62" s="3202" t="s">
        <v>2951</v>
      </c>
      <c r="D62" s="3202" t="s">
        <v>3058</v>
      </c>
      <c r="E62" s="3202" t="s">
        <v>3074</v>
      </c>
      <c r="F62" s="3202">
        <v>111858.7</v>
      </c>
      <c r="G62" s="3202" t="s">
        <v>3146</v>
      </c>
      <c r="H62" s="3202" t="s">
        <v>3577</v>
      </c>
      <c r="I62" s="3202">
        <v>932.67</v>
      </c>
      <c r="J62" s="3202">
        <v>6995</v>
      </c>
    </row>
    <row r="63" spans="2:10">
      <c r="B63" s="3202" t="s">
        <v>3578</v>
      </c>
      <c r="C63" s="3202" t="s">
        <v>2951</v>
      </c>
      <c r="D63" s="3202" t="s">
        <v>3058</v>
      </c>
      <c r="E63" s="3202" t="s">
        <v>3074</v>
      </c>
      <c r="F63" s="3202">
        <v>101658</v>
      </c>
      <c r="G63" s="3202" t="s">
        <v>3146</v>
      </c>
      <c r="H63" s="3202" t="s">
        <v>3577</v>
      </c>
      <c r="I63" s="3202">
        <v>936</v>
      </c>
      <c r="J63" s="3202">
        <v>7020</v>
      </c>
    </row>
    <row r="64" spans="2:10">
      <c r="B64" s="3202" t="s">
        <v>3579</v>
      </c>
      <c r="C64" s="3202" t="s">
        <v>2951</v>
      </c>
      <c r="D64" s="3202" t="s">
        <v>3058</v>
      </c>
      <c r="E64" s="3202" t="s">
        <v>3074</v>
      </c>
      <c r="F64" s="3202">
        <v>67205.100000000006</v>
      </c>
      <c r="G64" s="3202" t="s">
        <v>3081</v>
      </c>
      <c r="H64" s="3202" t="s">
        <v>3580</v>
      </c>
      <c r="I64" s="3202">
        <v>366</v>
      </c>
      <c r="J64" s="3202">
        <v>3921.42</v>
      </c>
    </row>
    <row r="65" spans="2:10">
      <c r="B65" s="3201" t="s">
        <v>3047</v>
      </c>
      <c r="C65" s="3201" t="s">
        <v>2951</v>
      </c>
      <c r="D65" s="3201" t="s">
        <v>3066</v>
      </c>
      <c r="E65" s="3201" t="s">
        <v>3059</v>
      </c>
      <c r="F65" s="3201">
        <v>150066.29999999999</v>
      </c>
      <c r="G65" s="3201" t="s">
        <v>3581</v>
      </c>
      <c r="H65" s="3201" t="s">
        <v>3582</v>
      </c>
      <c r="I65" s="3201">
        <v>641.33000000000004</v>
      </c>
      <c r="J65" s="3201">
        <v>4516.43</v>
      </c>
    </row>
    <row r="66" spans="2:10">
      <c r="B66" s="3202" t="s">
        <v>3583</v>
      </c>
      <c r="C66" s="3202" t="s">
        <v>2951</v>
      </c>
      <c r="D66" s="3202" t="s">
        <v>3058</v>
      </c>
      <c r="E66" s="3202" t="s">
        <v>3074</v>
      </c>
      <c r="F66" s="3202">
        <v>47963.19</v>
      </c>
      <c r="G66" s="3202" t="s">
        <v>3584</v>
      </c>
      <c r="H66" s="3202" t="s">
        <v>3585</v>
      </c>
      <c r="I66" s="3202">
        <v>671.33</v>
      </c>
      <c r="J66" s="3202">
        <v>5085.8500000000004</v>
      </c>
    </row>
    <row r="67" spans="2:10">
      <c r="B67" s="3202" t="s">
        <v>3586</v>
      </c>
      <c r="C67" s="3202" t="s">
        <v>2951</v>
      </c>
      <c r="D67" s="3202" t="s">
        <v>3058</v>
      </c>
      <c r="E67" s="3202" t="s">
        <v>3059</v>
      </c>
      <c r="F67" s="3202">
        <v>131576.70000000001</v>
      </c>
      <c r="G67" s="3202" t="s">
        <v>3078</v>
      </c>
      <c r="H67" s="3202" t="s">
        <v>3585</v>
      </c>
      <c r="I67" s="3202">
        <v>1378</v>
      </c>
      <c r="J67" s="3202">
        <v>10439.379999999999</v>
      </c>
    </row>
    <row r="68" spans="2:10">
      <c r="B68" s="3202" t="s">
        <v>3587</v>
      </c>
      <c r="C68" s="3202" t="s">
        <v>2951</v>
      </c>
      <c r="D68" s="3202" t="s">
        <v>3066</v>
      </c>
      <c r="E68" s="3202" t="s">
        <v>3067</v>
      </c>
      <c r="F68" s="3202">
        <v>59980</v>
      </c>
      <c r="G68" s="3202" t="s">
        <v>3588</v>
      </c>
      <c r="H68" s="3202" t="s">
        <v>3589</v>
      </c>
      <c r="I68" s="3202">
        <v>105</v>
      </c>
      <c r="J68" s="3202">
        <v>684.77</v>
      </c>
    </row>
    <row r="69" spans="2:10">
      <c r="B69" s="3202" t="s">
        <v>3590</v>
      </c>
      <c r="C69" s="3202" t="s">
        <v>2951</v>
      </c>
      <c r="D69" s="3202" t="s">
        <v>3058</v>
      </c>
      <c r="E69" s="3202" t="s">
        <v>3067</v>
      </c>
      <c r="F69" s="3202">
        <v>53515</v>
      </c>
      <c r="G69" s="3202" t="s">
        <v>3168</v>
      </c>
      <c r="H69" s="3202" t="s">
        <v>3591</v>
      </c>
      <c r="I69" s="3202">
        <v>918.67</v>
      </c>
      <c r="J69" s="3202">
        <v>7655.56</v>
      </c>
    </row>
    <row r="70" spans="2:10">
      <c r="B70" s="3202" t="s">
        <v>3592</v>
      </c>
      <c r="C70" s="3202" t="s">
        <v>2951</v>
      </c>
      <c r="D70" s="3202" t="s">
        <v>3058</v>
      </c>
      <c r="E70" s="3202" t="s">
        <v>3063</v>
      </c>
      <c r="F70" s="3202">
        <v>98003.85</v>
      </c>
      <c r="G70" s="3202" t="s">
        <v>3593</v>
      </c>
      <c r="H70" s="3202" t="s">
        <v>3594</v>
      </c>
      <c r="I70" s="3202">
        <v>1100</v>
      </c>
      <c r="J70" s="3202">
        <v>10122.69</v>
      </c>
    </row>
    <row r="71" spans="2:10">
      <c r="B71" s="3202" t="s">
        <v>3595</v>
      </c>
      <c r="C71" s="3202" t="s">
        <v>2951</v>
      </c>
      <c r="D71" s="3202" t="s">
        <v>3066</v>
      </c>
      <c r="E71" s="3202" t="s">
        <v>3067</v>
      </c>
      <c r="F71" s="3202">
        <v>49970</v>
      </c>
      <c r="G71" s="3202" t="s">
        <v>3101</v>
      </c>
      <c r="H71" s="3202" t="s">
        <v>3596</v>
      </c>
      <c r="I71" s="3202">
        <v>620.66999999999996</v>
      </c>
      <c r="J71" s="3202">
        <v>4655</v>
      </c>
    </row>
    <row r="72" spans="2:10">
      <c r="B72" s="3202" t="s">
        <v>3597</v>
      </c>
      <c r="C72" s="3202" t="s">
        <v>2951</v>
      </c>
      <c r="D72" s="3202" t="s">
        <v>3058</v>
      </c>
      <c r="E72" s="3202" t="s">
        <v>3074</v>
      </c>
      <c r="F72" s="3202">
        <v>48793.68</v>
      </c>
      <c r="G72" s="3202" t="s">
        <v>3598</v>
      </c>
      <c r="H72" s="3202" t="s">
        <v>3599</v>
      </c>
      <c r="I72" s="3202">
        <v>1046.67</v>
      </c>
      <c r="J72" s="3202">
        <v>14672.89</v>
      </c>
    </row>
    <row r="73" spans="2:10">
      <c r="B73" s="3202" t="s">
        <v>3600</v>
      </c>
      <c r="C73" s="3202" t="s">
        <v>2951</v>
      </c>
      <c r="D73" s="3202" t="s">
        <v>3058</v>
      </c>
      <c r="E73" s="3202" t="s">
        <v>3074</v>
      </c>
      <c r="F73" s="3202">
        <v>180729.60000000001</v>
      </c>
      <c r="G73" s="3202" t="s">
        <v>3601</v>
      </c>
      <c r="H73" s="3202" t="s">
        <v>3602</v>
      </c>
      <c r="I73" s="3202">
        <v>387.33</v>
      </c>
      <c r="J73" s="3202">
        <v>3264.03</v>
      </c>
    </row>
    <row r="74" spans="2:10">
      <c r="B74" s="3202" t="s">
        <v>3603</v>
      </c>
      <c r="C74" s="3202" t="s">
        <v>2951</v>
      </c>
      <c r="D74" s="3202" t="s">
        <v>3058</v>
      </c>
      <c r="E74" s="3202" t="s">
        <v>3067</v>
      </c>
      <c r="F74" s="3202">
        <v>98020</v>
      </c>
      <c r="G74" s="3202" t="s">
        <v>3152</v>
      </c>
      <c r="H74" s="3202" t="s">
        <v>3604</v>
      </c>
      <c r="I74" s="3202">
        <v>870.67</v>
      </c>
      <c r="J74" s="3202">
        <v>6530</v>
      </c>
    </row>
    <row r="75" spans="2:10">
      <c r="B75" s="3202" t="s">
        <v>3605</v>
      </c>
      <c r="C75" s="3202" t="s">
        <v>2951</v>
      </c>
      <c r="D75" s="3202" t="s">
        <v>3058</v>
      </c>
      <c r="E75" s="3202" t="s">
        <v>3067</v>
      </c>
      <c r="F75" s="3202">
        <v>83920</v>
      </c>
      <c r="G75" s="3202" t="s">
        <v>3110</v>
      </c>
      <c r="H75" s="3202" t="s">
        <v>3376</v>
      </c>
      <c r="I75" s="3202">
        <v>756.67</v>
      </c>
      <c r="J75" s="3202">
        <v>7093.75</v>
      </c>
    </row>
    <row r="76" spans="2:10">
      <c r="B76" s="3202" t="s">
        <v>3606</v>
      </c>
      <c r="C76" s="3202" t="s">
        <v>2951</v>
      </c>
      <c r="D76" s="3202" t="s">
        <v>3066</v>
      </c>
      <c r="E76" s="3202" t="s">
        <v>3067</v>
      </c>
      <c r="F76" s="3202">
        <v>82741</v>
      </c>
      <c r="G76" s="3202" t="s">
        <v>3607</v>
      </c>
      <c r="H76" s="3202" t="s">
        <v>3608</v>
      </c>
      <c r="I76" s="3202">
        <v>398.67</v>
      </c>
      <c r="J76" s="3202">
        <v>2491.67</v>
      </c>
    </row>
    <row r="77" spans="2:10">
      <c r="B77" s="3202" t="s">
        <v>3609</v>
      </c>
      <c r="C77" s="3202" t="s">
        <v>2951</v>
      </c>
      <c r="D77" s="3202" t="s">
        <v>3058</v>
      </c>
      <c r="E77" s="3202" t="s">
        <v>3059</v>
      </c>
      <c r="F77" s="3202">
        <v>86651.71</v>
      </c>
      <c r="G77" s="3202" t="s">
        <v>3610</v>
      </c>
      <c r="H77" s="3202" t="s">
        <v>3611</v>
      </c>
      <c r="I77" s="3202">
        <v>750</v>
      </c>
      <c r="J77" s="3202">
        <v>5633.44</v>
      </c>
    </row>
    <row r="78" spans="2:10">
      <c r="B78" s="3202" t="s">
        <v>3612</v>
      </c>
      <c r="C78" s="3202" t="s">
        <v>2951</v>
      </c>
      <c r="D78" s="3202" t="s">
        <v>3058</v>
      </c>
      <c r="E78" s="3202" t="s">
        <v>3074</v>
      </c>
      <c r="F78" s="3202">
        <v>192636.3</v>
      </c>
      <c r="G78" s="3202" t="s">
        <v>3613</v>
      </c>
      <c r="H78" s="3202" t="s">
        <v>3614</v>
      </c>
      <c r="I78" s="3202">
        <v>750</v>
      </c>
      <c r="J78" s="3202">
        <v>5357.14</v>
      </c>
    </row>
    <row r="79" spans="2:10">
      <c r="B79" s="3202" t="s">
        <v>3615</v>
      </c>
      <c r="C79" s="3202" t="s">
        <v>2951</v>
      </c>
      <c r="D79" s="3202" t="s">
        <v>3058</v>
      </c>
      <c r="E79" s="3202" t="s">
        <v>3067</v>
      </c>
      <c r="F79" s="3202">
        <v>37348</v>
      </c>
      <c r="G79" s="3202" t="s">
        <v>3616</v>
      </c>
      <c r="H79" s="3202" t="s">
        <v>3617</v>
      </c>
      <c r="I79" s="3202">
        <v>537.33000000000004</v>
      </c>
      <c r="J79" s="3202">
        <v>7825.23</v>
      </c>
    </row>
    <row r="80" spans="2:10">
      <c r="B80" s="3202" t="s">
        <v>3618</v>
      </c>
      <c r="C80" s="3202" t="s">
        <v>2951</v>
      </c>
      <c r="D80" s="3202" t="s">
        <v>3058</v>
      </c>
      <c r="E80" s="3202" t="s">
        <v>3067</v>
      </c>
      <c r="F80" s="3202">
        <v>31333</v>
      </c>
      <c r="G80" s="3202" t="s">
        <v>3619</v>
      </c>
      <c r="H80" s="3202" t="s">
        <v>3620</v>
      </c>
      <c r="I80" s="3202">
        <v>497.33</v>
      </c>
      <c r="J80" s="3202">
        <v>7104.76</v>
      </c>
    </row>
    <row r="81" spans="2:10">
      <c r="B81" s="3202" t="s">
        <v>3621</v>
      </c>
      <c r="C81" s="3202" t="s">
        <v>2951</v>
      </c>
      <c r="D81" s="3202" t="s">
        <v>3058</v>
      </c>
      <c r="E81" s="3202" t="s">
        <v>3067</v>
      </c>
      <c r="F81" s="3202">
        <v>55476</v>
      </c>
      <c r="G81" s="3202" t="s">
        <v>3622</v>
      </c>
      <c r="H81" s="3202" t="s">
        <v>3620</v>
      </c>
      <c r="I81" s="3202">
        <v>36.67</v>
      </c>
      <c r="J81" s="3202">
        <v>289.47000000000003</v>
      </c>
    </row>
    <row r="82" spans="2:10">
      <c r="B82" s="3202" t="s">
        <v>3623</v>
      </c>
      <c r="C82" s="3202" t="s">
        <v>2951</v>
      </c>
      <c r="D82" s="3202" t="s">
        <v>3066</v>
      </c>
      <c r="E82" s="3202" t="s">
        <v>3067</v>
      </c>
      <c r="F82" s="3202">
        <v>23367</v>
      </c>
      <c r="G82" s="3202" t="s">
        <v>3624</v>
      </c>
      <c r="H82" s="3202" t="s">
        <v>3625</v>
      </c>
      <c r="I82" s="3202">
        <v>404</v>
      </c>
      <c r="J82" s="3202">
        <v>3672.73</v>
      </c>
    </row>
    <row r="83" spans="2:10">
      <c r="B83" s="3202" t="s">
        <v>3626</v>
      </c>
      <c r="C83" s="3202" t="s">
        <v>2951</v>
      </c>
      <c r="D83" s="3202" t="s">
        <v>3058</v>
      </c>
      <c r="E83" s="3202" t="s">
        <v>3067</v>
      </c>
      <c r="F83" s="3202">
        <v>54549</v>
      </c>
      <c r="G83" s="3202" t="s">
        <v>3152</v>
      </c>
      <c r="H83" s="3202" t="s">
        <v>3627</v>
      </c>
      <c r="I83" s="3202">
        <v>402</v>
      </c>
      <c r="J83" s="3202">
        <v>3015</v>
      </c>
    </row>
    <row r="84" spans="2:10">
      <c r="B84" s="3202" t="s">
        <v>3628</v>
      </c>
      <c r="C84" s="3202" t="s">
        <v>2951</v>
      </c>
      <c r="D84" s="3202" t="s">
        <v>3058</v>
      </c>
      <c r="E84" s="3202" t="s">
        <v>3059</v>
      </c>
      <c r="F84" s="3202">
        <v>73500.210000000006</v>
      </c>
      <c r="G84" s="3202" t="s">
        <v>3629</v>
      </c>
      <c r="H84" s="3202" t="s">
        <v>3630</v>
      </c>
      <c r="I84" s="3202">
        <v>878.67</v>
      </c>
      <c r="J84" s="3202">
        <v>7812.68</v>
      </c>
    </row>
    <row r="85" spans="2:10">
      <c r="B85" s="3202" t="s">
        <v>3631</v>
      </c>
      <c r="C85" s="3202" t="s">
        <v>2951</v>
      </c>
      <c r="D85" s="3202" t="s">
        <v>3058</v>
      </c>
      <c r="E85" s="3202" t="s">
        <v>3059</v>
      </c>
      <c r="F85" s="3202">
        <v>93993.98</v>
      </c>
      <c r="G85" s="3202" t="s">
        <v>3195</v>
      </c>
      <c r="H85" s="3202" t="s">
        <v>3630</v>
      </c>
      <c r="I85" s="3202">
        <v>1092.67</v>
      </c>
      <c r="J85" s="3202">
        <v>10926.65</v>
      </c>
    </row>
    <row r="86" spans="2:10">
      <c r="B86" s="3202" t="s">
        <v>3632</v>
      </c>
      <c r="C86" s="3202" t="s">
        <v>2951</v>
      </c>
      <c r="D86" s="3202" t="s">
        <v>3058</v>
      </c>
      <c r="E86" s="3202" t="s">
        <v>3063</v>
      </c>
      <c r="F86" s="3202">
        <v>40386.83</v>
      </c>
      <c r="G86" s="3202" t="s">
        <v>3633</v>
      </c>
      <c r="H86" s="3202" t="s">
        <v>3634</v>
      </c>
      <c r="I86" s="3202">
        <v>906</v>
      </c>
      <c r="J86" s="3202">
        <v>10429.780000000001</v>
      </c>
    </row>
    <row r="87" spans="2:10">
      <c r="B87" s="3202" t="s">
        <v>3635</v>
      </c>
      <c r="C87" s="3202" t="s">
        <v>2951</v>
      </c>
      <c r="D87" s="3202" t="s">
        <v>3058</v>
      </c>
      <c r="E87" s="3202" t="s">
        <v>3063</v>
      </c>
      <c r="F87" s="3202">
        <v>25486.94</v>
      </c>
      <c r="G87" s="3202" t="s">
        <v>3636</v>
      </c>
      <c r="H87" s="3202" t="s">
        <v>3634</v>
      </c>
      <c r="I87" s="3202">
        <v>700.67</v>
      </c>
      <c r="J87" s="3202">
        <v>9598.17</v>
      </c>
    </row>
    <row r="88" spans="2:10">
      <c r="B88" s="3202" t="s">
        <v>3637</v>
      </c>
      <c r="C88" s="3202" t="s">
        <v>2951</v>
      </c>
      <c r="D88" s="3202" t="s">
        <v>3058</v>
      </c>
      <c r="E88" s="3202" t="s">
        <v>3059</v>
      </c>
      <c r="F88" s="3202">
        <v>109259.5</v>
      </c>
      <c r="G88" s="3202" t="s">
        <v>3638</v>
      </c>
      <c r="H88" s="3202" t="s">
        <v>3639</v>
      </c>
      <c r="I88" s="3202">
        <v>794.67</v>
      </c>
      <c r="J88" s="3202">
        <v>4553.8999999999996</v>
      </c>
    </row>
    <row r="89" spans="2:10">
      <c r="B89" s="3202" t="s">
        <v>3640</v>
      </c>
      <c r="C89" s="3202" t="s">
        <v>2951</v>
      </c>
      <c r="D89" s="3202" t="s">
        <v>3058</v>
      </c>
      <c r="E89" s="3202" t="s">
        <v>3063</v>
      </c>
      <c r="F89" s="3202">
        <v>70317.399999999994</v>
      </c>
      <c r="G89" s="3202" t="s">
        <v>3641</v>
      </c>
      <c r="H89" s="3202" t="s">
        <v>3639</v>
      </c>
      <c r="I89" s="3202">
        <v>718.67</v>
      </c>
      <c r="J89" s="3202">
        <v>6537.3</v>
      </c>
    </row>
    <row r="90" spans="2:10">
      <c r="B90" s="3202" t="s">
        <v>3642</v>
      </c>
      <c r="C90" s="3202" t="s">
        <v>2951</v>
      </c>
      <c r="D90" s="3202" t="s">
        <v>3058</v>
      </c>
      <c r="E90" s="3202" t="s">
        <v>3074</v>
      </c>
      <c r="F90" s="3202">
        <v>145572.20000000001</v>
      </c>
      <c r="G90" s="3202" t="s">
        <v>3643</v>
      </c>
      <c r="H90" s="3202" t="s">
        <v>3644</v>
      </c>
      <c r="I90" s="3202">
        <v>534.66999999999996</v>
      </c>
      <c r="J90" s="3202">
        <v>4595.9799999999996</v>
      </c>
    </row>
    <row r="91" spans="2:10">
      <c r="B91" s="3202" t="s">
        <v>3645</v>
      </c>
      <c r="C91" s="3202" t="s">
        <v>2951</v>
      </c>
      <c r="D91" s="3202" t="s">
        <v>3058</v>
      </c>
      <c r="E91" s="3202" t="s">
        <v>3063</v>
      </c>
      <c r="F91" s="3202">
        <v>82950.37</v>
      </c>
      <c r="G91" s="3202" t="s">
        <v>3646</v>
      </c>
      <c r="H91" s="3202" t="s">
        <v>3644</v>
      </c>
      <c r="I91" s="3202">
        <v>784.67</v>
      </c>
      <c r="J91" s="3202">
        <v>10603.64</v>
      </c>
    </row>
    <row r="92" spans="2:10">
      <c r="B92" s="3202" t="s">
        <v>3647</v>
      </c>
      <c r="C92" s="3202" t="s">
        <v>2951</v>
      </c>
      <c r="D92" s="3202" t="s">
        <v>3058</v>
      </c>
      <c r="E92" s="3202" t="s">
        <v>3063</v>
      </c>
      <c r="F92" s="3202">
        <v>80566.63</v>
      </c>
      <c r="G92" s="3202" t="s">
        <v>3648</v>
      </c>
      <c r="H92" s="3202" t="s">
        <v>3649</v>
      </c>
      <c r="I92" s="3202">
        <v>543.33000000000004</v>
      </c>
      <c r="J92" s="3202">
        <v>4052.71</v>
      </c>
    </row>
    <row r="93" spans="2:10">
      <c r="B93" s="3202" t="s">
        <v>3650</v>
      </c>
      <c r="C93" s="3202" t="s">
        <v>2951</v>
      </c>
      <c r="D93" s="3202" t="s">
        <v>3058</v>
      </c>
      <c r="E93" s="3202" t="s">
        <v>3059</v>
      </c>
      <c r="F93" s="3202">
        <v>37247.9</v>
      </c>
      <c r="G93" s="3202" t="s">
        <v>3651</v>
      </c>
      <c r="H93" s="3202" t="s">
        <v>3649</v>
      </c>
      <c r="I93" s="3202">
        <v>717.34</v>
      </c>
      <c r="J93" s="3202">
        <v>6303.5</v>
      </c>
    </row>
    <row r="94" spans="2:10">
      <c r="B94" s="3202" t="s">
        <v>3652</v>
      </c>
      <c r="C94" s="3202" t="s">
        <v>2951</v>
      </c>
      <c r="D94" s="3202" t="s">
        <v>3058</v>
      </c>
      <c r="E94" s="3202" t="s">
        <v>3074</v>
      </c>
      <c r="F94" s="3202">
        <v>497.38</v>
      </c>
      <c r="G94" s="3202" t="s">
        <v>3653</v>
      </c>
      <c r="H94" s="3202" t="s">
        <v>3654</v>
      </c>
      <c r="I94" s="3202">
        <v>25.99</v>
      </c>
      <c r="J94" s="3202">
        <v>388.1</v>
      </c>
    </row>
    <row r="95" spans="2:10">
      <c r="B95" s="3202" t="s">
        <v>3655</v>
      </c>
      <c r="C95" s="3202" t="s">
        <v>2951</v>
      </c>
      <c r="D95" s="3202" t="s">
        <v>3058</v>
      </c>
      <c r="E95" s="3202" t="s">
        <v>3067</v>
      </c>
      <c r="F95" s="3202">
        <v>115610</v>
      </c>
      <c r="G95" s="3202" t="s">
        <v>3152</v>
      </c>
      <c r="H95" s="3202" t="s">
        <v>3656</v>
      </c>
      <c r="I95" s="3202">
        <v>302.67</v>
      </c>
      <c r="J95" s="3202">
        <v>2270</v>
      </c>
    </row>
    <row r="96" spans="2:10">
      <c r="B96" s="3202" t="s">
        <v>3657</v>
      </c>
      <c r="C96" s="3202" t="s">
        <v>2951</v>
      </c>
      <c r="D96" s="3202" t="s">
        <v>3058</v>
      </c>
      <c r="E96" s="3202" t="s">
        <v>3067</v>
      </c>
      <c r="F96" s="3202">
        <v>61367</v>
      </c>
      <c r="G96" s="3202" t="s">
        <v>3607</v>
      </c>
      <c r="H96" s="3202" t="s">
        <v>3658</v>
      </c>
      <c r="I96" s="3202">
        <v>200</v>
      </c>
      <c r="J96" s="3202">
        <v>1250</v>
      </c>
    </row>
    <row r="97" spans="2:10">
      <c r="B97" s="3202" t="s">
        <v>3659</v>
      </c>
      <c r="C97" s="3202" t="s">
        <v>2951</v>
      </c>
      <c r="D97" s="3202" t="s">
        <v>3058</v>
      </c>
      <c r="E97" s="3202" t="s">
        <v>3059</v>
      </c>
      <c r="F97" s="3202">
        <v>134060.79999999999</v>
      </c>
      <c r="G97" s="3202" t="s">
        <v>3660</v>
      </c>
      <c r="H97" s="3202" t="s">
        <v>3408</v>
      </c>
      <c r="I97" s="3202">
        <v>618.66999999999996</v>
      </c>
      <c r="J97" s="3202">
        <v>5938.06</v>
      </c>
    </row>
    <row r="98" spans="2:10">
      <c r="B98" s="3202" t="s">
        <v>3661</v>
      </c>
      <c r="C98" s="3202" t="s">
        <v>2951</v>
      </c>
      <c r="D98" s="3202" t="s">
        <v>3058</v>
      </c>
      <c r="E98" s="3202" t="s">
        <v>3067</v>
      </c>
      <c r="F98" s="3202">
        <v>41241</v>
      </c>
      <c r="G98" s="3202" t="s">
        <v>3662</v>
      </c>
      <c r="H98" s="3202" t="s">
        <v>3408</v>
      </c>
      <c r="I98" s="3202">
        <v>386</v>
      </c>
      <c r="J98" s="3202">
        <v>2895</v>
      </c>
    </row>
    <row r="99" spans="2:10">
      <c r="B99" s="3202" t="s">
        <v>3663</v>
      </c>
      <c r="C99" s="3202" t="s">
        <v>2951</v>
      </c>
      <c r="D99" s="3202" t="s">
        <v>3058</v>
      </c>
      <c r="E99" s="3202" t="s">
        <v>3063</v>
      </c>
      <c r="F99" s="3202">
        <v>41950.32</v>
      </c>
      <c r="G99" s="3202" t="s">
        <v>3664</v>
      </c>
      <c r="H99" s="3202" t="s">
        <v>3417</v>
      </c>
      <c r="I99" s="3202">
        <v>860.67</v>
      </c>
      <c r="J99" s="3202">
        <v>5862.85</v>
      </c>
    </row>
    <row r="100" spans="2:10">
      <c r="B100" s="3202" t="s">
        <v>3665</v>
      </c>
      <c r="C100" s="3202" t="s">
        <v>2951</v>
      </c>
      <c r="D100" s="3202" t="s">
        <v>3066</v>
      </c>
      <c r="E100" s="3202" t="s">
        <v>3074</v>
      </c>
      <c r="F100" s="3202">
        <v>180006.33</v>
      </c>
      <c r="G100" s="3202" t="s">
        <v>3643</v>
      </c>
      <c r="H100" s="3202" t="s">
        <v>3666</v>
      </c>
      <c r="I100" s="3202">
        <v>150</v>
      </c>
      <c r="J100" s="3202">
        <v>1289.4000000000001</v>
      </c>
    </row>
    <row r="101" spans="2:10">
      <c r="B101" s="3202" t="s">
        <v>3667</v>
      </c>
      <c r="C101" s="3202" t="s">
        <v>2951</v>
      </c>
      <c r="D101" s="3202" t="s">
        <v>3058</v>
      </c>
      <c r="E101" s="3202" t="s">
        <v>3067</v>
      </c>
      <c r="F101" s="3202">
        <v>3007</v>
      </c>
      <c r="G101" s="3202" t="s">
        <v>3668</v>
      </c>
      <c r="H101" s="3202" t="s">
        <v>3425</v>
      </c>
      <c r="I101" s="3202">
        <v>40</v>
      </c>
      <c r="J101" s="3202">
        <v>400</v>
      </c>
    </row>
    <row r="102" spans="2:10">
      <c r="B102" s="3202" t="s">
        <v>3669</v>
      </c>
      <c r="C102" s="3202" t="s">
        <v>2951</v>
      </c>
      <c r="D102" s="3202" t="s">
        <v>3058</v>
      </c>
      <c r="E102" s="3202" t="s">
        <v>3059</v>
      </c>
      <c r="F102" s="3202">
        <v>71284.460000000006</v>
      </c>
      <c r="G102" s="3202" t="s">
        <v>3670</v>
      </c>
      <c r="H102" s="3202" t="s">
        <v>3671</v>
      </c>
      <c r="I102" s="3202">
        <v>437.33</v>
      </c>
      <c r="J102" s="3202">
        <v>3872.48</v>
      </c>
    </row>
    <row r="103" spans="2:10">
      <c r="B103" s="3195" t="s">
        <v>3199</v>
      </c>
      <c r="C103" s="3195" t="s">
        <v>2951</v>
      </c>
      <c r="D103" s="3195" t="s">
        <v>3058</v>
      </c>
      <c r="E103" s="3195" t="s">
        <v>3067</v>
      </c>
      <c r="F103" s="3195">
        <v>35726</v>
      </c>
      <c r="G103" s="3195" t="s">
        <v>3200</v>
      </c>
      <c r="H103" s="3195" t="s">
        <v>3201</v>
      </c>
      <c r="I103" s="3195">
        <v>20</v>
      </c>
      <c r="J103" s="3195">
        <v>166.66</v>
      </c>
    </row>
    <row r="104" spans="2:10">
      <c r="B104" s="3195" t="s">
        <v>3202</v>
      </c>
      <c r="C104" s="3195" t="s">
        <v>2951</v>
      </c>
      <c r="D104" s="3195" t="s">
        <v>3058</v>
      </c>
      <c r="E104" s="3195" t="s">
        <v>3067</v>
      </c>
      <c r="F104" s="3195">
        <v>15847</v>
      </c>
      <c r="G104" s="3195" t="s">
        <v>3203</v>
      </c>
      <c r="H104" s="3195" t="s">
        <v>3201</v>
      </c>
      <c r="I104" s="3195">
        <v>20</v>
      </c>
      <c r="J104" s="3195">
        <v>115.37</v>
      </c>
    </row>
    <row r="105" spans="2:10">
      <c r="B105" s="3195" t="s">
        <v>3204</v>
      </c>
      <c r="C105" s="3195" t="s">
        <v>2951</v>
      </c>
      <c r="D105" s="3195" t="s">
        <v>3058</v>
      </c>
      <c r="E105" s="3195" t="s">
        <v>3067</v>
      </c>
      <c r="F105" s="3195">
        <v>43674</v>
      </c>
      <c r="G105" s="3195" t="s">
        <v>3200</v>
      </c>
      <c r="H105" s="3195" t="s">
        <v>3201</v>
      </c>
      <c r="I105" s="3195">
        <v>20</v>
      </c>
      <c r="J105" s="3195">
        <v>166.66</v>
      </c>
    </row>
    <row r="106" spans="2:10">
      <c r="B106" s="3195" t="s">
        <v>3205</v>
      </c>
      <c r="C106" s="3195" t="s">
        <v>2951</v>
      </c>
      <c r="D106" s="3195" t="s">
        <v>3058</v>
      </c>
      <c r="E106" s="3195" t="s">
        <v>3059</v>
      </c>
      <c r="F106" s="3195">
        <v>72244.58</v>
      </c>
      <c r="G106" s="3195" t="s">
        <v>3206</v>
      </c>
      <c r="H106" s="3195" t="s">
        <v>3207</v>
      </c>
      <c r="I106" s="3195">
        <v>368.67</v>
      </c>
      <c r="J106" s="3195">
        <v>2680.55</v>
      </c>
    </row>
    <row r="107" spans="2:10">
      <c r="B107" s="3195" t="s">
        <v>3208</v>
      </c>
      <c r="C107" s="3195" t="s">
        <v>2951</v>
      </c>
      <c r="D107" s="3195" t="s">
        <v>3058</v>
      </c>
      <c r="E107" s="3195" t="s">
        <v>3063</v>
      </c>
      <c r="F107" s="3195">
        <v>22830.85</v>
      </c>
      <c r="G107" s="3195" t="s">
        <v>3209</v>
      </c>
      <c r="H107" s="3195" t="s">
        <v>3210</v>
      </c>
      <c r="I107" s="3195">
        <v>200.67</v>
      </c>
      <c r="J107" s="3195">
        <v>1808.9</v>
      </c>
    </row>
    <row r="108" spans="2:10">
      <c r="B108" s="3195" t="s">
        <v>3211</v>
      </c>
      <c r="C108" s="3195" t="s">
        <v>2951</v>
      </c>
      <c r="D108" s="3195" t="s">
        <v>3058</v>
      </c>
      <c r="E108" s="3195" t="s">
        <v>3063</v>
      </c>
      <c r="F108" s="3195">
        <v>33670.81</v>
      </c>
      <c r="G108" s="3195" t="s">
        <v>3212</v>
      </c>
      <c r="H108" s="3195" t="s">
        <v>3210</v>
      </c>
      <c r="I108" s="3195">
        <v>144</v>
      </c>
      <c r="J108" s="3195">
        <v>1683.55</v>
      </c>
    </row>
    <row r="109" spans="2:10">
      <c r="B109" s="3195" t="s">
        <v>3213</v>
      </c>
      <c r="C109" s="3195" t="s">
        <v>2951</v>
      </c>
      <c r="D109" s="3195" t="s">
        <v>3066</v>
      </c>
      <c r="E109" s="3195" t="s">
        <v>3063</v>
      </c>
      <c r="F109" s="3195">
        <v>102119.4</v>
      </c>
      <c r="G109" s="3195" t="s">
        <v>3214</v>
      </c>
      <c r="H109" s="3195" t="s">
        <v>3210</v>
      </c>
      <c r="I109" s="3195">
        <v>177.33</v>
      </c>
      <c r="J109" s="3195">
        <v>1533.14</v>
      </c>
    </row>
    <row r="110" spans="2:10">
      <c r="B110" s="3195" t="s">
        <v>3215</v>
      </c>
      <c r="C110" s="3195" t="s">
        <v>2951</v>
      </c>
      <c r="D110" s="3195" t="s">
        <v>3058</v>
      </c>
      <c r="E110" s="3195" t="s">
        <v>3067</v>
      </c>
      <c r="F110" s="3195">
        <v>52249</v>
      </c>
      <c r="G110" s="3195" t="s">
        <v>3216</v>
      </c>
      <c r="H110" s="3195" t="s">
        <v>3217</v>
      </c>
      <c r="I110" s="3195">
        <v>20</v>
      </c>
      <c r="J110" s="3195">
        <v>130.43</v>
      </c>
    </row>
    <row r="111" spans="2:10">
      <c r="B111" s="3195" t="s">
        <v>3218</v>
      </c>
      <c r="C111" s="3195" t="s">
        <v>2951</v>
      </c>
      <c r="D111" s="3195" t="s">
        <v>3058</v>
      </c>
      <c r="E111" s="3195" t="s">
        <v>3067</v>
      </c>
      <c r="F111" s="3195">
        <v>191882.3</v>
      </c>
      <c r="G111" s="3195" t="s">
        <v>3219</v>
      </c>
      <c r="H111" s="3195" t="s">
        <v>3220</v>
      </c>
      <c r="I111" s="3195">
        <v>190</v>
      </c>
      <c r="J111" s="3195">
        <v>2810.65</v>
      </c>
    </row>
    <row r="112" spans="2:10">
      <c r="B112" s="3195" t="s">
        <v>3221</v>
      </c>
      <c r="C112" s="3195" t="s">
        <v>2951</v>
      </c>
      <c r="D112" s="3195" t="s">
        <v>3058</v>
      </c>
      <c r="E112" s="3195" t="s">
        <v>3067</v>
      </c>
      <c r="F112" s="3195">
        <v>70910.720000000001</v>
      </c>
      <c r="G112" s="3195" t="s">
        <v>3222</v>
      </c>
      <c r="H112" s="3195" t="s">
        <v>3223</v>
      </c>
      <c r="I112" s="3195">
        <v>64</v>
      </c>
      <c r="J112" s="3195">
        <v>640</v>
      </c>
    </row>
    <row r="113" spans="2:10">
      <c r="B113" s="3195" t="s">
        <v>3224</v>
      </c>
      <c r="C113" s="3195" t="s">
        <v>2951</v>
      </c>
      <c r="D113" s="3195" t="s">
        <v>3058</v>
      </c>
      <c r="E113" s="3195" t="s">
        <v>3067</v>
      </c>
      <c r="F113" s="3195">
        <v>19518</v>
      </c>
      <c r="G113" s="3195" t="s">
        <v>3225</v>
      </c>
      <c r="H113" s="3195" t="s">
        <v>3223</v>
      </c>
      <c r="I113" s="3195">
        <v>20</v>
      </c>
      <c r="J113" s="3195">
        <v>166.66</v>
      </c>
    </row>
    <row r="114" spans="2:10">
      <c r="B114" s="3195" t="s">
        <v>3226</v>
      </c>
      <c r="C114" s="3195" t="s">
        <v>2951</v>
      </c>
      <c r="D114" s="3195" t="s">
        <v>3058</v>
      </c>
      <c r="E114" s="3195" t="s">
        <v>3067</v>
      </c>
      <c r="F114" s="3195">
        <v>56477.65</v>
      </c>
      <c r="G114" s="3195" t="s">
        <v>3227</v>
      </c>
      <c r="H114" s="3195" t="s">
        <v>3228</v>
      </c>
      <c r="I114" s="3195">
        <v>60</v>
      </c>
      <c r="J114" s="3195">
        <v>750</v>
      </c>
    </row>
    <row r="115" spans="2:10">
      <c r="B115" s="3195" t="s">
        <v>3229</v>
      </c>
      <c r="C115" s="3195" t="s">
        <v>2951</v>
      </c>
      <c r="D115" s="3195" t="s">
        <v>3058</v>
      </c>
      <c r="E115" s="3195" t="s">
        <v>3067</v>
      </c>
      <c r="F115" s="3195">
        <v>17584.560000000001</v>
      </c>
      <c r="G115" s="3195" t="s">
        <v>3230</v>
      </c>
      <c r="H115" s="3195" t="s">
        <v>3231</v>
      </c>
      <c r="I115" s="3195">
        <v>30</v>
      </c>
      <c r="J115" s="3195">
        <v>201.34</v>
      </c>
    </row>
    <row r="116" spans="2:10">
      <c r="B116" s="3195" t="s">
        <v>3232</v>
      </c>
      <c r="C116" s="3195" t="s">
        <v>2951</v>
      </c>
      <c r="D116" s="3195" t="s">
        <v>3058</v>
      </c>
      <c r="E116" s="3195" t="s">
        <v>3067</v>
      </c>
      <c r="F116" s="3195">
        <v>36849</v>
      </c>
      <c r="G116" s="3195" t="s">
        <v>3233</v>
      </c>
      <c r="H116" s="3195" t="s">
        <v>3234</v>
      </c>
      <c r="I116" s="3195">
        <v>280</v>
      </c>
      <c r="J116" s="3195">
        <v>1680</v>
      </c>
    </row>
    <row r="117" spans="2:10">
      <c r="B117" s="3195" t="s">
        <v>3235</v>
      </c>
      <c r="C117" s="3195" t="s">
        <v>2951</v>
      </c>
      <c r="D117" s="3195" t="s">
        <v>3058</v>
      </c>
      <c r="E117" s="3195" t="s">
        <v>3067</v>
      </c>
      <c r="F117" s="3195">
        <v>20868.7</v>
      </c>
      <c r="G117" s="3195" t="s">
        <v>3236</v>
      </c>
      <c r="H117" s="3195" t="s">
        <v>3234</v>
      </c>
      <c r="I117" s="3195">
        <v>34</v>
      </c>
      <c r="J117" s="3195">
        <v>274.33</v>
      </c>
    </row>
    <row r="118" spans="2:10">
      <c r="B118" s="3195" t="s">
        <v>3237</v>
      </c>
      <c r="C118" s="3195" t="s">
        <v>2951</v>
      </c>
      <c r="D118" s="3195" t="s">
        <v>3058</v>
      </c>
      <c r="E118" s="3195" t="s">
        <v>3067</v>
      </c>
      <c r="F118" s="3195">
        <v>41475</v>
      </c>
      <c r="G118" s="3195" t="s">
        <v>3238</v>
      </c>
      <c r="H118" s="3195" t="s">
        <v>3239</v>
      </c>
      <c r="I118" s="3195">
        <v>226.67</v>
      </c>
      <c r="J118" s="3195">
        <v>1545.45</v>
      </c>
    </row>
    <row r="119" spans="2:10">
      <c r="B119" s="3195" t="s">
        <v>3240</v>
      </c>
      <c r="C119" s="3195" t="s">
        <v>2951</v>
      </c>
      <c r="D119" s="3195" t="s">
        <v>3058</v>
      </c>
      <c r="E119" s="3195" t="s">
        <v>3067</v>
      </c>
      <c r="F119" s="3195">
        <v>66667</v>
      </c>
      <c r="G119" s="3195" t="s">
        <v>3238</v>
      </c>
      <c r="H119" s="3195" t="s">
        <v>3239</v>
      </c>
      <c r="I119" s="3195">
        <v>226.67</v>
      </c>
      <c r="J119" s="3195">
        <v>1545.45</v>
      </c>
    </row>
    <row r="120" spans="2:10">
      <c r="B120" s="3195" t="s">
        <v>3241</v>
      </c>
      <c r="C120" s="3195" t="s">
        <v>2951</v>
      </c>
      <c r="D120" s="3195" t="s">
        <v>3058</v>
      </c>
      <c r="E120" s="3195" t="s">
        <v>3067</v>
      </c>
      <c r="F120" s="3195">
        <v>3920</v>
      </c>
      <c r="G120" s="3195" t="s">
        <v>3242</v>
      </c>
      <c r="H120" s="3195" t="s">
        <v>3243</v>
      </c>
      <c r="I120" s="3195">
        <v>350</v>
      </c>
      <c r="J120" s="3195">
        <v>2100</v>
      </c>
    </row>
    <row r="121" spans="2:10">
      <c r="B121" s="3195" t="s">
        <v>3244</v>
      </c>
      <c r="C121" s="3195" t="s">
        <v>2951</v>
      </c>
      <c r="D121" s="3195" t="s">
        <v>3058</v>
      </c>
      <c r="E121" s="3195" t="s">
        <v>3067</v>
      </c>
      <c r="F121" s="3195">
        <v>22978</v>
      </c>
      <c r="G121" s="3195" t="s">
        <v>3233</v>
      </c>
      <c r="H121" s="3195" t="s">
        <v>3243</v>
      </c>
      <c r="I121" s="3195">
        <v>280</v>
      </c>
      <c r="J121" s="3195">
        <v>1680</v>
      </c>
    </row>
    <row r="122" spans="2:10">
      <c r="B122" s="3195" t="s">
        <v>3245</v>
      </c>
      <c r="C122" s="3195" t="s">
        <v>2951</v>
      </c>
      <c r="D122" s="3195" t="s">
        <v>3058</v>
      </c>
      <c r="E122" s="3195" t="s">
        <v>3067</v>
      </c>
      <c r="F122" s="3195">
        <v>7383</v>
      </c>
      <c r="G122" s="3195" t="s">
        <v>3246</v>
      </c>
      <c r="H122" s="3195" t="s">
        <v>3243</v>
      </c>
      <c r="I122" s="3195">
        <v>333.33</v>
      </c>
      <c r="J122" s="3195">
        <v>2272.73</v>
      </c>
    </row>
    <row r="123" spans="2:10">
      <c r="B123" s="3195" t="s">
        <v>3247</v>
      </c>
      <c r="C123" s="3195" t="s">
        <v>2951</v>
      </c>
      <c r="D123" s="3195" t="s">
        <v>3058</v>
      </c>
      <c r="E123" s="3195" t="s">
        <v>3067</v>
      </c>
      <c r="F123" s="3195">
        <v>9404.5</v>
      </c>
      <c r="G123" s="3195" t="s">
        <v>3238</v>
      </c>
      <c r="H123" s="3195" t="s">
        <v>3248</v>
      </c>
      <c r="I123" s="3195">
        <v>320</v>
      </c>
      <c r="J123" s="3195">
        <v>2181.8200000000002</v>
      </c>
    </row>
    <row r="124" spans="2:10">
      <c r="B124" s="3195" t="s">
        <v>3249</v>
      </c>
      <c r="C124" s="3195" t="s">
        <v>2951</v>
      </c>
      <c r="D124" s="3195" t="s">
        <v>3058</v>
      </c>
      <c r="E124" s="3195" t="s">
        <v>3067</v>
      </c>
      <c r="F124" s="3195">
        <v>13620</v>
      </c>
      <c r="G124" s="3195" t="s">
        <v>3238</v>
      </c>
      <c r="H124" s="3195" t="s">
        <v>3248</v>
      </c>
      <c r="I124" s="3195">
        <v>320</v>
      </c>
      <c r="J124" s="3195">
        <v>2181.8200000000002</v>
      </c>
    </row>
    <row r="125" spans="2:10">
      <c r="B125" s="3195" t="s">
        <v>3250</v>
      </c>
      <c r="C125" s="3195" t="s">
        <v>2951</v>
      </c>
      <c r="D125" s="3195" t="s">
        <v>3058</v>
      </c>
      <c r="E125" s="3195" t="s">
        <v>3067</v>
      </c>
      <c r="F125" s="3195">
        <v>1949</v>
      </c>
      <c r="G125" s="3195" t="s">
        <v>3242</v>
      </c>
      <c r="H125" s="3195" t="s">
        <v>3248</v>
      </c>
      <c r="I125" s="3195">
        <v>350</v>
      </c>
      <c r="J125" s="3195">
        <v>2100.0100000000002</v>
      </c>
    </row>
    <row r="126" spans="2:10">
      <c r="B126" s="3195" t="s">
        <v>3251</v>
      </c>
      <c r="C126" s="3195" t="s">
        <v>2951</v>
      </c>
      <c r="D126" s="3195" t="s">
        <v>3058</v>
      </c>
      <c r="E126" s="3195" t="s">
        <v>3067</v>
      </c>
      <c r="F126" s="3195">
        <v>1487</v>
      </c>
      <c r="G126" s="3195" t="s">
        <v>3242</v>
      </c>
      <c r="H126" s="3195" t="s">
        <v>3248</v>
      </c>
      <c r="I126" s="3195">
        <v>350</v>
      </c>
      <c r="J126" s="3195">
        <v>2100.0100000000002</v>
      </c>
    </row>
    <row r="127" spans="2:10">
      <c r="B127" s="3195" t="s">
        <v>3252</v>
      </c>
      <c r="C127" s="3195" t="s">
        <v>2951</v>
      </c>
      <c r="D127" s="3195" t="s">
        <v>3058</v>
      </c>
      <c r="E127" s="3195" t="s">
        <v>3067</v>
      </c>
      <c r="F127" s="3195">
        <v>1767</v>
      </c>
      <c r="G127" s="3195" t="s">
        <v>3238</v>
      </c>
      <c r="H127" s="3195" t="s">
        <v>3248</v>
      </c>
      <c r="I127" s="3195">
        <v>320</v>
      </c>
      <c r="J127" s="3195">
        <v>2181.8200000000002</v>
      </c>
    </row>
    <row r="128" spans="2:10">
      <c r="B128" s="3195" t="s">
        <v>3253</v>
      </c>
      <c r="C128" s="3195" t="s">
        <v>2951</v>
      </c>
      <c r="D128" s="3195" t="s">
        <v>3066</v>
      </c>
      <c r="E128" s="3195" t="s">
        <v>3067</v>
      </c>
      <c r="F128" s="3195">
        <v>40943</v>
      </c>
      <c r="G128" s="3195" t="s">
        <v>3254</v>
      </c>
      <c r="H128" s="3195" t="s">
        <v>3255</v>
      </c>
      <c r="I128" s="3195">
        <v>408.67</v>
      </c>
      <c r="J128" s="3195">
        <v>5838.1</v>
      </c>
    </row>
    <row r="129" spans="2:10">
      <c r="B129" s="3195" t="s">
        <v>3256</v>
      </c>
      <c r="C129" s="3195" t="s">
        <v>2951</v>
      </c>
      <c r="D129" s="3195" t="s">
        <v>3066</v>
      </c>
      <c r="E129" s="3195" t="s">
        <v>3067</v>
      </c>
      <c r="F129" s="3195">
        <v>8198</v>
      </c>
      <c r="G129" s="3195" t="s">
        <v>3257</v>
      </c>
      <c r="H129" s="3195" t="s">
        <v>3255</v>
      </c>
      <c r="I129" s="3195">
        <v>122</v>
      </c>
      <c r="J129" s="3195">
        <v>1663.63</v>
      </c>
    </row>
    <row r="130" spans="2:10">
      <c r="B130" s="3195" t="s">
        <v>3258</v>
      </c>
      <c r="C130" s="3195" t="s">
        <v>2951</v>
      </c>
      <c r="D130" s="3195" t="s">
        <v>3058</v>
      </c>
      <c r="E130" s="3195" t="s">
        <v>3067</v>
      </c>
      <c r="F130" s="3195">
        <v>3363</v>
      </c>
      <c r="G130" s="3195" t="s">
        <v>3259</v>
      </c>
      <c r="H130" s="3195" t="s">
        <v>3260</v>
      </c>
      <c r="I130" s="3195">
        <v>320</v>
      </c>
      <c r="J130" s="3195">
        <v>2400</v>
      </c>
    </row>
    <row r="131" spans="2:10">
      <c r="B131" s="3195" t="s">
        <v>3261</v>
      </c>
      <c r="C131" s="3195" t="s">
        <v>2951</v>
      </c>
      <c r="D131" s="3195" t="s">
        <v>3058</v>
      </c>
      <c r="E131" s="3195" t="s">
        <v>3067</v>
      </c>
      <c r="F131" s="3195">
        <v>1752</v>
      </c>
      <c r="G131" s="3195" t="s">
        <v>3262</v>
      </c>
      <c r="H131" s="3195" t="s">
        <v>3260</v>
      </c>
      <c r="I131" s="3195">
        <v>320</v>
      </c>
      <c r="J131" s="3195">
        <v>2400</v>
      </c>
    </row>
    <row r="132" spans="2:10">
      <c r="B132" s="3195" t="s">
        <v>3263</v>
      </c>
      <c r="C132" s="3195" t="s">
        <v>2951</v>
      </c>
      <c r="D132" s="3195" t="s">
        <v>3058</v>
      </c>
      <c r="E132" s="3195" t="s">
        <v>3067</v>
      </c>
      <c r="F132" s="3195">
        <v>1515</v>
      </c>
      <c r="G132" s="3195" t="s">
        <v>3259</v>
      </c>
      <c r="H132" s="3195" t="s">
        <v>3260</v>
      </c>
      <c r="I132" s="3195">
        <v>320</v>
      </c>
      <c r="J132" s="3195">
        <v>2400</v>
      </c>
    </row>
    <row r="133" spans="2:10">
      <c r="B133" s="3195" t="s">
        <v>3264</v>
      </c>
      <c r="C133" s="3195" t="s">
        <v>2951</v>
      </c>
      <c r="D133" s="3195" t="s">
        <v>3058</v>
      </c>
      <c r="E133" s="3195" t="s">
        <v>3067</v>
      </c>
      <c r="F133" s="3195">
        <v>9043</v>
      </c>
      <c r="G133" s="3195" t="s">
        <v>3259</v>
      </c>
      <c r="H133" s="3195" t="s">
        <v>3260</v>
      </c>
      <c r="I133" s="3195">
        <v>320</v>
      </c>
      <c r="J133" s="3195">
        <v>2400</v>
      </c>
    </row>
    <row r="134" spans="2:10">
      <c r="B134" s="3195" t="s">
        <v>3265</v>
      </c>
      <c r="C134" s="3195" t="s">
        <v>2951</v>
      </c>
      <c r="D134" s="3195" t="s">
        <v>3058</v>
      </c>
      <c r="E134" s="3195" t="s">
        <v>3067</v>
      </c>
      <c r="F134" s="3195">
        <v>682</v>
      </c>
      <c r="G134" s="3195" t="s">
        <v>3266</v>
      </c>
      <c r="H134" s="3195" t="s">
        <v>3267</v>
      </c>
      <c r="I134" s="3195">
        <v>299.99</v>
      </c>
      <c r="J134" s="3195">
        <v>2500</v>
      </c>
    </row>
    <row r="135" spans="2:10">
      <c r="B135" s="3195" t="s">
        <v>3268</v>
      </c>
      <c r="C135" s="3195" t="s">
        <v>2951</v>
      </c>
      <c r="D135" s="3195" t="s">
        <v>3058</v>
      </c>
      <c r="E135" s="3195" t="s">
        <v>3067</v>
      </c>
      <c r="F135" s="3195">
        <v>2136</v>
      </c>
      <c r="G135" s="3195" t="s">
        <v>3269</v>
      </c>
      <c r="H135" s="3195" t="s">
        <v>3267</v>
      </c>
      <c r="I135" s="3195">
        <v>266.66000000000003</v>
      </c>
      <c r="J135" s="3195">
        <v>2666.67</v>
      </c>
    </row>
    <row r="136" spans="2:10">
      <c r="B136" s="3195" t="s">
        <v>3258</v>
      </c>
      <c r="C136" s="3195" t="s">
        <v>2951</v>
      </c>
      <c r="D136" s="3195" t="s">
        <v>3058</v>
      </c>
      <c r="E136" s="3195" t="s">
        <v>3067</v>
      </c>
      <c r="F136" s="3195">
        <v>2954</v>
      </c>
      <c r="G136" s="3195" t="s">
        <v>3266</v>
      </c>
      <c r="H136" s="3195" t="s">
        <v>3267</v>
      </c>
      <c r="I136" s="3195">
        <v>300</v>
      </c>
      <c r="J136" s="3195">
        <v>2500</v>
      </c>
    </row>
    <row r="137" spans="2:10">
      <c r="B137" s="3195" t="s">
        <v>3270</v>
      </c>
      <c r="C137" s="3195" t="s">
        <v>2951</v>
      </c>
      <c r="D137" s="3195" t="s">
        <v>3058</v>
      </c>
      <c r="E137" s="3195" t="s">
        <v>3067</v>
      </c>
      <c r="F137" s="3195">
        <v>1473</v>
      </c>
      <c r="G137" s="3195" t="s">
        <v>3266</v>
      </c>
      <c r="H137" s="3195" t="s">
        <v>3267</v>
      </c>
      <c r="I137" s="3195">
        <v>300</v>
      </c>
      <c r="J137" s="3195">
        <v>2500</v>
      </c>
    </row>
    <row r="138" spans="2:10">
      <c r="B138" s="3195" t="s">
        <v>3271</v>
      </c>
      <c r="C138" s="3195" t="s">
        <v>2951</v>
      </c>
      <c r="D138" s="3195" t="s">
        <v>3058</v>
      </c>
      <c r="E138" s="3195" t="s">
        <v>3067</v>
      </c>
      <c r="F138" s="3195">
        <v>46409</v>
      </c>
      <c r="G138" s="3195" t="s">
        <v>3272</v>
      </c>
      <c r="H138" s="3195" t="s">
        <v>3273</v>
      </c>
      <c r="I138" s="3195">
        <v>133.33000000000001</v>
      </c>
      <c r="J138" s="3195">
        <v>1428.56</v>
      </c>
    </row>
    <row r="139" spans="2:10">
      <c r="B139" s="3195" t="s">
        <v>3274</v>
      </c>
      <c r="C139" s="3195" t="s">
        <v>2951</v>
      </c>
      <c r="D139" s="3195" t="s">
        <v>3058</v>
      </c>
      <c r="E139" s="3195" t="s">
        <v>3063</v>
      </c>
      <c r="F139" s="3195">
        <v>155496.1</v>
      </c>
      <c r="G139" s="3195" t="s">
        <v>3275</v>
      </c>
      <c r="H139" s="3195" t="s">
        <v>3273</v>
      </c>
      <c r="I139" s="3195">
        <v>202.67</v>
      </c>
      <c r="J139" s="3195">
        <v>1709.78</v>
      </c>
    </row>
    <row r="140" spans="2:10">
      <c r="B140" s="3195" t="s">
        <v>3271</v>
      </c>
      <c r="C140" s="3195" t="s">
        <v>2951</v>
      </c>
      <c r="D140" s="3195" t="s">
        <v>3058</v>
      </c>
      <c r="E140" s="3195" t="s">
        <v>3067</v>
      </c>
      <c r="F140" s="3195">
        <v>46529</v>
      </c>
      <c r="G140" s="3195" t="s">
        <v>3272</v>
      </c>
      <c r="H140" s="3195" t="s">
        <v>3273</v>
      </c>
      <c r="I140" s="3195">
        <v>133.33000000000001</v>
      </c>
      <c r="J140" s="3195">
        <v>1428.56</v>
      </c>
    </row>
    <row r="141" spans="2:10">
      <c r="B141" s="3195" t="s">
        <v>3276</v>
      </c>
      <c r="C141" s="3195" t="s">
        <v>2951</v>
      </c>
      <c r="D141" s="3195" t="s">
        <v>3058</v>
      </c>
      <c r="E141" s="3195" t="s">
        <v>3067</v>
      </c>
      <c r="F141" s="3195">
        <v>48325</v>
      </c>
      <c r="G141" s="3195" t="s">
        <v>3277</v>
      </c>
      <c r="H141" s="3195" t="s">
        <v>3278</v>
      </c>
      <c r="I141" s="3195">
        <v>280</v>
      </c>
      <c r="J141" s="3195">
        <v>3360</v>
      </c>
    </row>
    <row r="142" spans="2:10">
      <c r="B142" s="3195" t="s">
        <v>3279</v>
      </c>
      <c r="C142" s="3195" t="s">
        <v>2951</v>
      </c>
      <c r="D142" s="3195" t="s">
        <v>3058</v>
      </c>
      <c r="E142" s="3195" t="s">
        <v>3067</v>
      </c>
      <c r="F142" s="3195">
        <v>40549</v>
      </c>
      <c r="G142" s="3195" t="s">
        <v>3280</v>
      </c>
      <c r="H142" s="3195" t="s">
        <v>3281</v>
      </c>
      <c r="I142" s="3195">
        <v>356.67</v>
      </c>
      <c r="J142" s="3195">
        <v>1783.32</v>
      </c>
    </row>
    <row r="143" spans="2:10">
      <c r="B143" s="3195" t="s">
        <v>3282</v>
      </c>
      <c r="C143" s="3195" t="s">
        <v>2951</v>
      </c>
      <c r="D143" s="3195" t="s">
        <v>3066</v>
      </c>
      <c r="E143" s="3195" t="s">
        <v>3067</v>
      </c>
      <c r="F143" s="3195">
        <v>37897</v>
      </c>
      <c r="G143" s="3195" t="s">
        <v>3283</v>
      </c>
      <c r="H143" s="3195" t="s">
        <v>3281</v>
      </c>
      <c r="I143" s="3195">
        <v>306.67</v>
      </c>
      <c r="J143" s="3195">
        <v>1840</v>
      </c>
    </row>
    <row r="144" spans="2:10">
      <c r="B144" s="3195" t="s">
        <v>3284</v>
      </c>
      <c r="C144" s="3195" t="s">
        <v>2951</v>
      </c>
      <c r="D144" s="3195" t="s">
        <v>3066</v>
      </c>
      <c r="E144" s="3195" t="s">
        <v>3067</v>
      </c>
      <c r="F144" s="3195">
        <v>18461</v>
      </c>
      <c r="G144" s="3195" t="s">
        <v>3283</v>
      </c>
      <c r="H144" s="3195" t="s">
        <v>3281</v>
      </c>
      <c r="I144" s="3195">
        <v>333.33</v>
      </c>
      <c r="J144" s="3195">
        <v>2000</v>
      </c>
    </row>
    <row r="145" spans="2:10">
      <c r="B145" s="3195" t="s">
        <v>3285</v>
      </c>
      <c r="C145" s="3195" t="s">
        <v>2951</v>
      </c>
      <c r="D145" s="3195" t="s">
        <v>3066</v>
      </c>
      <c r="E145" s="3195" t="s">
        <v>3067</v>
      </c>
      <c r="F145" s="3195">
        <v>17716</v>
      </c>
      <c r="G145" s="3195" t="s">
        <v>3283</v>
      </c>
      <c r="H145" s="3195" t="s">
        <v>3281</v>
      </c>
      <c r="I145" s="3195">
        <v>333.33</v>
      </c>
      <c r="J145" s="3195">
        <v>2000</v>
      </c>
    </row>
    <row r="146" spans="2:10">
      <c r="B146" s="3195" t="s">
        <v>3286</v>
      </c>
      <c r="C146" s="3195" t="s">
        <v>2951</v>
      </c>
      <c r="D146" s="3195" t="s">
        <v>3058</v>
      </c>
      <c r="E146" s="3195" t="s">
        <v>3067</v>
      </c>
      <c r="F146" s="3195">
        <v>14190</v>
      </c>
      <c r="G146" s="3195" t="s">
        <v>3287</v>
      </c>
      <c r="H146" s="3195" t="s">
        <v>3288</v>
      </c>
      <c r="I146" s="3195">
        <v>213.33</v>
      </c>
      <c r="J146" s="3195">
        <v>2133.3200000000002</v>
      </c>
    </row>
    <row r="147" spans="2:10">
      <c r="B147" s="3195" t="s">
        <v>3289</v>
      </c>
      <c r="C147" s="3195" t="s">
        <v>2951</v>
      </c>
      <c r="D147" s="3195" t="s">
        <v>3066</v>
      </c>
      <c r="E147" s="3195" t="s">
        <v>3067</v>
      </c>
      <c r="F147" s="3195">
        <v>69955</v>
      </c>
      <c r="G147" s="3195" t="s">
        <v>3280</v>
      </c>
      <c r="H147" s="3195" t="s">
        <v>3288</v>
      </c>
      <c r="I147" s="3195">
        <v>356.67</v>
      </c>
      <c r="J147" s="3195">
        <v>1783.32</v>
      </c>
    </row>
    <row r="148" spans="2:10">
      <c r="B148" s="3195" t="s">
        <v>3290</v>
      </c>
      <c r="C148" s="3195" t="s">
        <v>2951</v>
      </c>
      <c r="D148" s="3195" t="s">
        <v>3066</v>
      </c>
      <c r="E148" s="3195" t="s">
        <v>3067</v>
      </c>
      <c r="F148" s="3195">
        <v>33944</v>
      </c>
      <c r="G148" s="3195" t="s">
        <v>3280</v>
      </c>
      <c r="H148" s="3195" t="s">
        <v>3288</v>
      </c>
      <c r="I148" s="3195">
        <v>356.67</v>
      </c>
      <c r="J148" s="3195">
        <v>1783.32</v>
      </c>
    </row>
    <row r="149" spans="2:10">
      <c r="B149" s="3195" t="s">
        <v>3291</v>
      </c>
      <c r="C149" s="3195" t="s">
        <v>2951</v>
      </c>
      <c r="D149" s="3195" t="s">
        <v>3058</v>
      </c>
      <c r="E149" s="3195" t="s">
        <v>3067</v>
      </c>
      <c r="F149" s="3195">
        <v>56457</v>
      </c>
      <c r="G149" s="3195" t="s">
        <v>3283</v>
      </c>
      <c r="H149" s="3195" t="s">
        <v>3292</v>
      </c>
      <c r="I149" s="3195">
        <v>306.67</v>
      </c>
      <c r="J149" s="3195">
        <v>1840</v>
      </c>
    </row>
    <row r="150" spans="2:10">
      <c r="B150" s="3195" t="s">
        <v>3293</v>
      </c>
      <c r="C150" s="3195" t="s">
        <v>2951</v>
      </c>
      <c r="D150" s="3195" t="s">
        <v>3058</v>
      </c>
      <c r="E150" s="3195" t="s">
        <v>3067</v>
      </c>
      <c r="F150" s="3195">
        <v>39422</v>
      </c>
      <c r="G150" s="3195" t="s">
        <v>3283</v>
      </c>
      <c r="H150" s="3195" t="s">
        <v>3292</v>
      </c>
      <c r="I150" s="3195">
        <v>306.67</v>
      </c>
      <c r="J150" s="3195">
        <v>1840</v>
      </c>
    </row>
    <row r="151" spans="2:10">
      <c r="B151" s="3195" t="s">
        <v>3294</v>
      </c>
      <c r="C151" s="3195" t="s">
        <v>2951</v>
      </c>
      <c r="D151" s="3195" t="s">
        <v>3058</v>
      </c>
      <c r="E151" s="3195" t="s">
        <v>3067</v>
      </c>
      <c r="F151" s="3195">
        <v>24852</v>
      </c>
      <c r="G151" s="3195" t="s">
        <v>3283</v>
      </c>
      <c r="H151" s="3195" t="s">
        <v>3292</v>
      </c>
      <c r="I151" s="3195">
        <v>306.67</v>
      </c>
      <c r="J151" s="3195">
        <v>1840</v>
      </c>
    </row>
    <row r="152" spans="2:10">
      <c r="B152" s="3195" t="s">
        <v>3295</v>
      </c>
      <c r="C152" s="3195" t="s">
        <v>2951</v>
      </c>
      <c r="D152" s="3195" t="s">
        <v>3058</v>
      </c>
      <c r="E152" s="3195" t="s">
        <v>3067</v>
      </c>
      <c r="F152" s="3195">
        <v>33894</v>
      </c>
      <c r="G152" s="3195" t="s">
        <v>3283</v>
      </c>
      <c r="H152" s="3195" t="s">
        <v>3296</v>
      </c>
      <c r="I152" s="3195">
        <v>306.67</v>
      </c>
      <c r="J152" s="3195">
        <v>1840</v>
      </c>
    </row>
  </sheetData>
  <autoFilter ref="B2:J152"/>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J103"/>
  <sheetViews>
    <sheetView workbookViewId="0">
      <selection activeCell="F111" sqref="F111"/>
    </sheetView>
  </sheetViews>
  <sheetFormatPr defaultRowHeight="13.5"/>
  <cols>
    <col min="2" max="2" width="13.875" customWidth="1"/>
    <col min="4" max="4" width="17.125" customWidth="1"/>
    <col min="7" max="7" width="17.25" customWidth="1"/>
    <col min="8" max="8" width="12" customWidth="1"/>
    <col min="9" max="9" width="11.875" customWidth="1"/>
    <col min="10" max="10" width="15.25" customWidth="1"/>
  </cols>
  <sheetData>
    <row r="3" spans="2:10">
      <c r="B3" s="3196" t="s">
        <v>3049</v>
      </c>
      <c r="C3" s="3196" t="s">
        <v>3050</v>
      </c>
      <c r="D3" s="3196" t="s">
        <v>3051</v>
      </c>
      <c r="E3" s="3196" t="s">
        <v>3052</v>
      </c>
      <c r="F3" s="3196" t="s">
        <v>3053</v>
      </c>
      <c r="G3" s="3196" t="s">
        <v>1995</v>
      </c>
      <c r="H3" s="3196" t="s">
        <v>3054</v>
      </c>
      <c r="I3" s="3196" t="s">
        <v>3055</v>
      </c>
      <c r="J3" s="3196" t="s">
        <v>3056</v>
      </c>
    </row>
    <row r="4" spans="2:10" hidden="1">
      <c r="B4" s="3196" t="s">
        <v>3297</v>
      </c>
      <c r="C4" s="3196" t="s">
        <v>2951</v>
      </c>
      <c r="D4" s="3196" t="s">
        <v>3298</v>
      </c>
      <c r="E4" s="3196" t="s">
        <v>3067</v>
      </c>
      <c r="F4" s="3196">
        <v>8049</v>
      </c>
      <c r="G4" s="3196" t="s">
        <v>3299</v>
      </c>
      <c r="H4" s="3196" t="s">
        <v>3069</v>
      </c>
      <c r="I4" s="3196">
        <v>200</v>
      </c>
      <c r="J4" s="3196">
        <v>1000</v>
      </c>
    </row>
    <row r="5" spans="2:10" hidden="1">
      <c r="B5" s="3196" t="s">
        <v>3300</v>
      </c>
      <c r="C5" s="3196" t="s">
        <v>2951</v>
      </c>
      <c r="D5" s="3196" t="s">
        <v>3298</v>
      </c>
      <c r="E5" s="3196" t="s">
        <v>3067</v>
      </c>
      <c r="F5" s="3196">
        <v>43672</v>
      </c>
      <c r="G5" s="3196" t="s">
        <v>3301</v>
      </c>
      <c r="H5" s="3196" t="s">
        <v>3090</v>
      </c>
      <c r="I5" s="3196">
        <v>45</v>
      </c>
      <c r="J5" s="3196">
        <v>562.5</v>
      </c>
    </row>
    <row r="6" spans="2:10" hidden="1">
      <c r="B6" s="3196" t="s">
        <v>3302</v>
      </c>
      <c r="C6" s="3196" t="s">
        <v>2951</v>
      </c>
      <c r="D6" s="3196" t="s">
        <v>3298</v>
      </c>
      <c r="E6" s="3196" t="s">
        <v>3067</v>
      </c>
      <c r="F6" s="3196">
        <v>2746</v>
      </c>
      <c r="G6" s="3196" t="s">
        <v>3303</v>
      </c>
      <c r="H6" s="3196" t="s">
        <v>3304</v>
      </c>
      <c r="I6" s="3196">
        <v>166.67</v>
      </c>
      <c r="J6" s="3196">
        <v>793.64</v>
      </c>
    </row>
    <row r="7" spans="2:10" hidden="1">
      <c r="B7" s="3196" t="s">
        <v>3305</v>
      </c>
      <c r="C7" s="3196" t="s">
        <v>2951</v>
      </c>
      <c r="D7" s="3196" t="s">
        <v>3298</v>
      </c>
      <c r="E7" s="3196" t="s">
        <v>3067</v>
      </c>
      <c r="F7" s="3196">
        <v>2832</v>
      </c>
      <c r="G7" s="3196" t="s">
        <v>3306</v>
      </c>
      <c r="H7" s="3196" t="s">
        <v>3108</v>
      </c>
      <c r="I7" s="3196">
        <v>200</v>
      </c>
      <c r="J7" s="3196">
        <v>10000</v>
      </c>
    </row>
    <row r="8" spans="2:10" hidden="1">
      <c r="B8" s="3196" t="s">
        <v>3307</v>
      </c>
      <c r="C8" s="3196" t="s">
        <v>2951</v>
      </c>
      <c r="D8" s="3196" t="s">
        <v>3298</v>
      </c>
      <c r="E8" s="3196" t="s">
        <v>3067</v>
      </c>
      <c r="F8" s="3196">
        <v>7867</v>
      </c>
      <c r="G8" s="3196" t="s">
        <v>3308</v>
      </c>
      <c r="H8" s="3196" t="s">
        <v>3309</v>
      </c>
      <c r="I8" s="3196">
        <v>63</v>
      </c>
      <c r="J8" s="3196">
        <v>787.5</v>
      </c>
    </row>
    <row r="9" spans="2:10" hidden="1">
      <c r="B9" s="3196" t="s">
        <v>3310</v>
      </c>
      <c r="C9" s="3196" t="s">
        <v>2951</v>
      </c>
      <c r="D9" s="3196" t="s">
        <v>3298</v>
      </c>
      <c r="E9" s="3196" t="s">
        <v>3067</v>
      </c>
      <c r="F9" s="3196">
        <v>5856</v>
      </c>
      <c r="G9" s="3196" t="s">
        <v>3311</v>
      </c>
      <c r="H9" s="3196" t="s">
        <v>3309</v>
      </c>
      <c r="I9" s="3196">
        <v>62</v>
      </c>
      <c r="J9" s="3196">
        <v>1550</v>
      </c>
    </row>
    <row r="10" spans="2:10" hidden="1">
      <c r="B10" s="3196" t="s">
        <v>3312</v>
      </c>
      <c r="C10" s="3196" t="s">
        <v>2951</v>
      </c>
      <c r="D10" s="3196" t="s">
        <v>3298</v>
      </c>
      <c r="E10" s="3196" t="s">
        <v>3063</v>
      </c>
      <c r="F10" s="3196">
        <v>13430.41</v>
      </c>
      <c r="G10" s="3196" t="s">
        <v>3313</v>
      </c>
      <c r="H10" s="3196" t="s">
        <v>3153</v>
      </c>
      <c r="I10" s="3196">
        <v>106</v>
      </c>
      <c r="J10" s="3196">
        <v>961.88</v>
      </c>
    </row>
    <row r="11" spans="2:10" hidden="1">
      <c r="B11" s="3196" t="s">
        <v>3314</v>
      </c>
      <c r="C11" s="3196" t="s">
        <v>2951</v>
      </c>
      <c r="D11" s="3196" t="s">
        <v>3298</v>
      </c>
      <c r="E11" s="3196" t="s">
        <v>3067</v>
      </c>
      <c r="F11" s="3196">
        <v>1654</v>
      </c>
      <c r="G11" s="3196" t="s">
        <v>3315</v>
      </c>
      <c r="H11" s="3196" t="s">
        <v>3316</v>
      </c>
      <c r="I11" s="3196">
        <v>50.67</v>
      </c>
      <c r="J11" s="3196">
        <v>215.28</v>
      </c>
    </row>
    <row r="12" spans="2:10" hidden="1">
      <c r="B12" s="3196" t="s">
        <v>3317</v>
      </c>
      <c r="C12" s="3196" t="s">
        <v>2951</v>
      </c>
      <c r="D12" s="3196" t="s">
        <v>3298</v>
      </c>
      <c r="E12" s="3196" t="s">
        <v>3063</v>
      </c>
      <c r="F12" s="3196">
        <v>21573.9</v>
      </c>
      <c r="G12" s="3196" t="s">
        <v>3318</v>
      </c>
      <c r="H12" s="3196" t="s">
        <v>3166</v>
      </c>
      <c r="I12" s="3196">
        <v>148</v>
      </c>
      <c r="J12" s="3196">
        <v>903.53</v>
      </c>
    </row>
    <row r="13" spans="2:10" hidden="1">
      <c r="B13" s="3196" t="s">
        <v>3319</v>
      </c>
      <c r="C13" s="3196" t="s">
        <v>2951</v>
      </c>
      <c r="D13" s="3196" t="s">
        <v>3298</v>
      </c>
      <c r="E13" s="3196" t="s">
        <v>3063</v>
      </c>
      <c r="F13" s="3196">
        <v>5676</v>
      </c>
      <c r="G13" s="3196" t="s">
        <v>3320</v>
      </c>
      <c r="H13" s="3196" t="s">
        <v>3321</v>
      </c>
      <c r="I13" s="3196">
        <v>132</v>
      </c>
      <c r="J13" s="3196">
        <v>720.52</v>
      </c>
    </row>
    <row r="14" spans="2:10" hidden="1">
      <c r="B14" s="3196" t="s">
        <v>3322</v>
      </c>
      <c r="C14" s="3196" t="s">
        <v>2951</v>
      </c>
      <c r="D14" s="3196" t="s">
        <v>3298</v>
      </c>
      <c r="E14" s="3196" t="s">
        <v>3063</v>
      </c>
      <c r="F14" s="3196">
        <v>5647.06</v>
      </c>
      <c r="G14" s="3196" t="s">
        <v>3323</v>
      </c>
      <c r="H14" s="3196" t="s">
        <v>3321</v>
      </c>
      <c r="I14" s="3196">
        <v>134</v>
      </c>
      <c r="J14" s="3196">
        <v>737.07</v>
      </c>
    </row>
    <row r="15" spans="2:10" hidden="1">
      <c r="B15" s="3196" t="s">
        <v>3167</v>
      </c>
      <c r="C15" s="3196" t="s">
        <v>2951</v>
      </c>
      <c r="D15" s="3196" t="s">
        <v>3298</v>
      </c>
      <c r="E15" s="3196" t="s">
        <v>3067</v>
      </c>
      <c r="F15" s="3196">
        <v>4743</v>
      </c>
      <c r="G15" s="3196" t="s">
        <v>3324</v>
      </c>
      <c r="H15" s="3196" t="s">
        <v>3169</v>
      </c>
      <c r="I15" s="3196">
        <v>75</v>
      </c>
      <c r="J15" s="3196">
        <v>703.12</v>
      </c>
    </row>
    <row r="16" spans="2:10">
      <c r="B16" s="3196" t="s">
        <v>3325</v>
      </c>
      <c r="C16" s="3196" t="s">
        <v>2951</v>
      </c>
      <c r="D16" s="3196" t="s">
        <v>3298</v>
      </c>
      <c r="E16" s="3196" t="s">
        <v>3059</v>
      </c>
      <c r="F16" s="3196">
        <v>20110.080000000002</v>
      </c>
      <c r="G16" s="3196" t="s">
        <v>3326</v>
      </c>
      <c r="H16" s="3196" t="s">
        <v>3327</v>
      </c>
      <c r="I16" s="3196">
        <v>221.33</v>
      </c>
      <c r="J16" s="3196">
        <v>2411.0300000000002</v>
      </c>
    </row>
    <row r="17" spans="2:10">
      <c r="B17" s="3196" t="s">
        <v>3328</v>
      </c>
      <c r="C17" s="3196" t="s">
        <v>2951</v>
      </c>
      <c r="D17" s="3196" t="s">
        <v>3298</v>
      </c>
      <c r="E17" s="3196" t="s">
        <v>3059</v>
      </c>
      <c r="F17" s="3196">
        <v>11537.44</v>
      </c>
      <c r="G17" s="3196" t="s">
        <v>3329</v>
      </c>
      <c r="H17" s="3196" t="s">
        <v>3327</v>
      </c>
      <c r="I17" s="3196">
        <v>41.33</v>
      </c>
      <c r="J17" s="3196">
        <v>423.2</v>
      </c>
    </row>
    <row r="18" spans="2:10">
      <c r="B18" s="3196" t="s">
        <v>3330</v>
      </c>
      <c r="C18" s="3196" t="s">
        <v>2951</v>
      </c>
      <c r="D18" s="3196" t="s">
        <v>3298</v>
      </c>
      <c r="E18" s="3196" t="s">
        <v>3059</v>
      </c>
      <c r="F18" s="3196">
        <v>3044.38</v>
      </c>
      <c r="G18" s="3196" t="s">
        <v>3331</v>
      </c>
      <c r="H18" s="3196" t="s">
        <v>3332</v>
      </c>
      <c r="I18" s="3196">
        <v>164.67</v>
      </c>
      <c r="J18" s="3196">
        <v>24949.72</v>
      </c>
    </row>
    <row r="19" spans="2:10" hidden="1">
      <c r="B19" s="3196" t="s">
        <v>3333</v>
      </c>
      <c r="C19" s="3196" t="s">
        <v>2951</v>
      </c>
      <c r="D19" s="3196" t="s">
        <v>3298</v>
      </c>
      <c r="E19" s="3196" t="s">
        <v>3074</v>
      </c>
      <c r="F19" s="3196">
        <v>3128.63</v>
      </c>
      <c r="G19" s="3196" t="s">
        <v>3334</v>
      </c>
      <c r="H19" s="3196" t="s">
        <v>3332</v>
      </c>
      <c r="I19" s="3196">
        <v>122</v>
      </c>
      <c r="J19" s="3196">
        <v>5718.77</v>
      </c>
    </row>
    <row r="20" spans="2:10">
      <c r="B20" s="3196" t="s">
        <v>3335</v>
      </c>
      <c r="C20" s="3196" t="s">
        <v>2951</v>
      </c>
      <c r="D20" s="3196" t="s">
        <v>3298</v>
      </c>
      <c r="E20" s="3196" t="s">
        <v>3059</v>
      </c>
      <c r="F20" s="3196">
        <v>3076.54</v>
      </c>
      <c r="G20" s="3196" t="s">
        <v>3336</v>
      </c>
      <c r="H20" s="3196" t="s">
        <v>3332</v>
      </c>
      <c r="I20" s="3196">
        <v>180.67</v>
      </c>
      <c r="J20" s="3196">
        <v>22583.56</v>
      </c>
    </row>
    <row r="21" spans="2:10" hidden="1">
      <c r="B21" s="3196" t="s">
        <v>3337</v>
      </c>
      <c r="C21" s="3196" t="s">
        <v>2951</v>
      </c>
      <c r="D21" s="3196" t="s">
        <v>3298</v>
      </c>
      <c r="E21" s="3196" t="s">
        <v>3074</v>
      </c>
      <c r="F21" s="3196">
        <v>3319.79</v>
      </c>
      <c r="G21" s="3196" t="s">
        <v>3338</v>
      </c>
      <c r="H21" s="3196" t="s">
        <v>3332</v>
      </c>
      <c r="I21" s="3196">
        <v>124.66</v>
      </c>
      <c r="J21" s="3196">
        <v>7791.64</v>
      </c>
    </row>
    <row r="22" spans="2:10" hidden="1">
      <c r="B22" s="3196" t="s">
        <v>3339</v>
      </c>
      <c r="C22" s="3196" t="s">
        <v>2951</v>
      </c>
      <c r="D22" s="3196" t="s">
        <v>3298</v>
      </c>
      <c r="E22" s="3196" t="s">
        <v>3063</v>
      </c>
      <c r="F22" s="3196">
        <v>12758.6</v>
      </c>
      <c r="G22" s="3196" t="s">
        <v>3340</v>
      </c>
      <c r="H22" s="3196" t="s">
        <v>3341</v>
      </c>
      <c r="I22" s="3196">
        <v>137.33000000000001</v>
      </c>
      <c r="J22" s="3196">
        <v>720.02</v>
      </c>
    </row>
    <row r="23" spans="2:10" hidden="1">
      <c r="B23" s="3196" t="s">
        <v>3342</v>
      </c>
      <c r="C23" s="3196" t="s">
        <v>2951</v>
      </c>
      <c r="D23" s="3196" t="s">
        <v>3298</v>
      </c>
      <c r="E23" s="3196" t="s">
        <v>3067</v>
      </c>
      <c r="F23" s="3196">
        <v>1787</v>
      </c>
      <c r="G23" s="3196" t="s">
        <v>3306</v>
      </c>
      <c r="H23" s="3196" t="s">
        <v>3343</v>
      </c>
      <c r="I23" s="3196">
        <v>200</v>
      </c>
      <c r="J23" s="3196">
        <v>10000</v>
      </c>
    </row>
    <row r="24" spans="2:10" hidden="1">
      <c r="B24" s="3196" t="s">
        <v>3344</v>
      </c>
      <c r="C24" s="3196" t="s">
        <v>2951</v>
      </c>
      <c r="D24" s="3196" t="s">
        <v>3298</v>
      </c>
      <c r="E24" s="3196" t="s">
        <v>3067</v>
      </c>
      <c r="F24" s="3196">
        <v>3503</v>
      </c>
      <c r="G24" s="3196" t="s">
        <v>3345</v>
      </c>
      <c r="H24" s="3196" t="s">
        <v>3343</v>
      </c>
      <c r="I24" s="3196">
        <v>200</v>
      </c>
      <c r="J24" s="3196">
        <v>7500</v>
      </c>
    </row>
    <row r="25" spans="2:10" hidden="1">
      <c r="B25" s="3196" t="s">
        <v>3346</v>
      </c>
      <c r="C25" s="3196" t="s">
        <v>2951</v>
      </c>
      <c r="D25" s="3196" t="s">
        <v>3298</v>
      </c>
      <c r="E25" s="3196" t="s">
        <v>3067</v>
      </c>
      <c r="F25" s="3196">
        <v>1977</v>
      </c>
      <c r="G25" s="3196" t="s">
        <v>3347</v>
      </c>
      <c r="H25" s="3196" t="s">
        <v>3343</v>
      </c>
      <c r="I25" s="3196">
        <v>200</v>
      </c>
      <c r="J25" s="3196">
        <v>8571.43</v>
      </c>
    </row>
    <row r="26" spans="2:10" hidden="1">
      <c r="B26" s="3196" t="s">
        <v>3348</v>
      </c>
      <c r="C26" s="3196" t="s">
        <v>2951</v>
      </c>
      <c r="D26" s="3196" t="s">
        <v>3298</v>
      </c>
      <c r="E26" s="3196" t="s">
        <v>3067</v>
      </c>
      <c r="F26" s="3196">
        <v>2746</v>
      </c>
      <c r="G26" s="3196" t="s">
        <v>3349</v>
      </c>
      <c r="H26" s="3196" t="s">
        <v>3343</v>
      </c>
      <c r="I26" s="3196">
        <v>200</v>
      </c>
      <c r="J26" s="3196">
        <v>5000</v>
      </c>
    </row>
    <row r="27" spans="2:10" hidden="1">
      <c r="B27" s="3196" t="s">
        <v>3350</v>
      </c>
      <c r="C27" s="3196" t="s">
        <v>2951</v>
      </c>
      <c r="D27" s="3196" t="s">
        <v>3298</v>
      </c>
      <c r="E27" s="3196" t="s">
        <v>3067</v>
      </c>
      <c r="F27" s="3196">
        <v>5155</v>
      </c>
      <c r="G27" s="3196" t="s">
        <v>3351</v>
      </c>
      <c r="H27" s="3196" t="s">
        <v>3343</v>
      </c>
      <c r="I27" s="3196">
        <v>200</v>
      </c>
      <c r="J27" s="3196">
        <v>7500</v>
      </c>
    </row>
    <row r="28" spans="2:10" hidden="1">
      <c r="B28" s="3196" t="s">
        <v>3352</v>
      </c>
      <c r="C28" s="3196" t="s">
        <v>2951</v>
      </c>
      <c r="D28" s="3196" t="s">
        <v>3298</v>
      </c>
      <c r="E28" s="3196" t="s">
        <v>3067</v>
      </c>
      <c r="F28" s="3196">
        <v>13167</v>
      </c>
      <c r="G28" s="3196" t="s">
        <v>3353</v>
      </c>
      <c r="H28" s="3196" t="s">
        <v>3196</v>
      </c>
      <c r="I28" s="3196">
        <v>155</v>
      </c>
      <c r="J28" s="3196">
        <v>930</v>
      </c>
    </row>
    <row r="29" spans="2:10" hidden="1">
      <c r="B29" s="3196" t="s">
        <v>3354</v>
      </c>
      <c r="C29" s="3196" t="s">
        <v>2951</v>
      </c>
      <c r="D29" s="3196" t="s">
        <v>3298</v>
      </c>
      <c r="E29" s="3196" t="s">
        <v>3067</v>
      </c>
      <c r="F29" s="3196">
        <v>2375</v>
      </c>
      <c r="G29" s="3196" t="s">
        <v>3355</v>
      </c>
      <c r="H29" s="3196" t="s">
        <v>3196</v>
      </c>
      <c r="I29" s="3196">
        <v>196.67</v>
      </c>
      <c r="J29" s="3196">
        <v>2107.15</v>
      </c>
    </row>
    <row r="30" spans="2:10" hidden="1">
      <c r="B30" s="3196" t="s">
        <v>3356</v>
      </c>
      <c r="C30" s="3196" t="s">
        <v>2951</v>
      </c>
      <c r="D30" s="3196" t="s">
        <v>3298</v>
      </c>
      <c r="E30" s="3196" t="s">
        <v>3063</v>
      </c>
      <c r="F30" s="3196">
        <v>3322.93</v>
      </c>
      <c r="G30" s="3196" t="s">
        <v>3357</v>
      </c>
      <c r="H30" s="3196" t="s">
        <v>3358</v>
      </c>
      <c r="I30" s="3196">
        <v>132</v>
      </c>
      <c r="J30" s="3196">
        <v>5351.36</v>
      </c>
    </row>
    <row r="31" spans="2:10" hidden="1">
      <c r="B31" s="3196" t="s">
        <v>3359</v>
      </c>
      <c r="C31" s="3196" t="s">
        <v>2951</v>
      </c>
      <c r="D31" s="3196" t="s">
        <v>3298</v>
      </c>
      <c r="E31" s="3196" t="s">
        <v>3067</v>
      </c>
      <c r="F31" s="3196">
        <v>16923</v>
      </c>
      <c r="G31" s="3196" t="s">
        <v>3353</v>
      </c>
      <c r="H31" s="3196" t="s">
        <v>3360</v>
      </c>
      <c r="I31" s="3196">
        <v>152</v>
      </c>
      <c r="J31" s="3196">
        <v>912</v>
      </c>
    </row>
    <row r="32" spans="2:10" hidden="1">
      <c r="B32" s="3196" t="s">
        <v>3361</v>
      </c>
      <c r="C32" s="3196" t="s">
        <v>2951</v>
      </c>
      <c r="D32" s="3196" t="s">
        <v>3298</v>
      </c>
      <c r="E32" s="3196" t="s">
        <v>3063</v>
      </c>
      <c r="F32" s="3196">
        <v>5734.94</v>
      </c>
      <c r="G32" s="3196" t="s">
        <v>3362</v>
      </c>
      <c r="H32" s="3196" t="s">
        <v>3363</v>
      </c>
      <c r="I32" s="3196">
        <v>141.33000000000001</v>
      </c>
      <c r="J32" s="3196">
        <v>716.22</v>
      </c>
    </row>
    <row r="33" spans="2:10" hidden="1">
      <c r="B33" s="3196" t="s">
        <v>3364</v>
      </c>
      <c r="C33" s="3196" t="s">
        <v>2951</v>
      </c>
      <c r="D33" s="3196" t="s">
        <v>3298</v>
      </c>
      <c r="E33" s="3196" t="s">
        <v>3063</v>
      </c>
      <c r="F33" s="3196">
        <v>5584.15</v>
      </c>
      <c r="G33" s="3196" t="s">
        <v>3365</v>
      </c>
      <c r="H33" s="3196" t="s">
        <v>3363</v>
      </c>
      <c r="I33" s="3196">
        <v>138.66999999999999</v>
      </c>
      <c r="J33" s="3196">
        <v>705.08</v>
      </c>
    </row>
    <row r="34" spans="2:10" s="3203" customFormat="1">
      <c r="B34" s="3201" t="s">
        <v>3366</v>
      </c>
      <c r="C34" s="3201" t="s">
        <v>2951</v>
      </c>
      <c r="D34" s="3201" t="s">
        <v>3298</v>
      </c>
      <c r="E34" s="3201" t="s">
        <v>3059</v>
      </c>
      <c r="F34" s="3201">
        <v>10050.950000000001</v>
      </c>
      <c r="G34" s="3201" t="s">
        <v>3367</v>
      </c>
      <c r="H34" s="3201" t="s">
        <v>3368</v>
      </c>
      <c r="I34" s="3201">
        <v>144.66999999999999</v>
      </c>
      <c r="J34" s="3201">
        <v>789.09</v>
      </c>
    </row>
    <row r="35" spans="2:10">
      <c r="B35" s="3196" t="s">
        <v>3369</v>
      </c>
      <c r="C35" s="3196" t="s">
        <v>2951</v>
      </c>
      <c r="D35" s="3196" t="s">
        <v>3298</v>
      </c>
      <c r="E35" s="3196" t="s">
        <v>3059</v>
      </c>
      <c r="F35" s="3196">
        <v>11411.41</v>
      </c>
      <c r="G35" s="3196" t="s">
        <v>3195</v>
      </c>
      <c r="H35" s="3196" t="s">
        <v>3370</v>
      </c>
      <c r="I35" s="3196">
        <v>51.33</v>
      </c>
      <c r="J35" s="3196">
        <v>513.33000000000004</v>
      </c>
    </row>
    <row r="36" spans="2:10" hidden="1">
      <c r="B36" s="3196" t="s">
        <v>3371</v>
      </c>
      <c r="C36" s="3196" t="s">
        <v>2951</v>
      </c>
      <c r="D36" s="3196" t="s">
        <v>3298</v>
      </c>
      <c r="E36" s="3196" t="s">
        <v>3067</v>
      </c>
      <c r="F36" s="3196">
        <v>23423</v>
      </c>
      <c r="G36" s="3196" t="s">
        <v>3372</v>
      </c>
      <c r="H36" s="3196" t="s">
        <v>3373</v>
      </c>
      <c r="I36" s="3196">
        <v>85</v>
      </c>
      <c r="J36" s="3196">
        <v>425</v>
      </c>
    </row>
    <row r="37" spans="2:10" hidden="1">
      <c r="B37" s="3196" t="s">
        <v>3374</v>
      </c>
      <c r="C37" s="3196" t="s">
        <v>2951</v>
      </c>
      <c r="D37" s="3196" t="s">
        <v>3298</v>
      </c>
      <c r="E37" s="3196" t="s">
        <v>3067</v>
      </c>
      <c r="F37" s="3196">
        <v>13424</v>
      </c>
      <c r="G37" s="3196" t="s">
        <v>3375</v>
      </c>
      <c r="H37" s="3196" t="s">
        <v>3376</v>
      </c>
      <c r="I37" s="3196">
        <v>154.66999999999999</v>
      </c>
      <c r="J37" s="3196">
        <v>1784.61</v>
      </c>
    </row>
    <row r="38" spans="2:10">
      <c r="B38" s="3196" t="s">
        <v>3377</v>
      </c>
      <c r="C38" s="3196" t="s">
        <v>2951</v>
      </c>
      <c r="D38" s="3196" t="s">
        <v>3298</v>
      </c>
      <c r="E38" s="3196" t="s">
        <v>3059</v>
      </c>
      <c r="F38" s="3196">
        <v>44730.41</v>
      </c>
      <c r="G38" s="3196" t="s">
        <v>3378</v>
      </c>
      <c r="H38" s="3196" t="s">
        <v>3379</v>
      </c>
      <c r="I38" s="3196">
        <v>110</v>
      </c>
      <c r="J38" s="3196">
        <v>1130.9100000000001</v>
      </c>
    </row>
    <row r="39" spans="2:10" hidden="1">
      <c r="B39" s="3196" t="s">
        <v>3380</v>
      </c>
      <c r="C39" s="3196" t="s">
        <v>2951</v>
      </c>
      <c r="D39" s="3196" t="s">
        <v>3298</v>
      </c>
      <c r="E39" s="3196" t="s">
        <v>3067</v>
      </c>
      <c r="F39" s="3196">
        <v>4651</v>
      </c>
      <c r="G39" s="3196" t="s">
        <v>3381</v>
      </c>
      <c r="H39" s="3196" t="s">
        <v>3382</v>
      </c>
      <c r="I39" s="3196">
        <v>20.67</v>
      </c>
      <c r="J39" s="3196">
        <v>281.81</v>
      </c>
    </row>
    <row r="40" spans="2:10" hidden="1">
      <c r="B40" s="3196" t="s">
        <v>3383</v>
      </c>
      <c r="C40" s="3196" t="s">
        <v>2951</v>
      </c>
      <c r="D40" s="3196" t="s">
        <v>3298</v>
      </c>
      <c r="E40" s="3196" t="s">
        <v>3067</v>
      </c>
      <c r="F40" s="3196">
        <v>60514</v>
      </c>
      <c r="G40" s="3196" t="s">
        <v>3384</v>
      </c>
      <c r="H40" s="3196" t="s">
        <v>3385</v>
      </c>
      <c r="I40" s="3196">
        <v>36.67</v>
      </c>
      <c r="J40" s="3196">
        <v>366.67</v>
      </c>
    </row>
    <row r="41" spans="2:10" hidden="1">
      <c r="B41" s="3196" t="s">
        <v>3386</v>
      </c>
      <c r="C41" s="3196" t="s">
        <v>2951</v>
      </c>
      <c r="D41" s="3196" t="s">
        <v>3298</v>
      </c>
      <c r="E41" s="3196" t="s">
        <v>3067</v>
      </c>
      <c r="F41" s="3196">
        <v>21868</v>
      </c>
      <c r="G41" s="3196" t="s">
        <v>3355</v>
      </c>
      <c r="H41" s="3196" t="s">
        <v>3387</v>
      </c>
      <c r="I41" s="3196">
        <v>86.67</v>
      </c>
      <c r="J41" s="3196">
        <v>928.57</v>
      </c>
    </row>
    <row r="42" spans="2:10">
      <c r="B42" s="3196" t="s">
        <v>3388</v>
      </c>
      <c r="C42" s="3196" t="s">
        <v>2951</v>
      </c>
      <c r="D42" s="3196" t="s">
        <v>3298</v>
      </c>
      <c r="E42" s="3196" t="s">
        <v>3059</v>
      </c>
      <c r="F42" s="3196">
        <v>21781.31</v>
      </c>
      <c r="G42" s="3196" t="s">
        <v>3389</v>
      </c>
      <c r="H42" s="3196" t="s">
        <v>3390</v>
      </c>
      <c r="I42" s="3196">
        <v>33.33</v>
      </c>
      <c r="J42" s="3196">
        <v>434.77</v>
      </c>
    </row>
    <row r="43" spans="2:10">
      <c r="B43" s="3196" t="s">
        <v>3391</v>
      </c>
      <c r="C43" s="3196" t="s">
        <v>2951</v>
      </c>
      <c r="D43" s="3196" t="s">
        <v>3298</v>
      </c>
      <c r="E43" s="3196" t="s">
        <v>3059</v>
      </c>
      <c r="F43" s="3196">
        <v>31229.62</v>
      </c>
      <c r="G43" s="3196" t="s">
        <v>3392</v>
      </c>
      <c r="H43" s="3196" t="s">
        <v>3393</v>
      </c>
      <c r="I43" s="3196">
        <v>94</v>
      </c>
      <c r="J43" s="3196">
        <v>940</v>
      </c>
    </row>
    <row r="44" spans="2:10">
      <c r="B44" s="3196" t="s">
        <v>3394</v>
      </c>
      <c r="C44" s="3196" t="s">
        <v>2951</v>
      </c>
      <c r="D44" s="3196" t="s">
        <v>3298</v>
      </c>
      <c r="E44" s="3196" t="s">
        <v>3059</v>
      </c>
      <c r="F44" s="3196">
        <v>32098.959999999999</v>
      </c>
      <c r="G44" s="3196" t="s">
        <v>3395</v>
      </c>
      <c r="H44" s="3196" t="s">
        <v>3393</v>
      </c>
      <c r="I44" s="3196">
        <v>110</v>
      </c>
      <c r="J44" s="3196">
        <v>1161.97</v>
      </c>
    </row>
    <row r="45" spans="2:10" hidden="1">
      <c r="B45" s="3196" t="s">
        <v>3396</v>
      </c>
      <c r="C45" s="3196" t="s">
        <v>2951</v>
      </c>
      <c r="D45" s="3196" t="s">
        <v>3298</v>
      </c>
      <c r="E45" s="3196" t="s">
        <v>3063</v>
      </c>
      <c r="F45" s="3196">
        <v>10063.59</v>
      </c>
      <c r="G45" s="3196" t="s">
        <v>3397</v>
      </c>
      <c r="H45" s="3196" t="s">
        <v>3398</v>
      </c>
      <c r="I45" s="3196">
        <v>100</v>
      </c>
      <c r="J45" s="3196">
        <v>1530.6</v>
      </c>
    </row>
    <row r="46" spans="2:10" hidden="1">
      <c r="B46" s="3196" t="s">
        <v>3399</v>
      </c>
      <c r="C46" s="3196" t="s">
        <v>2951</v>
      </c>
      <c r="D46" s="3196" t="s">
        <v>3298</v>
      </c>
      <c r="E46" s="3196" t="s">
        <v>3063</v>
      </c>
      <c r="F46" s="3196">
        <v>14586.9</v>
      </c>
      <c r="G46" s="3196" t="s">
        <v>3400</v>
      </c>
      <c r="H46" s="3196" t="s">
        <v>3398</v>
      </c>
      <c r="I46" s="3196">
        <v>94.67</v>
      </c>
      <c r="J46" s="3196">
        <v>710</v>
      </c>
    </row>
    <row r="47" spans="2:10" hidden="1">
      <c r="B47" s="3196" t="s">
        <v>3401</v>
      </c>
      <c r="C47" s="3196" t="s">
        <v>2951</v>
      </c>
      <c r="D47" s="3196" t="s">
        <v>3298</v>
      </c>
      <c r="E47" s="3196" t="s">
        <v>3067</v>
      </c>
      <c r="F47" s="3196">
        <v>5474.2</v>
      </c>
      <c r="G47" s="3196" t="s">
        <v>3402</v>
      </c>
      <c r="H47" s="3196" t="s">
        <v>3403</v>
      </c>
      <c r="I47" s="3196">
        <v>66.67</v>
      </c>
      <c r="J47" s="3196">
        <v>217.38</v>
      </c>
    </row>
    <row r="48" spans="2:10" s="3203" customFormat="1">
      <c r="B48" s="3201" t="s">
        <v>3404</v>
      </c>
      <c r="C48" s="3201" t="s">
        <v>2951</v>
      </c>
      <c r="D48" s="3201" t="s">
        <v>3298</v>
      </c>
      <c r="E48" s="3201" t="s">
        <v>3059</v>
      </c>
      <c r="F48" s="3201">
        <v>21487.91</v>
      </c>
      <c r="G48" s="3201" t="s">
        <v>3405</v>
      </c>
      <c r="H48" s="3201" t="s">
        <v>3406</v>
      </c>
      <c r="I48" s="3201">
        <v>224</v>
      </c>
      <c r="J48" s="3201">
        <v>1347.23</v>
      </c>
    </row>
    <row r="49" spans="2:10" hidden="1">
      <c r="B49" s="3196" t="s">
        <v>3407</v>
      </c>
      <c r="C49" s="3196" t="s">
        <v>2951</v>
      </c>
      <c r="D49" s="3196" t="s">
        <v>3298</v>
      </c>
      <c r="E49" s="3196" t="s">
        <v>3067</v>
      </c>
      <c r="F49" s="3196">
        <v>54157</v>
      </c>
      <c r="G49" s="3196" t="s">
        <v>3301</v>
      </c>
      <c r="H49" s="3196" t="s">
        <v>3408</v>
      </c>
      <c r="I49" s="3196">
        <v>110</v>
      </c>
      <c r="J49" s="3196">
        <v>1375</v>
      </c>
    </row>
    <row r="50" spans="2:10" hidden="1">
      <c r="B50" s="3196" t="s">
        <v>3409</v>
      </c>
      <c r="C50" s="3196" t="s">
        <v>2951</v>
      </c>
      <c r="D50" s="3196" t="s">
        <v>3298</v>
      </c>
      <c r="E50" s="3196" t="s">
        <v>3067</v>
      </c>
      <c r="F50" s="3196">
        <v>5502</v>
      </c>
      <c r="G50" s="3196" t="s">
        <v>3410</v>
      </c>
      <c r="H50" s="3196" t="s">
        <v>3411</v>
      </c>
      <c r="I50" s="3196">
        <v>45</v>
      </c>
      <c r="J50" s="3196">
        <v>450</v>
      </c>
    </row>
    <row r="51" spans="2:10" hidden="1">
      <c r="B51" s="3196" t="s">
        <v>3412</v>
      </c>
      <c r="C51" s="3196" t="s">
        <v>2951</v>
      </c>
      <c r="D51" s="3196" t="s">
        <v>3298</v>
      </c>
      <c r="E51" s="3196" t="s">
        <v>3074</v>
      </c>
      <c r="F51" s="3196">
        <v>6758.06</v>
      </c>
      <c r="G51" s="3196" t="s">
        <v>3413</v>
      </c>
      <c r="H51" s="3196" t="s">
        <v>3414</v>
      </c>
      <c r="I51" s="3196">
        <v>69.28</v>
      </c>
      <c r="J51" s="3196">
        <v>1670.7</v>
      </c>
    </row>
    <row r="52" spans="2:10" hidden="1">
      <c r="B52" s="3196" t="s">
        <v>3415</v>
      </c>
      <c r="C52" s="3196" t="s">
        <v>2951</v>
      </c>
      <c r="D52" s="3196" t="s">
        <v>3298</v>
      </c>
      <c r="E52" s="3196" t="s">
        <v>3063</v>
      </c>
      <c r="F52" s="3196">
        <v>14167.66</v>
      </c>
      <c r="G52" s="3196" t="s">
        <v>3416</v>
      </c>
      <c r="H52" s="3196" t="s">
        <v>3417</v>
      </c>
      <c r="I52" s="3196">
        <v>202</v>
      </c>
      <c r="J52" s="3196">
        <v>1518.79</v>
      </c>
    </row>
    <row r="53" spans="2:10" hidden="1">
      <c r="B53" s="3196" t="s">
        <v>3418</v>
      </c>
      <c r="C53" s="3196" t="s">
        <v>2951</v>
      </c>
      <c r="D53" s="3196" t="s">
        <v>3298</v>
      </c>
      <c r="E53" s="3196" t="s">
        <v>3067</v>
      </c>
      <c r="F53" s="3196">
        <v>41574</v>
      </c>
      <c r="G53" s="3196" t="s">
        <v>3419</v>
      </c>
      <c r="H53" s="3196" t="s">
        <v>3420</v>
      </c>
      <c r="I53" s="3196">
        <v>250</v>
      </c>
      <c r="J53" s="3196">
        <v>3750</v>
      </c>
    </row>
    <row r="54" spans="2:10" hidden="1">
      <c r="B54" s="3197" t="s">
        <v>3421</v>
      </c>
      <c r="C54" s="3197" t="s">
        <v>2951</v>
      </c>
      <c r="D54" s="3197" t="s">
        <v>3298</v>
      </c>
      <c r="E54" s="3197" t="s">
        <v>3067</v>
      </c>
      <c r="F54" s="3197">
        <v>6527</v>
      </c>
      <c r="G54" s="3197" t="s">
        <v>3152</v>
      </c>
      <c r="H54" s="3197" t="s">
        <v>3422</v>
      </c>
      <c r="I54" s="3197">
        <v>60</v>
      </c>
      <c r="J54" s="3197">
        <v>450</v>
      </c>
    </row>
    <row r="55" spans="2:10" hidden="1">
      <c r="B55" s="3197" t="s">
        <v>3423</v>
      </c>
      <c r="C55" s="3197" t="s">
        <v>2951</v>
      </c>
      <c r="D55" s="3197" t="s">
        <v>3298</v>
      </c>
      <c r="E55" s="3197" t="s">
        <v>3067</v>
      </c>
      <c r="F55" s="3197">
        <v>3494</v>
      </c>
      <c r="G55" s="3197" t="s">
        <v>3424</v>
      </c>
      <c r="H55" s="3197" t="s">
        <v>3425</v>
      </c>
      <c r="I55" s="3197">
        <v>60</v>
      </c>
      <c r="J55" s="3197">
        <v>1046.5</v>
      </c>
    </row>
    <row r="56" spans="2:10" hidden="1">
      <c r="B56" s="3197" t="s">
        <v>3426</v>
      </c>
      <c r="C56" s="3197" t="s">
        <v>2951</v>
      </c>
      <c r="D56" s="3197" t="s">
        <v>3298</v>
      </c>
      <c r="E56" s="3197" t="s">
        <v>3067</v>
      </c>
      <c r="F56" s="3197">
        <v>11825</v>
      </c>
      <c r="G56" s="3197" t="s">
        <v>3427</v>
      </c>
      <c r="H56" s="3197" t="s">
        <v>3201</v>
      </c>
      <c r="I56" s="3197">
        <v>250</v>
      </c>
      <c r="J56" s="3197">
        <v>3409.09</v>
      </c>
    </row>
    <row r="57" spans="2:10" hidden="1">
      <c r="B57" s="3197" t="s">
        <v>3428</v>
      </c>
      <c r="C57" s="3197" t="s">
        <v>2951</v>
      </c>
      <c r="D57" s="3197" t="s">
        <v>3298</v>
      </c>
      <c r="E57" s="3197" t="s">
        <v>3067</v>
      </c>
      <c r="F57" s="3197">
        <v>24188</v>
      </c>
      <c r="G57" s="3197" t="s">
        <v>3429</v>
      </c>
      <c r="H57" s="3197" t="s">
        <v>3430</v>
      </c>
      <c r="I57" s="3197">
        <v>50</v>
      </c>
      <c r="J57" s="3197">
        <v>750</v>
      </c>
    </row>
    <row r="58" spans="2:10" hidden="1">
      <c r="B58" s="3197" t="s">
        <v>3431</v>
      </c>
      <c r="C58" s="3197" t="s">
        <v>2951</v>
      </c>
      <c r="D58" s="3197" t="s">
        <v>3298</v>
      </c>
      <c r="E58" s="3197" t="s">
        <v>3067</v>
      </c>
      <c r="F58" s="3197">
        <v>67003</v>
      </c>
      <c r="G58" s="3197" t="s">
        <v>3432</v>
      </c>
      <c r="H58" s="3197" t="s">
        <v>3430</v>
      </c>
      <c r="I58" s="3197">
        <v>356.67</v>
      </c>
      <c r="J58" s="3197">
        <v>1783.32</v>
      </c>
    </row>
    <row r="59" spans="2:10" hidden="1">
      <c r="B59" s="3197" t="s">
        <v>3433</v>
      </c>
      <c r="C59" s="3197" t="s">
        <v>2951</v>
      </c>
      <c r="D59" s="3197" t="s">
        <v>3298</v>
      </c>
      <c r="E59" s="3197" t="s">
        <v>3067</v>
      </c>
      <c r="F59" s="3197">
        <v>55465</v>
      </c>
      <c r="G59" s="3197" t="s">
        <v>3434</v>
      </c>
      <c r="H59" s="3197" t="s">
        <v>3217</v>
      </c>
      <c r="I59" s="3197">
        <v>100</v>
      </c>
      <c r="J59" s="3197">
        <v>750</v>
      </c>
    </row>
    <row r="60" spans="2:10" hidden="1">
      <c r="B60" s="3197" t="s">
        <v>3435</v>
      </c>
      <c r="C60" s="3197" t="s">
        <v>2951</v>
      </c>
      <c r="D60" s="3197" t="s">
        <v>3298</v>
      </c>
      <c r="E60" s="3197" t="s">
        <v>3067</v>
      </c>
      <c r="F60" s="3197">
        <v>12002</v>
      </c>
      <c r="G60" s="3197" t="s">
        <v>3436</v>
      </c>
      <c r="H60" s="3197" t="s">
        <v>3437</v>
      </c>
      <c r="I60" s="3197">
        <v>164.67</v>
      </c>
      <c r="J60" s="3197">
        <v>1764.27</v>
      </c>
    </row>
    <row r="61" spans="2:10" hidden="1">
      <c r="B61" s="3197" t="s">
        <v>3438</v>
      </c>
      <c r="C61" s="3197" t="s">
        <v>2951</v>
      </c>
      <c r="D61" s="3197" t="s">
        <v>3298</v>
      </c>
      <c r="E61" s="3197" t="s">
        <v>3067</v>
      </c>
      <c r="F61" s="3197">
        <v>606.66999999999996</v>
      </c>
      <c r="G61" s="3197" t="s">
        <v>3439</v>
      </c>
      <c r="H61" s="3197" t="s">
        <v>3437</v>
      </c>
      <c r="I61" s="3197">
        <v>50</v>
      </c>
      <c r="J61" s="3197">
        <v>625</v>
      </c>
    </row>
    <row r="62" spans="2:10" hidden="1">
      <c r="B62" s="3197" t="s">
        <v>3440</v>
      </c>
      <c r="C62" s="3197" t="s">
        <v>2951</v>
      </c>
      <c r="D62" s="3197" t="s">
        <v>3298</v>
      </c>
      <c r="E62" s="3197" t="s">
        <v>3067</v>
      </c>
      <c r="F62" s="3197">
        <v>27972.38</v>
      </c>
      <c r="G62" s="3197" t="s">
        <v>3441</v>
      </c>
      <c r="H62" s="3197" t="s">
        <v>3231</v>
      </c>
      <c r="I62" s="3197">
        <v>92</v>
      </c>
      <c r="J62" s="3197">
        <v>1615.93</v>
      </c>
    </row>
    <row r="63" spans="2:10" hidden="1">
      <c r="B63" s="3197" t="s">
        <v>3442</v>
      </c>
      <c r="C63" s="3197" t="s">
        <v>2951</v>
      </c>
      <c r="D63" s="3197" t="s">
        <v>3298</v>
      </c>
      <c r="E63" s="3197" t="s">
        <v>3067</v>
      </c>
      <c r="F63" s="3197">
        <v>4563</v>
      </c>
      <c r="G63" s="3197" t="s">
        <v>3233</v>
      </c>
      <c r="H63" s="3197" t="s">
        <v>3239</v>
      </c>
      <c r="I63" s="3197">
        <v>280</v>
      </c>
      <c r="J63" s="3197">
        <v>1680</v>
      </c>
    </row>
    <row r="64" spans="2:10" hidden="1">
      <c r="B64" s="3197" t="s">
        <v>3443</v>
      </c>
      <c r="C64" s="3197" t="s">
        <v>2951</v>
      </c>
      <c r="D64" s="3197" t="s">
        <v>3298</v>
      </c>
      <c r="E64" s="3197" t="s">
        <v>3067</v>
      </c>
      <c r="F64" s="3197">
        <v>4338</v>
      </c>
      <c r="G64" s="3197" t="s">
        <v>3233</v>
      </c>
      <c r="H64" s="3197" t="s">
        <v>3239</v>
      </c>
      <c r="I64" s="3197">
        <v>280</v>
      </c>
      <c r="J64" s="3197">
        <v>1680</v>
      </c>
    </row>
    <row r="65" spans="2:10" hidden="1">
      <c r="B65" s="3197" t="s">
        <v>3444</v>
      </c>
      <c r="C65" s="3197" t="s">
        <v>2951</v>
      </c>
      <c r="D65" s="3197" t="s">
        <v>3298</v>
      </c>
      <c r="E65" s="3197" t="s">
        <v>3067</v>
      </c>
      <c r="F65" s="3197">
        <v>3407</v>
      </c>
      <c r="G65" s="3197" t="s">
        <v>3233</v>
      </c>
      <c r="H65" s="3197" t="s">
        <v>3239</v>
      </c>
      <c r="I65" s="3197">
        <v>280</v>
      </c>
      <c r="J65" s="3197">
        <v>1680</v>
      </c>
    </row>
    <row r="66" spans="2:10" hidden="1">
      <c r="B66" s="3197" t="s">
        <v>3445</v>
      </c>
      <c r="C66" s="3197" t="s">
        <v>2951</v>
      </c>
      <c r="D66" s="3197" t="s">
        <v>3298</v>
      </c>
      <c r="E66" s="3197" t="s">
        <v>3067</v>
      </c>
      <c r="F66" s="3197">
        <v>2500.48</v>
      </c>
      <c r="G66" s="3197" t="s">
        <v>3446</v>
      </c>
      <c r="H66" s="3197" t="s">
        <v>3447</v>
      </c>
      <c r="I66" s="3197">
        <v>1088.67</v>
      </c>
      <c r="J66" s="3197">
        <v>136082.10999999999</v>
      </c>
    </row>
    <row r="67" spans="2:10" hidden="1">
      <c r="B67" s="3197" t="s">
        <v>3448</v>
      </c>
      <c r="C67" s="3197" t="s">
        <v>2951</v>
      </c>
      <c r="D67" s="3197" t="s">
        <v>3298</v>
      </c>
      <c r="E67" s="3197" t="s">
        <v>3067</v>
      </c>
      <c r="F67" s="3197">
        <v>9223.7900000000009</v>
      </c>
      <c r="G67" s="3197" t="s">
        <v>3449</v>
      </c>
      <c r="H67" s="3197" t="s">
        <v>3447</v>
      </c>
      <c r="I67" s="3197">
        <v>78</v>
      </c>
      <c r="J67" s="3197">
        <v>899.3</v>
      </c>
    </row>
    <row r="68" spans="2:10" hidden="1">
      <c r="B68" s="3197" t="s">
        <v>3450</v>
      </c>
      <c r="C68" s="3197" t="s">
        <v>2951</v>
      </c>
      <c r="D68" s="3197" t="s">
        <v>3298</v>
      </c>
      <c r="E68" s="3197" t="s">
        <v>3067</v>
      </c>
      <c r="F68" s="3197">
        <v>15135</v>
      </c>
      <c r="G68" s="3197" t="s">
        <v>3451</v>
      </c>
      <c r="H68" s="3197" t="s">
        <v>3255</v>
      </c>
      <c r="I68" s="3197">
        <v>250</v>
      </c>
      <c r="J68" s="3197">
        <v>1875</v>
      </c>
    </row>
    <row r="69" spans="2:10" hidden="1">
      <c r="B69" s="3197" t="s">
        <v>3452</v>
      </c>
      <c r="C69" s="3197" t="s">
        <v>2951</v>
      </c>
      <c r="D69" s="3197" t="s">
        <v>3298</v>
      </c>
      <c r="E69" s="3197" t="s">
        <v>3067</v>
      </c>
      <c r="F69" s="3197">
        <v>38319.74</v>
      </c>
      <c r="G69" s="3197" t="s">
        <v>3453</v>
      </c>
      <c r="H69" s="3197" t="s">
        <v>3267</v>
      </c>
      <c r="I69" s="3197">
        <v>130</v>
      </c>
      <c r="J69" s="3197">
        <v>977.92</v>
      </c>
    </row>
    <row r="70" spans="2:10">
      <c r="B70" s="3197" t="s">
        <v>3454</v>
      </c>
      <c r="C70" s="3197" t="s">
        <v>2951</v>
      </c>
      <c r="D70" s="3197" t="s">
        <v>3298</v>
      </c>
      <c r="E70" s="3197" t="s">
        <v>3059</v>
      </c>
      <c r="F70" s="3197">
        <v>21369.3</v>
      </c>
      <c r="G70" s="3197" t="s">
        <v>3455</v>
      </c>
      <c r="H70" s="3197" t="s">
        <v>3456</v>
      </c>
      <c r="I70" s="3197">
        <v>55</v>
      </c>
      <c r="J70" s="3197">
        <v>550</v>
      </c>
    </row>
    <row r="71" spans="2:10" hidden="1">
      <c r="B71" s="3197" t="s">
        <v>3457</v>
      </c>
      <c r="C71" s="3197" t="s">
        <v>2951</v>
      </c>
      <c r="D71" s="3197" t="s">
        <v>3298</v>
      </c>
      <c r="E71" s="3197" t="s">
        <v>3067</v>
      </c>
      <c r="F71" s="3197">
        <v>5302.39</v>
      </c>
      <c r="G71" s="3197" t="s">
        <v>3458</v>
      </c>
      <c r="H71" s="3197" t="s">
        <v>3278</v>
      </c>
      <c r="I71" s="3197">
        <v>56</v>
      </c>
      <c r="J71" s="3197">
        <v>1050</v>
      </c>
    </row>
    <row r="72" spans="2:10">
      <c r="B72" s="3197" t="s">
        <v>3459</v>
      </c>
      <c r="C72" s="3197" t="s">
        <v>2951</v>
      </c>
      <c r="D72" s="3197" t="s">
        <v>3298</v>
      </c>
      <c r="E72" s="3197" t="s">
        <v>3059</v>
      </c>
      <c r="F72" s="3197">
        <v>45654.35</v>
      </c>
      <c r="G72" s="3197" t="s">
        <v>3460</v>
      </c>
      <c r="H72" s="3197" t="s">
        <v>3278</v>
      </c>
      <c r="I72" s="3197">
        <v>53</v>
      </c>
      <c r="J72" s="3197">
        <v>611.53</v>
      </c>
    </row>
    <row r="73" spans="2:10" hidden="1">
      <c r="B73" s="3197" t="s">
        <v>3461</v>
      </c>
      <c r="C73" s="3197" t="s">
        <v>2951</v>
      </c>
      <c r="D73" s="3197" t="s">
        <v>3298</v>
      </c>
      <c r="E73" s="3197" t="s">
        <v>3067</v>
      </c>
      <c r="F73" s="3197">
        <v>8410.76</v>
      </c>
      <c r="G73" s="3197" t="s">
        <v>3462</v>
      </c>
      <c r="H73" s="3197" t="s">
        <v>3288</v>
      </c>
      <c r="I73" s="3197">
        <v>280.67</v>
      </c>
      <c r="J73" s="3197">
        <v>1074.52</v>
      </c>
    </row>
    <row r="74" spans="2:10" hidden="1">
      <c r="B74" s="3197" t="s">
        <v>3463</v>
      </c>
      <c r="C74" s="3197" t="s">
        <v>2951</v>
      </c>
      <c r="D74" s="3197" t="s">
        <v>3298</v>
      </c>
      <c r="E74" s="3197" t="s">
        <v>3067</v>
      </c>
      <c r="F74" s="3197">
        <v>13962</v>
      </c>
      <c r="G74" s="3197" t="s">
        <v>3464</v>
      </c>
      <c r="H74" s="3197" t="s">
        <v>3288</v>
      </c>
      <c r="I74" s="3197">
        <v>373.33</v>
      </c>
      <c r="J74" s="3197">
        <v>1400</v>
      </c>
    </row>
    <row r="75" spans="2:10" hidden="1">
      <c r="B75" s="3197" t="s">
        <v>3465</v>
      </c>
      <c r="C75" s="3197" t="s">
        <v>2951</v>
      </c>
      <c r="D75" s="3197" t="s">
        <v>3298</v>
      </c>
      <c r="E75" s="3197" t="s">
        <v>3067</v>
      </c>
      <c r="F75" s="3197">
        <v>27167</v>
      </c>
      <c r="G75" s="3197" t="s">
        <v>3466</v>
      </c>
      <c r="H75" s="3197" t="s">
        <v>3467</v>
      </c>
      <c r="I75" s="3197">
        <v>200</v>
      </c>
      <c r="J75" s="3197">
        <v>1500</v>
      </c>
    </row>
    <row r="76" spans="2:10" hidden="1">
      <c r="B76" s="3197" t="s">
        <v>3468</v>
      </c>
      <c r="C76" s="3197" t="s">
        <v>2951</v>
      </c>
      <c r="D76" s="3197" t="s">
        <v>3298</v>
      </c>
      <c r="E76" s="3197" t="s">
        <v>3067</v>
      </c>
      <c r="F76" s="3197">
        <v>2720</v>
      </c>
      <c r="G76" s="3197" t="s">
        <v>3469</v>
      </c>
      <c r="H76" s="3197" t="s">
        <v>3467</v>
      </c>
      <c r="I76" s="3197">
        <v>822.67</v>
      </c>
      <c r="J76" s="3197">
        <v>61700</v>
      </c>
    </row>
    <row r="77" spans="2:10" hidden="1">
      <c r="B77" s="3197" t="s">
        <v>3348</v>
      </c>
      <c r="C77" s="3197" t="s">
        <v>2951</v>
      </c>
      <c r="D77" s="3197" t="s">
        <v>3298</v>
      </c>
      <c r="E77" s="3197" t="s">
        <v>3067</v>
      </c>
      <c r="F77" s="3197">
        <v>2746</v>
      </c>
      <c r="G77" s="3197" t="s">
        <v>3349</v>
      </c>
      <c r="H77" s="3197" t="s">
        <v>3470</v>
      </c>
      <c r="I77" s="3197">
        <v>133.33000000000001</v>
      </c>
      <c r="J77" s="3197">
        <v>3333.32</v>
      </c>
    </row>
    <row r="78" spans="2:10" hidden="1">
      <c r="B78" s="3197" t="s">
        <v>3471</v>
      </c>
      <c r="C78" s="3197" t="s">
        <v>2951</v>
      </c>
      <c r="D78" s="3197" t="s">
        <v>3298</v>
      </c>
      <c r="E78" s="3197" t="s">
        <v>3067</v>
      </c>
      <c r="F78" s="3197">
        <v>1787</v>
      </c>
      <c r="G78" s="3197" t="s">
        <v>3472</v>
      </c>
      <c r="H78" s="3197" t="s">
        <v>3470</v>
      </c>
      <c r="I78" s="3197">
        <v>133.33000000000001</v>
      </c>
      <c r="J78" s="3197">
        <v>4000</v>
      </c>
    </row>
    <row r="79" spans="2:10" hidden="1">
      <c r="B79" s="3197" t="s">
        <v>3473</v>
      </c>
      <c r="C79" s="3197" t="s">
        <v>2951</v>
      </c>
      <c r="D79" s="3197" t="s">
        <v>3298</v>
      </c>
      <c r="E79" s="3197" t="s">
        <v>3067</v>
      </c>
      <c r="F79" s="3197">
        <v>17824.919999999998</v>
      </c>
      <c r="G79" s="3197" t="s">
        <v>3474</v>
      </c>
      <c r="H79" s="3197" t="s">
        <v>3475</v>
      </c>
      <c r="I79" s="3197">
        <v>58</v>
      </c>
      <c r="J79" s="3197">
        <v>910.03</v>
      </c>
    </row>
    <row r="80" spans="2:10">
      <c r="B80" s="3197" t="s">
        <v>3476</v>
      </c>
      <c r="C80" s="3197" t="s">
        <v>2951</v>
      </c>
      <c r="D80" s="3197" t="s">
        <v>3298</v>
      </c>
      <c r="E80" s="3197" t="s">
        <v>3059</v>
      </c>
      <c r="F80" s="3197">
        <v>28673.18</v>
      </c>
      <c r="G80" s="3197" t="s">
        <v>3477</v>
      </c>
      <c r="H80" s="3197" t="s">
        <v>3478</v>
      </c>
      <c r="I80" s="3197">
        <v>205.33</v>
      </c>
      <c r="J80" s="3197">
        <v>879.62</v>
      </c>
    </row>
    <row r="81" spans="2:10">
      <c r="B81" s="3197" t="s">
        <v>3479</v>
      </c>
      <c r="C81" s="3197" t="s">
        <v>2951</v>
      </c>
      <c r="D81" s="3197" t="s">
        <v>3298</v>
      </c>
      <c r="E81" s="3197" t="s">
        <v>3059</v>
      </c>
      <c r="F81" s="3197">
        <v>4592.91</v>
      </c>
      <c r="G81" s="3197" t="s">
        <v>3480</v>
      </c>
      <c r="H81" s="3197" t="s">
        <v>3481</v>
      </c>
      <c r="I81" s="3197">
        <v>70</v>
      </c>
      <c r="J81" s="3197">
        <v>1227.1099999999999</v>
      </c>
    </row>
    <row r="82" spans="2:10" hidden="1">
      <c r="B82" s="3197" t="s">
        <v>3482</v>
      </c>
      <c r="C82" s="3197" t="s">
        <v>2951</v>
      </c>
      <c r="D82" s="3197" t="s">
        <v>3298</v>
      </c>
      <c r="E82" s="3197" t="s">
        <v>3074</v>
      </c>
      <c r="F82" s="3197">
        <v>14916.4</v>
      </c>
      <c r="G82" s="3197" t="s">
        <v>3483</v>
      </c>
      <c r="H82" s="3197" t="s">
        <v>3484</v>
      </c>
      <c r="I82" s="3197">
        <v>30</v>
      </c>
      <c r="J82" s="3197">
        <v>1032.68</v>
      </c>
    </row>
    <row r="83" spans="2:10" hidden="1">
      <c r="B83" s="3197" t="s">
        <v>3485</v>
      </c>
      <c r="C83" s="3197" t="s">
        <v>2951</v>
      </c>
      <c r="D83" s="3197" t="s">
        <v>3298</v>
      </c>
      <c r="E83" s="3197" t="s">
        <v>3067</v>
      </c>
      <c r="F83" s="3197">
        <v>39355.449999999997</v>
      </c>
      <c r="G83" s="3197" t="s">
        <v>3486</v>
      </c>
      <c r="H83" s="3197" t="s">
        <v>3487</v>
      </c>
      <c r="I83" s="3197">
        <v>68</v>
      </c>
      <c r="J83" s="3197">
        <v>784.96</v>
      </c>
    </row>
    <row r="84" spans="2:10" hidden="1">
      <c r="B84" s="3197" t="s">
        <v>3488</v>
      </c>
      <c r="C84" s="3197" t="s">
        <v>2951</v>
      </c>
      <c r="D84" s="3197" t="s">
        <v>3298</v>
      </c>
      <c r="E84" s="3197" t="s">
        <v>3067</v>
      </c>
      <c r="F84" s="3197">
        <v>19235.810000000001</v>
      </c>
      <c r="G84" s="3197" t="s">
        <v>3489</v>
      </c>
      <c r="H84" s="3197" t="s">
        <v>3487</v>
      </c>
      <c r="I84" s="3197">
        <v>82</v>
      </c>
      <c r="J84" s="3197">
        <v>559.32000000000005</v>
      </c>
    </row>
    <row r="85" spans="2:10" hidden="1">
      <c r="B85" s="3197" t="s">
        <v>3490</v>
      </c>
      <c r="C85" s="3197" t="s">
        <v>2951</v>
      </c>
      <c r="D85" s="3197" t="s">
        <v>3298</v>
      </c>
      <c r="E85" s="3197" t="s">
        <v>3067</v>
      </c>
      <c r="F85" s="3197">
        <v>29157.17</v>
      </c>
      <c r="G85" s="3197" t="s">
        <v>3491</v>
      </c>
      <c r="H85" s="3197" t="s">
        <v>3487</v>
      </c>
      <c r="I85" s="3197">
        <v>86</v>
      </c>
      <c r="J85" s="3197">
        <v>537.72</v>
      </c>
    </row>
    <row r="86" spans="2:10" hidden="1">
      <c r="B86" s="3197" t="s">
        <v>3492</v>
      </c>
      <c r="C86" s="3197" t="s">
        <v>2951</v>
      </c>
      <c r="D86" s="3197" t="s">
        <v>3298</v>
      </c>
      <c r="E86" s="3197" t="s">
        <v>3067</v>
      </c>
      <c r="F86" s="3197">
        <v>7874.16</v>
      </c>
      <c r="G86" s="3197" t="s">
        <v>3493</v>
      </c>
      <c r="H86" s="3197" t="s">
        <v>3494</v>
      </c>
      <c r="I86" s="3197">
        <v>59</v>
      </c>
      <c r="J86" s="3197">
        <v>885.35</v>
      </c>
    </row>
    <row r="87" spans="2:10" hidden="1">
      <c r="B87" s="3197" t="s">
        <v>3495</v>
      </c>
      <c r="C87" s="3197" t="s">
        <v>2951</v>
      </c>
      <c r="D87" s="3197" t="s">
        <v>3298</v>
      </c>
      <c r="E87" s="3197" t="s">
        <v>3063</v>
      </c>
      <c r="F87" s="3197">
        <v>48247.66</v>
      </c>
      <c r="G87" s="3197" t="s">
        <v>3496</v>
      </c>
      <c r="H87" s="3197" t="s">
        <v>3497</v>
      </c>
      <c r="I87" s="3197">
        <v>108</v>
      </c>
      <c r="J87" s="3197">
        <v>809.96</v>
      </c>
    </row>
    <row r="88" spans="2:10" hidden="1">
      <c r="B88" s="3197" t="s">
        <v>3498</v>
      </c>
      <c r="C88" s="3197" t="s">
        <v>2951</v>
      </c>
      <c r="D88" s="3197" t="s">
        <v>3298</v>
      </c>
      <c r="E88" s="3197" t="s">
        <v>3063</v>
      </c>
      <c r="F88" s="3197">
        <v>25127.49</v>
      </c>
      <c r="G88" s="3197" t="s">
        <v>3499</v>
      </c>
      <c r="H88" s="3197" t="s">
        <v>3500</v>
      </c>
      <c r="I88" s="3197">
        <v>59.33</v>
      </c>
      <c r="J88" s="3197">
        <v>593.20000000000005</v>
      </c>
    </row>
    <row r="89" spans="2:10" hidden="1">
      <c r="B89" s="3197" t="s">
        <v>3501</v>
      </c>
      <c r="C89" s="3197" t="s">
        <v>2951</v>
      </c>
      <c r="D89" s="3197" t="s">
        <v>3298</v>
      </c>
      <c r="E89" s="3197" t="s">
        <v>3067</v>
      </c>
      <c r="F89" s="3197">
        <v>13418.37</v>
      </c>
      <c r="G89" s="3197" t="s">
        <v>3502</v>
      </c>
      <c r="H89" s="3197" t="s">
        <v>3503</v>
      </c>
      <c r="I89" s="3197">
        <v>75</v>
      </c>
      <c r="J89" s="3197">
        <v>703.39</v>
      </c>
    </row>
    <row r="90" spans="2:10" hidden="1">
      <c r="B90" s="3197" t="s">
        <v>3504</v>
      </c>
      <c r="C90" s="3197" t="s">
        <v>2951</v>
      </c>
      <c r="D90" s="3197" t="s">
        <v>3298</v>
      </c>
      <c r="E90" s="3197" t="s">
        <v>3074</v>
      </c>
      <c r="F90" s="3197">
        <v>16030.29</v>
      </c>
      <c r="G90" s="3197" t="s">
        <v>3505</v>
      </c>
      <c r="H90" s="3197" t="s">
        <v>3506</v>
      </c>
      <c r="I90" s="3197">
        <v>54.67</v>
      </c>
      <c r="J90" s="3197">
        <v>585.72</v>
      </c>
    </row>
    <row r="91" spans="2:10" hidden="1">
      <c r="B91" s="3197" t="s">
        <v>3507</v>
      </c>
      <c r="C91" s="3197" t="s">
        <v>2951</v>
      </c>
      <c r="D91" s="3197" t="s">
        <v>3298</v>
      </c>
      <c r="E91" s="3197" t="s">
        <v>3067</v>
      </c>
      <c r="F91" s="3197">
        <v>2679</v>
      </c>
      <c r="G91" s="3197" t="s">
        <v>3508</v>
      </c>
      <c r="H91" s="3197" t="s">
        <v>3509</v>
      </c>
      <c r="I91" s="3197">
        <v>100</v>
      </c>
      <c r="J91" s="3197">
        <v>750</v>
      </c>
    </row>
    <row r="92" spans="2:10">
      <c r="B92" s="3197" t="s">
        <v>3510</v>
      </c>
      <c r="C92" s="3197" t="s">
        <v>2951</v>
      </c>
      <c r="D92" s="3197" t="s">
        <v>3298</v>
      </c>
      <c r="E92" s="3197" t="s">
        <v>3059</v>
      </c>
      <c r="F92" s="3197">
        <v>22148.83</v>
      </c>
      <c r="G92" s="3197" t="s">
        <v>3511</v>
      </c>
      <c r="H92" s="3197" t="s">
        <v>3512</v>
      </c>
      <c r="I92" s="3197">
        <v>46.35</v>
      </c>
      <c r="J92" s="3197">
        <v>411.42</v>
      </c>
    </row>
    <row r="93" spans="2:10">
      <c r="B93" s="3197" t="s">
        <v>3513</v>
      </c>
      <c r="C93" s="3197" t="s">
        <v>2951</v>
      </c>
      <c r="D93" s="3197" t="s">
        <v>3298</v>
      </c>
      <c r="E93" s="3197" t="s">
        <v>3059</v>
      </c>
      <c r="F93" s="3197">
        <v>6814.25</v>
      </c>
      <c r="G93" s="3197" t="s">
        <v>3514</v>
      </c>
      <c r="H93" s="3197" t="s">
        <v>3515</v>
      </c>
      <c r="I93" s="3197">
        <v>204</v>
      </c>
      <c r="J93" s="3197">
        <v>887.29</v>
      </c>
    </row>
    <row r="94" spans="2:10" hidden="1">
      <c r="B94" s="3197" t="s">
        <v>3516</v>
      </c>
      <c r="C94" s="3197" t="s">
        <v>2951</v>
      </c>
      <c r="D94" s="3197" t="s">
        <v>3298</v>
      </c>
      <c r="E94" s="3197" t="s">
        <v>3067</v>
      </c>
      <c r="F94" s="3197">
        <v>45862.59</v>
      </c>
      <c r="G94" s="3197" t="s">
        <v>3517</v>
      </c>
      <c r="H94" s="3197" t="s">
        <v>3518</v>
      </c>
      <c r="I94" s="3197">
        <v>90</v>
      </c>
      <c r="J94" s="3197">
        <v>964.7</v>
      </c>
    </row>
    <row r="95" spans="2:10" hidden="1">
      <c r="B95" s="3197" t="s">
        <v>3519</v>
      </c>
      <c r="C95" s="3197" t="s">
        <v>2951</v>
      </c>
      <c r="D95" s="3197" t="s">
        <v>3298</v>
      </c>
      <c r="E95" s="3197" t="s">
        <v>3067</v>
      </c>
      <c r="F95" s="3197">
        <v>1958</v>
      </c>
      <c r="G95" s="3197" t="s">
        <v>3520</v>
      </c>
      <c r="H95" s="3197" t="s">
        <v>3521</v>
      </c>
      <c r="I95" s="3197">
        <v>120</v>
      </c>
      <c r="J95" s="3197">
        <v>857.13</v>
      </c>
    </row>
    <row r="96" spans="2:10" hidden="1">
      <c r="B96" s="3197" t="s">
        <v>3522</v>
      </c>
      <c r="C96" s="3197" t="s">
        <v>2951</v>
      </c>
      <c r="D96" s="3197" t="s">
        <v>3298</v>
      </c>
      <c r="E96" s="3197" t="s">
        <v>3067</v>
      </c>
      <c r="F96" s="3197">
        <v>22206</v>
      </c>
      <c r="G96" s="3197" t="s">
        <v>3523</v>
      </c>
      <c r="H96" s="3197" t="s">
        <v>3524</v>
      </c>
      <c r="I96" s="3197">
        <v>233.33</v>
      </c>
      <c r="J96" s="3197">
        <v>1590.91</v>
      </c>
    </row>
    <row r="97" spans="2:10" hidden="1">
      <c r="B97" s="3197" t="s">
        <v>3525</v>
      </c>
      <c r="C97" s="3197" t="s">
        <v>2951</v>
      </c>
      <c r="D97" s="3197" t="s">
        <v>3298</v>
      </c>
      <c r="E97" s="3197" t="s">
        <v>3067</v>
      </c>
      <c r="F97" s="3197">
        <v>9300</v>
      </c>
      <c r="G97" s="3197" t="s">
        <v>3526</v>
      </c>
      <c r="H97" s="3197" t="s">
        <v>3527</v>
      </c>
      <c r="I97" s="3197">
        <v>200</v>
      </c>
      <c r="J97" s="3197">
        <v>1200</v>
      </c>
    </row>
    <row r="98" spans="2:10" hidden="1">
      <c r="B98" s="3197" t="s">
        <v>3528</v>
      </c>
      <c r="C98" s="3197" t="s">
        <v>2951</v>
      </c>
      <c r="D98" s="3197" t="s">
        <v>3298</v>
      </c>
      <c r="E98" s="3197" t="s">
        <v>3067</v>
      </c>
      <c r="F98" s="3197">
        <v>63061</v>
      </c>
      <c r="G98" s="3197" t="s">
        <v>3529</v>
      </c>
      <c r="H98" s="3197" t="s">
        <v>3527</v>
      </c>
      <c r="I98" s="3197">
        <v>200</v>
      </c>
      <c r="J98" s="3197">
        <v>1200</v>
      </c>
    </row>
    <row r="99" spans="2:10" hidden="1">
      <c r="B99" s="3197" t="s">
        <v>3530</v>
      </c>
      <c r="C99" s="3197" t="s">
        <v>2951</v>
      </c>
      <c r="D99" s="3197" t="s">
        <v>3298</v>
      </c>
      <c r="E99" s="3197" t="s">
        <v>3067</v>
      </c>
      <c r="F99" s="3197">
        <v>59423</v>
      </c>
      <c r="G99" s="3197" t="s">
        <v>3526</v>
      </c>
      <c r="H99" s="3197" t="s">
        <v>3527</v>
      </c>
      <c r="I99" s="3197">
        <v>233.33</v>
      </c>
      <c r="J99" s="3197">
        <v>1400</v>
      </c>
    </row>
    <row r="100" spans="2:10" hidden="1">
      <c r="B100" s="3197" t="s">
        <v>3531</v>
      </c>
      <c r="C100" s="3197" t="s">
        <v>2951</v>
      </c>
      <c r="D100" s="3197" t="s">
        <v>3298</v>
      </c>
      <c r="E100" s="3197" t="s">
        <v>3067</v>
      </c>
      <c r="F100" s="3197">
        <v>29833.26</v>
      </c>
      <c r="G100" s="3197" t="s">
        <v>3532</v>
      </c>
      <c r="H100" s="3197" t="s">
        <v>3533</v>
      </c>
      <c r="I100" s="3197">
        <v>76</v>
      </c>
      <c r="J100" s="3197">
        <v>760.29</v>
      </c>
    </row>
    <row r="101" spans="2:10" hidden="1">
      <c r="B101" s="3197" t="s">
        <v>3534</v>
      </c>
      <c r="C101" s="3197" t="s">
        <v>2951</v>
      </c>
      <c r="D101" s="3197" t="s">
        <v>3298</v>
      </c>
      <c r="E101" s="3197" t="s">
        <v>3063</v>
      </c>
      <c r="F101" s="3197">
        <v>24934.79</v>
      </c>
      <c r="G101" s="3197" t="s">
        <v>3535</v>
      </c>
      <c r="H101" s="3197" t="s">
        <v>3536</v>
      </c>
      <c r="I101" s="3197">
        <v>70</v>
      </c>
      <c r="J101" s="3197">
        <v>1000.05</v>
      </c>
    </row>
    <row r="102" spans="2:10" hidden="1">
      <c r="B102" s="3197" t="s">
        <v>3537</v>
      </c>
      <c r="C102" s="3197" t="s">
        <v>2951</v>
      </c>
      <c r="D102" s="3197" t="s">
        <v>3298</v>
      </c>
      <c r="E102" s="3197" t="s">
        <v>3067</v>
      </c>
      <c r="F102" s="3197">
        <v>11752</v>
      </c>
      <c r="G102" s="3197" t="s">
        <v>3538</v>
      </c>
      <c r="H102" s="3197" t="s">
        <v>3539</v>
      </c>
      <c r="I102" s="3197">
        <v>186.67</v>
      </c>
      <c r="J102" s="3197">
        <v>1555.55</v>
      </c>
    </row>
    <row r="103" spans="2:10" hidden="1">
      <c r="B103" s="3197" t="s">
        <v>3540</v>
      </c>
      <c r="C103" s="3197" t="s">
        <v>2951</v>
      </c>
      <c r="D103" s="3197" t="s">
        <v>3298</v>
      </c>
      <c r="E103" s="3197" t="s">
        <v>3067</v>
      </c>
      <c r="F103" s="3197">
        <v>31207</v>
      </c>
      <c r="G103" s="3197" t="s">
        <v>3538</v>
      </c>
      <c r="H103" s="3197" t="s">
        <v>3539</v>
      </c>
      <c r="I103" s="3197">
        <v>186.67</v>
      </c>
      <c r="J103" s="3197">
        <v>1555.55</v>
      </c>
    </row>
  </sheetData>
  <autoFilter ref="B3:J103">
    <filterColumn colId="3">
      <filters>
        <filter val="崇川区"/>
      </filters>
    </filterColumn>
  </autoFilter>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2001</v>
      </c>
      <c r="B1" s="3209"/>
      <c r="C1" s="3209"/>
      <c r="D1" s="3209"/>
      <c r="E1" s="3209"/>
      <c r="F1" s="3209"/>
      <c r="G1" s="3209"/>
      <c r="H1" s="3209"/>
      <c r="I1" s="3209"/>
      <c r="J1" s="3209"/>
      <c r="K1" s="3209"/>
      <c r="L1" s="3209"/>
      <c r="M1" s="3209"/>
      <c r="N1" s="3209"/>
      <c r="O1" s="3209"/>
      <c r="P1" s="3209"/>
      <c r="Q1" s="3209"/>
      <c r="R1" s="3209"/>
    </row>
    <row r="2" spans="1:18">
      <c r="A2" s="1807" t="s">
        <v>2003</v>
      </c>
      <c r="B2" s="1807"/>
      <c r="C2" s="1807"/>
      <c r="D2" s="1807"/>
      <c r="E2" s="1807"/>
      <c r="F2" s="1807"/>
      <c r="G2" s="1807"/>
      <c r="H2" s="1807"/>
      <c r="I2" s="1808"/>
      <c r="J2" s="1808"/>
      <c r="K2" s="1809" t="str">
        <f>"估价期日："&amp;TEXT(项目基本情况!D3,"yyyy年m月d日;;")</f>
        <v>估价期日：2018年9月17日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0" t="s">
        <v>1992</v>
      </c>
      <c r="B3" s="3210" t="s">
        <v>2693</v>
      </c>
      <c r="C3" s="3211" t="s">
        <v>1993</v>
      </c>
      <c r="D3" s="3210" t="s">
        <v>2697</v>
      </c>
      <c r="E3" s="3205" t="s">
        <v>1994</v>
      </c>
      <c r="F3" s="3205"/>
      <c r="G3" s="3205"/>
      <c r="H3" s="3205" t="s">
        <v>1995</v>
      </c>
      <c r="I3" s="3205"/>
      <c r="J3" s="3205"/>
      <c r="K3" s="3211" t="s">
        <v>1996</v>
      </c>
      <c r="L3" s="3211" t="s">
        <v>1997</v>
      </c>
      <c r="M3" s="3210" t="s">
        <v>2694</v>
      </c>
      <c r="N3" s="3212" t="str">
        <f>"（分摊）"&amp;项目基本情况!B16&amp;"国有建设用地使用权面积/㎡"</f>
        <v>（分摊）出让国有建设用地使用权面积/㎡</v>
      </c>
      <c r="O3" s="3210" t="s">
        <v>2026</v>
      </c>
      <c r="P3" s="3211" t="s">
        <v>2006</v>
      </c>
      <c r="Q3" s="3211" t="s">
        <v>2027</v>
      </c>
      <c r="R3" s="3211" t="s">
        <v>1998</v>
      </c>
    </row>
    <row r="4" spans="1:18" ht="36.75" customHeight="1">
      <c r="A4" s="3210"/>
      <c r="B4" s="3210"/>
      <c r="C4" s="3211"/>
      <c r="D4" s="3210"/>
      <c r="E4" s="2649" t="s">
        <v>2005</v>
      </c>
      <c r="F4" s="2649" t="s">
        <v>2706</v>
      </c>
      <c r="G4" s="2649" t="s">
        <v>1999</v>
      </c>
      <c r="H4" s="2649" t="s">
        <v>2000</v>
      </c>
      <c r="I4" s="2649" t="s">
        <v>2707</v>
      </c>
      <c r="J4" s="2649" t="s">
        <v>1999</v>
      </c>
      <c r="K4" s="3211"/>
      <c r="L4" s="3211"/>
      <c r="M4" s="3210"/>
      <c r="N4" s="3212"/>
      <c r="O4" s="3210"/>
      <c r="P4" s="3211"/>
      <c r="Q4" s="3211"/>
      <c r="R4" s="3211"/>
    </row>
    <row r="5" spans="1:18" ht="135" customHeight="1">
      <c r="A5" s="1943" t="s">
        <v>2617</v>
      </c>
      <c r="B5" s="2867" t="s">
        <v>2615</v>
      </c>
      <c r="C5" s="2648">
        <v>22</v>
      </c>
      <c r="D5" s="2647" t="s">
        <v>2616</v>
      </c>
      <c r="E5" s="1810" t="str">
        <f>项目基本情况!B12</f>
        <v>商业、其他商服用地</v>
      </c>
      <c r="F5" s="2647">
        <v>258</v>
      </c>
      <c r="G5" s="1810" t="str">
        <f>项目基本情况!B13</f>
        <v>商业、其他商服用地</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22987.21</v>
      </c>
      <c r="O5" s="1810">
        <f>项目基本情况!C21</f>
        <v>110338.60799999999</v>
      </c>
      <c r="P5" s="1810">
        <f ca="1">结果表!E42</f>
        <v>21418</v>
      </c>
      <c r="Q5" s="1810">
        <f ca="1">结果表!D42</f>
        <v>4462</v>
      </c>
      <c r="R5" s="1811">
        <f ca="1">结果表!C42</f>
        <v>49234</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2">
        <f ca="1">结果表!O39</f>
        <v>49234</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2"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12" t="str">
        <f>结果表!O41</f>
        <v>——</v>
      </c>
    </row>
    <row r="9" spans="1:18">
      <c r="A9" s="1813" t="s">
        <v>2004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4" t="s">
        <v>2028</v>
      </c>
      <c r="B1" s="3214"/>
      <c r="C1" s="3214"/>
      <c r="D1" s="3214"/>
    </row>
    <row r="2" spans="1:4" ht="47.25" customHeight="1">
      <c r="A2" s="3215" t="str">
        <f>"1.权利限制："&amp;项目基本情况!L24&amp;"未设定租赁等其他他项权利。"</f>
        <v>1.权利限制：根据估价对象《不动产权证书》——、《国有土地使用权》复印件，截至估价期日，估价对象抵押权未见登记。未设定租赁等其他他项权利。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2029</v>
      </c>
      <c r="B5" s="3213"/>
      <c r="C5" s="3213"/>
      <c r="D5" s="3213"/>
    </row>
    <row r="6" spans="1:4">
      <c r="A6" s="3214" t="s">
        <v>2007</v>
      </c>
      <c r="B6" s="3214"/>
      <c r="C6" s="3214"/>
      <c r="D6" s="3214"/>
    </row>
    <row r="7" spans="1:4" ht="33" customHeight="1">
      <c r="A7" s="3214" t="s">
        <v>2538</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（1）根据估价对象《不动产权证书》——、《国有土地使用权》复印件，截至估价期日，估价对象抵押权未见登记。</v>
      </c>
      <c r="B11" s="3216"/>
      <c r="C11" s="3216"/>
      <c r="D11" s="3216"/>
    </row>
    <row r="12" spans="1:4" ht="168" customHeight="1">
      <c r="A12" s="3213" t="s">
        <v>2031</v>
      </c>
      <c r="B12" s="3213"/>
      <c r="C12" s="3213"/>
      <c r="D12" s="3213"/>
    </row>
    <row r="13" spans="1:4">
      <c r="A13" s="3217" t="s">
        <v>2708</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2664</v>
      </c>
      <c r="B17" s="3214"/>
      <c r="C17" s="3214"/>
      <c r="D17" s="3214"/>
    </row>
    <row r="18" spans="1:4">
      <c r="A18" s="3214" t="s">
        <v>2656</v>
      </c>
      <c r="B18" s="3214"/>
      <c r="C18" s="3214"/>
      <c r="D18" s="3214"/>
    </row>
    <row r="19" spans="1:4">
      <c r="A19" s="2868" t="s">
        <v>2657</v>
      </c>
      <c r="B19" s="2868" t="s">
        <v>2658</v>
      </c>
      <c r="C19" s="2868" t="s">
        <v>2659</v>
      </c>
      <c r="D19" s="2868" t="s">
        <v>2660</v>
      </c>
    </row>
    <row r="20" spans="1:4">
      <c r="A20" s="2868" t="str">
        <f>项目基本情况!B4</f>
        <v>吴薇</v>
      </c>
      <c r="B20" s="2868">
        <f ca="1">项目基本情况!C4</f>
        <v>2002110125</v>
      </c>
      <c r="C20" s="2870"/>
      <c r="D20" s="1800" t="s">
        <v>2665</v>
      </c>
    </row>
    <row r="21" spans="1:4">
      <c r="A21" s="2868" t="str">
        <f>项目基本情况!D4</f>
        <v>赵雯</v>
      </c>
      <c r="B21" s="2868">
        <f ca="1">项目基本情况!E4</f>
        <v>2011110090</v>
      </c>
      <c r="C21" s="2870"/>
      <c r="D21" s="1800" t="s">
        <v>2666</v>
      </c>
    </row>
    <row r="23" spans="1:4">
      <c r="A23" s="3214" t="s">
        <v>2661</v>
      </c>
      <c r="B23" s="3214"/>
      <c r="C23" s="3214"/>
      <c r="D23" s="3214"/>
    </row>
    <row r="24" spans="1:4">
      <c r="A24" s="2868" t="s">
        <v>2657</v>
      </c>
      <c r="B24" s="2868" t="s">
        <v>2662</v>
      </c>
      <c r="C24" s="2868" t="s">
        <v>2659</v>
      </c>
      <c r="D24" s="2868" t="s">
        <v>2660</v>
      </c>
    </row>
    <row r="25" spans="1:4">
      <c r="A25" s="2871" t="s">
        <v>2663</v>
      </c>
      <c r="B25" s="2868" t="s">
        <v>918</v>
      </c>
      <c r="C25" s="2870"/>
      <c r="D25" s="1800" t="s">
        <v>2666</v>
      </c>
    </row>
    <row r="29" spans="1:4">
      <c r="D29" s="2869" t="s">
        <v>2002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25" t="s">
        <v>52</v>
      </c>
      <c r="B15" s="3226" t="s">
        <v>812</v>
      </c>
      <c r="C15" s="3222"/>
    </row>
    <row r="16" spans="1:7" ht="14.25">
      <c r="A16" s="3225"/>
      <c r="B16" s="3223" t="s">
        <v>53</v>
      </c>
      <c r="C16" s="1171" t="s">
        <v>52</v>
      </c>
    </row>
    <row r="17" spans="1:3" ht="14.25">
      <c r="A17" s="3225"/>
      <c r="B17" s="3223"/>
      <c r="C17" s="1171" t="s">
        <v>54</v>
      </c>
    </row>
    <row r="18" spans="1:3" ht="14.25">
      <c r="A18" s="3225"/>
      <c r="B18" s="3223"/>
      <c r="C18" s="1171" t="s">
        <v>55</v>
      </c>
    </row>
    <row r="19" spans="1:3" ht="14.25">
      <c r="A19" s="3225"/>
      <c r="B19" s="3221" t="s">
        <v>56</v>
      </c>
      <c r="C19" s="3222"/>
    </row>
    <row r="20" spans="1:3" ht="14.25">
      <c r="A20" s="1172" t="s">
        <v>57</v>
      </c>
      <c r="B20" s="1173"/>
      <c r="C20" s="1174"/>
    </row>
    <row r="21" spans="1:3" ht="14.25">
      <c r="A21" s="3224" t="s">
        <v>58</v>
      </c>
      <c r="B21" s="3221" t="s">
        <v>59</v>
      </c>
      <c r="C21" s="3222"/>
    </row>
    <row r="22" spans="1:3" ht="14.25">
      <c r="A22" s="3224"/>
      <c r="B22" s="3221" t="s">
        <v>60</v>
      </c>
      <c r="C22" s="3222"/>
    </row>
    <row r="23" spans="1:3" ht="14.25">
      <c r="A23" s="3224"/>
      <c r="B23" s="3221" t="s">
        <v>61</v>
      </c>
      <c r="C23" s="3222"/>
    </row>
    <row r="24" spans="1:3" ht="14.25">
      <c r="A24" s="3224"/>
      <c r="B24" s="3227" t="s">
        <v>62</v>
      </c>
      <c r="C24" s="1175" t="s">
        <v>803</v>
      </c>
    </row>
    <row r="25" spans="1:3" ht="14.25">
      <c r="A25" s="3224"/>
      <c r="B25" s="3228"/>
      <c r="C25" s="1175" t="s">
        <v>804</v>
      </c>
    </row>
    <row r="26" spans="1:3" ht="14.25">
      <c r="A26" s="3224"/>
      <c r="B26" s="3228"/>
      <c r="C26" s="1175" t="s">
        <v>805</v>
      </c>
    </row>
    <row r="27" spans="1:3" ht="14.25">
      <c r="A27" s="3224"/>
      <c r="B27" s="3228"/>
      <c r="C27" s="1175" t="s">
        <v>806</v>
      </c>
    </row>
    <row r="28" spans="1:3" ht="14.25">
      <c r="A28" s="3224"/>
      <c r="B28" s="3228"/>
      <c r="C28" s="1175" t="s">
        <v>807</v>
      </c>
    </row>
    <row r="29" spans="1:3" ht="14.25">
      <c r="A29" s="3224"/>
      <c r="B29" s="3228"/>
      <c r="C29" s="1175" t="s">
        <v>808</v>
      </c>
    </row>
    <row r="30" spans="1:3" ht="14.25">
      <c r="A30" s="3224"/>
      <c r="B30" s="3228"/>
      <c r="C30" s="1175" t="s">
        <v>809</v>
      </c>
    </row>
    <row r="31" spans="1:3" ht="14.25">
      <c r="A31" s="3224"/>
      <c r="B31" s="3228"/>
      <c r="C31" s="1175" t="s">
        <v>810</v>
      </c>
    </row>
    <row r="32" spans="1:3" ht="14.25">
      <c r="A32" s="3224"/>
      <c r="B32" s="3228"/>
      <c r="C32" s="1175" t="s">
        <v>1612</v>
      </c>
    </row>
    <row r="33" spans="1:3" ht="14.25">
      <c r="A33" s="3224"/>
      <c r="B33" s="3218" t="s">
        <v>1618</v>
      </c>
      <c r="C33" s="1175" t="s">
        <v>1613</v>
      </c>
    </row>
    <row r="34" spans="1:3" ht="14.25">
      <c r="A34" s="3224"/>
      <c r="B34" s="3219"/>
      <c r="C34" s="1180" t="s">
        <v>1614</v>
      </c>
    </row>
    <row r="35" spans="1:3" ht="14.25">
      <c r="A35" s="3224"/>
      <c r="B35" s="3219"/>
      <c r="C35" s="1181" t="s">
        <v>1615</v>
      </c>
    </row>
    <row r="36" spans="1:3" ht="14.25">
      <c r="A36" s="3224"/>
      <c r="B36" s="3219"/>
      <c r="C36" s="1181" t="s">
        <v>1616</v>
      </c>
    </row>
    <row r="37" spans="1:3" ht="14.25">
      <c r="A37" s="3224"/>
      <c r="B37" s="3220"/>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1870</v>
      </c>
      <c r="B2" s="1656">
        <f ca="1">TODAY()</f>
        <v>43361</v>
      </c>
      <c r="C2" s="2339" t="s">
        <v>1871</v>
      </c>
      <c r="D2" s="2340"/>
    </row>
    <row r="3" spans="1:6" ht="20.25" customHeight="1">
      <c r="A3" s="2342" t="s">
        <v>1872</v>
      </c>
      <c r="B3" s="2343" t="s">
        <v>1873</v>
      </c>
      <c r="C3" s="2343" t="s">
        <v>1874</v>
      </c>
      <c r="D3" s="2344" t="s">
        <v>1875</v>
      </c>
      <c r="E3" s="2343" t="s">
        <v>1876</v>
      </c>
      <c r="F3" s="2343" t="s">
        <v>1874</v>
      </c>
    </row>
    <row r="4" spans="1:6" ht="20.25" customHeight="1">
      <c r="A4" s="2343" t="s">
        <v>1877</v>
      </c>
      <c r="B4" s="2343">
        <f ca="1">IF(C4&lt;B2,"已过期",1119970066)</f>
        <v>1119970066</v>
      </c>
      <c r="C4" s="3006">
        <v>43849</v>
      </c>
      <c r="D4" s="2343" t="s">
        <v>1877</v>
      </c>
      <c r="E4" s="2343">
        <f ca="1">IF(F4&lt;B2,"已过期",96010014)</f>
        <v>96010014</v>
      </c>
      <c r="F4" s="3007">
        <v>47118</v>
      </c>
    </row>
    <row r="5" spans="1:6" ht="20.25" customHeight="1">
      <c r="A5" s="2343" t="s">
        <v>1878</v>
      </c>
      <c r="B5" s="2343">
        <f ca="1">IF(C5&lt;B2,"已过期",1119970074)</f>
        <v>1119970074</v>
      </c>
      <c r="C5" s="3006">
        <v>43849</v>
      </c>
      <c r="D5" s="2343" t="s">
        <v>1878</v>
      </c>
      <c r="E5" s="2343">
        <f ca="1">IF(F5&lt;B2,"已过期",2002110027)</f>
        <v>2002110027</v>
      </c>
      <c r="F5" s="3007">
        <v>46752</v>
      </c>
    </row>
    <row r="6" spans="1:6" ht="20.25" customHeight="1">
      <c r="A6" s="2343" t="s">
        <v>1879</v>
      </c>
      <c r="B6" s="2343">
        <f ca="1">IF(C6&lt;B2,"已过期",1119970111)</f>
        <v>1119970111</v>
      </c>
      <c r="C6" s="3006">
        <v>43849</v>
      </c>
      <c r="D6" s="2343" t="s">
        <v>1879</v>
      </c>
      <c r="E6" s="2343">
        <f ca="1">IF(F6&lt;B2,"已过期",94010078)</f>
        <v>94010078</v>
      </c>
      <c r="F6" s="3007">
        <v>46387</v>
      </c>
    </row>
    <row r="7" spans="1:6" ht="20.25" customHeight="1">
      <c r="A7" s="2343" t="s">
        <v>1880</v>
      </c>
      <c r="B7" s="2343">
        <f ca="1">IF(C7&lt;B2,"已过期",1120050019)</f>
        <v>1120050019</v>
      </c>
      <c r="C7" s="3006">
        <v>44395</v>
      </c>
      <c r="D7" s="2343" t="s">
        <v>1880</v>
      </c>
      <c r="E7" s="2343">
        <f ca="1">IF(F7&lt;B2,"已过期",2002110030)</f>
        <v>2002110030</v>
      </c>
      <c r="F7" s="3007">
        <v>46387</v>
      </c>
    </row>
    <row r="8" spans="1:6" ht="20.25" customHeight="1">
      <c r="A8" s="2343" t="s">
        <v>1881</v>
      </c>
      <c r="B8" s="2343">
        <f ca="1">IF(C8&lt;B2,"已过期",1120000080)</f>
        <v>1120000080</v>
      </c>
      <c r="C8" s="3006">
        <v>43849</v>
      </c>
      <c r="D8" s="2343" t="s">
        <v>1881</v>
      </c>
      <c r="E8" s="2343">
        <f ca="1">IF(F8&lt;B2,"已过期",2000110082)</f>
        <v>2000110082</v>
      </c>
      <c r="F8" s="3007">
        <v>46387</v>
      </c>
    </row>
    <row r="9" spans="1:6" ht="20.25" customHeight="1">
      <c r="A9" s="2343" t="s">
        <v>1882</v>
      </c>
      <c r="B9" s="2343">
        <f ca="1">IF(C9&lt;B2,"已过期",1419970001)</f>
        <v>1419970001</v>
      </c>
      <c r="C9" s="3006">
        <v>43867</v>
      </c>
      <c r="D9" s="2343" t="s">
        <v>1882</v>
      </c>
      <c r="E9" s="2343">
        <f ca="1">IF(F9&lt;B2,"已过期",2002110125)</f>
        <v>2002110125</v>
      </c>
      <c r="F9" s="3007">
        <v>47118</v>
      </c>
    </row>
    <row r="10" spans="1:6" ht="20.25" customHeight="1">
      <c r="A10" s="2343" t="s">
        <v>1883</v>
      </c>
      <c r="B10" s="2343">
        <f ca="1">IF(C10&lt;B2,"已过期",1120060040)</f>
        <v>1120060040</v>
      </c>
      <c r="C10" s="3006">
        <v>43483</v>
      </c>
      <c r="D10" s="2343" t="s">
        <v>1883</v>
      </c>
      <c r="E10" s="2343">
        <f ca="1">IF(F10&lt;B2,"已过期",2004110096)</f>
        <v>2004110096</v>
      </c>
      <c r="F10" s="3007">
        <v>47118</v>
      </c>
    </row>
    <row r="11" spans="1:6" ht="20.25" customHeight="1">
      <c r="A11" s="2343" t="s">
        <v>1884</v>
      </c>
      <c r="B11" s="2343">
        <f ca="1">IF(C11&lt;B2,"已过期",1120100036)</f>
        <v>1120100036</v>
      </c>
      <c r="C11" s="3006">
        <v>43622</v>
      </c>
      <c r="D11" s="2343" t="s">
        <v>1884</v>
      </c>
      <c r="E11" s="2343">
        <f ca="1">IF(F11&lt;B2,"已过期",2010110070)</f>
        <v>2010110070</v>
      </c>
      <c r="F11" s="3007">
        <v>47907</v>
      </c>
    </row>
    <row r="12" spans="1:6" ht="20.25" customHeight="1">
      <c r="A12" s="2343" t="s">
        <v>2934</v>
      </c>
      <c r="B12" s="2343">
        <v>1120110054</v>
      </c>
      <c r="C12" s="3006">
        <v>43937</v>
      </c>
      <c r="D12" s="2343" t="s">
        <v>2934</v>
      </c>
      <c r="E12" s="2343">
        <v>2008110060</v>
      </c>
      <c r="F12" s="3007">
        <v>47177</v>
      </c>
    </row>
    <row r="13" spans="1:6" ht="20.25" customHeight="1">
      <c r="A13" s="2343" t="s">
        <v>1885</v>
      </c>
      <c r="B13" s="2343">
        <f ca="1">IF(C13&lt;B2,"已过期",1120070131)</f>
        <v>1120070131</v>
      </c>
      <c r="C13" s="3006">
        <v>43814</v>
      </c>
      <c r="D13" s="2343" t="s">
        <v>1885</v>
      </c>
      <c r="E13" s="2343">
        <v>2014110011</v>
      </c>
      <c r="F13" s="3007">
        <v>49302</v>
      </c>
    </row>
    <row r="14" spans="1:6" ht="20.25" customHeight="1">
      <c r="A14" s="2343" t="s">
        <v>1886</v>
      </c>
      <c r="B14" s="2343">
        <f ca="1">IF(C14&lt;B2,"已过期",1120130020)</f>
        <v>1120130020</v>
      </c>
      <c r="C14" s="3006">
        <v>43622</v>
      </c>
      <c r="D14" s="2343"/>
      <c r="E14" s="2343"/>
      <c r="F14" s="2343"/>
    </row>
    <row r="15" spans="1:6" ht="20.25" customHeight="1">
      <c r="A15" s="2343" t="s">
        <v>2537</v>
      </c>
      <c r="B15" s="2343">
        <v>1120070085</v>
      </c>
      <c r="C15" s="3006">
        <v>43814</v>
      </c>
      <c r="D15" s="2343" t="s">
        <v>2537</v>
      </c>
      <c r="E15" s="2343">
        <v>2004110128</v>
      </c>
      <c r="F15" s="3007">
        <v>47118</v>
      </c>
    </row>
    <row r="16" spans="1:6" ht="20.25" customHeight="1">
      <c r="A16" s="2343" t="s">
        <v>1887</v>
      </c>
      <c r="B16" s="2343">
        <f ca="1">IF(C16&lt;B2,"已过期",1120140022)</f>
        <v>1120140022</v>
      </c>
      <c r="C16" s="3006">
        <v>44029</v>
      </c>
      <c r="D16" s="2343" t="s">
        <v>1887</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1888</v>
      </c>
      <c r="E21" s="2343">
        <f ca="1">IF(F21&lt;B2,"已过期",2011110090)</f>
        <v>2011110090</v>
      </c>
      <c r="F21" s="3007">
        <v>48302</v>
      </c>
    </row>
    <row r="22" spans="1:7" ht="20.25" customHeight="1">
      <c r="A22" s="2343" t="s">
        <v>1889</v>
      </c>
      <c r="B22" s="2343">
        <f ca="1">IF(C22&lt;B2,"已过期",1120020033)</f>
        <v>1120020033</v>
      </c>
      <c r="C22" s="3006">
        <v>44339</v>
      </c>
      <c r="D22" s="2343" t="s">
        <v>1889</v>
      </c>
      <c r="E22" s="2343">
        <f ca="1">IF(F22&lt;B2,"已过期",2000110137)</f>
        <v>2000110137</v>
      </c>
      <c r="F22" s="3007">
        <v>46387</v>
      </c>
    </row>
    <row r="23" spans="1:7" ht="20.25" customHeight="1">
      <c r="A23" s="2343" t="s">
        <v>1890</v>
      </c>
      <c r="B23" s="2343">
        <f ca="1">IF(C23&lt;B2,"已过期",1120130048)</f>
        <v>1120130048</v>
      </c>
      <c r="C23" s="3006">
        <v>43686</v>
      </c>
      <c r="D23" s="2343"/>
      <c r="E23" s="2343"/>
      <c r="F23" s="2343"/>
    </row>
    <row r="24" spans="1:7" s="2347" customFormat="1" ht="20.25" customHeight="1">
      <c r="A24" s="2345" t="s">
        <v>2016</v>
      </c>
      <c r="B24" s="2345" t="s">
        <v>2016</v>
      </c>
      <c r="C24" s="3006"/>
      <c r="D24" s="3008" t="s">
        <v>2016</v>
      </c>
      <c r="E24" s="2345" t="s">
        <v>2016</v>
      </c>
      <c r="F24" s="2346"/>
    </row>
    <row r="25" spans="1:7" ht="20.25" customHeight="1">
      <c r="A25" s="3229" t="s">
        <v>1891</v>
      </c>
      <c r="B25" s="3229"/>
      <c r="C25" s="3229"/>
      <c r="D25" s="3229"/>
      <c r="E25" s="3229"/>
      <c r="F25" s="3229"/>
      <c r="G25" s="3229"/>
    </row>
    <row r="26" spans="1:7" ht="20.25" customHeight="1">
      <c r="A26" s="3230" t="s">
        <v>1892</v>
      </c>
      <c r="B26" s="3230"/>
      <c r="C26" s="3230"/>
      <c r="D26" s="3230" t="s">
        <v>1893</v>
      </c>
      <c r="E26" s="3230"/>
      <c r="F26" s="3230"/>
    </row>
    <row r="27" spans="1:7" s="2351" customFormat="1" ht="20.25" customHeight="1">
      <c r="A27" s="2348" t="s">
        <v>1894</v>
      </c>
      <c r="B27" s="2349" t="s">
        <v>1895</v>
      </c>
      <c r="C27" s="2349" t="s">
        <v>1896</v>
      </c>
      <c r="D27" s="2350" t="s">
        <v>1894</v>
      </c>
      <c r="E27" s="2349" t="s">
        <v>1895</v>
      </c>
      <c r="F27" s="2349" t="s">
        <v>1896</v>
      </c>
    </row>
    <row r="28" spans="1:7" s="2351" customFormat="1" ht="20.25" customHeight="1">
      <c r="A28" s="2352" t="s">
        <v>1897</v>
      </c>
      <c r="B28" s="2352" t="s">
        <v>1898</v>
      </c>
      <c r="C28" s="2353">
        <v>43725</v>
      </c>
      <c r="D28" s="2352" t="s">
        <v>1899</v>
      </c>
      <c r="E28" s="2352" t="s">
        <v>1900</v>
      </c>
      <c r="F28" s="2354">
        <v>44377</v>
      </c>
    </row>
    <row r="29" spans="1:7" s="2351" customFormat="1" ht="20.25" customHeight="1">
      <c r="A29" s="2352"/>
      <c r="B29" s="2352"/>
      <c r="C29" s="2355"/>
      <c r="D29" s="2352" t="s">
        <v>1901</v>
      </c>
      <c r="E29" s="2356" t="s">
        <v>2902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5" sqref="B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2508</v>
      </c>
      <c r="R1" s="2582" t="s">
        <v>2502</v>
      </c>
      <c r="S1" s="6" t="s">
        <v>119</v>
      </c>
      <c r="T1" s="7" t="s">
        <v>120</v>
      </c>
      <c r="U1" s="6" t="s">
        <v>121</v>
      </c>
      <c r="V1" s="6" t="s">
        <v>122</v>
      </c>
      <c r="W1" s="1003" t="s">
        <v>840</v>
      </c>
    </row>
    <row r="2" spans="1:23">
      <c r="A2" s="3112" t="s">
        <v>2940</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2503</v>
      </c>
      <c r="S2" s="9" t="s">
        <v>73</v>
      </c>
      <c r="T2" s="9" t="s">
        <v>74</v>
      </c>
      <c r="U2" s="9" t="s">
        <v>73</v>
      </c>
      <c r="V2" s="9" t="s">
        <v>75</v>
      </c>
      <c r="W2" s="9" t="s">
        <v>841</v>
      </c>
    </row>
    <row r="3" spans="1:23">
      <c r="A3" s="8"/>
      <c r="B3" s="10"/>
      <c r="C3" s="1551" t="s">
        <v>1673</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2504</v>
      </c>
      <c r="S3" s="9" t="s">
        <v>81</v>
      </c>
      <c r="T3" s="9" t="s">
        <v>82</v>
      </c>
      <c r="U3" s="9" t="s">
        <v>81</v>
      </c>
      <c r="V3" s="9" t="s">
        <v>83</v>
      </c>
      <c r="W3" s="9" t="s">
        <v>842</v>
      </c>
    </row>
    <row r="4" spans="1:23">
      <c r="A4" s="8"/>
      <c r="B4" s="8" t="s">
        <v>124</v>
      </c>
      <c r="C4" s="1550" t="s">
        <v>1674</v>
      </c>
      <c r="D4" s="9" t="s">
        <v>1958</v>
      </c>
      <c r="E4" s="9" t="s">
        <v>84</v>
      </c>
      <c r="F4" s="9" t="s">
        <v>85</v>
      </c>
      <c r="G4" s="9">
        <v>70</v>
      </c>
      <c r="H4" s="9" t="s">
        <v>86</v>
      </c>
      <c r="I4" s="9" t="s">
        <v>87</v>
      </c>
      <c r="K4" s="9" t="s">
        <v>88</v>
      </c>
      <c r="L4" s="9" t="s">
        <v>88</v>
      </c>
      <c r="M4" s="9" t="s">
        <v>88</v>
      </c>
      <c r="N4" s="9" t="s">
        <v>88</v>
      </c>
      <c r="O4" s="9" t="s">
        <v>88</v>
      </c>
      <c r="P4" s="1005" t="s">
        <v>726</v>
      </c>
      <c r="Q4" s="9" t="s">
        <v>88</v>
      </c>
      <c r="R4" s="1005" t="s">
        <v>2505</v>
      </c>
      <c r="S4" s="9" t="s">
        <v>88</v>
      </c>
      <c r="T4" s="9" t="s">
        <v>89</v>
      </c>
      <c r="U4" s="9" t="s">
        <v>88</v>
      </c>
      <c r="W4" s="9" t="s">
        <v>843</v>
      </c>
    </row>
    <row r="5" spans="1:23">
      <c r="A5" s="8"/>
      <c r="B5" s="8"/>
      <c r="C5" s="1550" t="s">
        <v>1675</v>
      </c>
      <c r="F5" s="9" t="s">
        <v>90</v>
      </c>
      <c r="H5" s="9" t="s">
        <v>69</v>
      </c>
      <c r="I5" s="9" t="s">
        <v>91</v>
      </c>
      <c r="K5" s="9" t="s">
        <v>92</v>
      </c>
      <c r="L5" s="9" t="s">
        <v>92</v>
      </c>
      <c r="M5" s="9" t="s">
        <v>92</v>
      </c>
      <c r="N5" s="9" t="s">
        <v>92</v>
      </c>
      <c r="O5" s="9" t="s">
        <v>92</v>
      </c>
      <c r="P5" s="1005" t="s">
        <v>512</v>
      </c>
      <c r="Q5" s="9" t="s">
        <v>92</v>
      </c>
      <c r="R5" s="1005" t="s">
        <v>2506</v>
      </c>
      <c r="S5" s="9" t="s">
        <v>92</v>
      </c>
      <c r="T5" s="9" t="s">
        <v>93</v>
      </c>
      <c r="U5" s="9" t="s">
        <v>92</v>
      </c>
      <c r="W5" s="9" t="s">
        <v>844</v>
      </c>
    </row>
    <row r="6" spans="1:23">
      <c r="A6" s="8"/>
      <c r="B6" s="1148"/>
      <c r="C6" s="1552" t="s">
        <v>1676</v>
      </c>
      <c r="F6" s="9" t="s">
        <v>70</v>
      </c>
      <c r="H6" s="9" t="s">
        <v>71</v>
      </c>
      <c r="I6" s="9" t="s">
        <v>94</v>
      </c>
      <c r="K6" s="9" t="s">
        <v>95</v>
      </c>
      <c r="L6" s="9" t="s">
        <v>95</v>
      </c>
      <c r="M6" s="9" t="s">
        <v>95</v>
      </c>
      <c r="N6" s="9" t="s">
        <v>95</v>
      </c>
      <c r="O6" s="9" t="s">
        <v>95</v>
      </c>
      <c r="P6" s="1005" t="s">
        <v>847</v>
      </c>
      <c r="Q6" s="9" t="s">
        <v>95</v>
      </c>
      <c r="R6" s="1005" t="s">
        <v>2507</v>
      </c>
      <c r="S6" s="9" t="s">
        <v>95</v>
      </c>
      <c r="T6" s="9"/>
      <c r="U6" s="9" t="s">
        <v>95</v>
      </c>
      <c r="W6" s="9" t="s">
        <v>845</v>
      </c>
    </row>
    <row r="7" spans="1:23">
      <c r="A7" s="8"/>
      <c r="B7" s="8"/>
      <c r="C7" s="1550" t="s">
        <v>1677</v>
      </c>
      <c r="F7" s="9" t="s">
        <v>125</v>
      </c>
      <c r="H7" s="9" t="s">
        <v>96</v>
      </c>
      <c r="I7" s="9" t="s">
        <v>97</v>
      </c>
    </row>
    <row r="8" spans="1:23">
      <c r="A8" s="8"/>
      <c r="B8" s="8"/>
      <c r="C8" s="1550" t="s">
        <v>1678</v>
      </c>
      <c r="F8" s="9" t="s">
        <v>126</v>
      </c>
      <c r="H8" s="9"/>
      <c r="I8" s="9" t="s">
        <v>98</v>
      </c>
    </row>
    <row r="9" spans="1:23">
      <c r="A9" s="8"/>
      <c r="B9" s="8" t="s">
        <v>127</v>
      </c>
      <c r="C9" s="1550" t="s">
        <v>1679</v>
      </c>
      <c r="F9" s="9" t="s">
        <v>99</v>
      </c>
      <c r="H9" s="9"/>
    </row>
    <row r="10" spans="1:23">
      <c r="A10" s="8"/>
      <c r="B10" s="8"/>
      <c r="C10" s="1550" t="s">
        <v>1680</v>
      </c>
      <c r="F10" s="9" t="s">
        <v>6</v>
      </c>
    </row>
    <row r="11" spans="1:23">
      <c r="A11" s="8"/>
      <c r="B11" s="8"/>
      <c r="C11" s="1550" t="s">
        <v>1681</v>
      </c>
    </row>
    <row r="12" spans="1:23">
      <c r="A12" s="8"/>
      <c r="B12" s="8"/>
      <c r="C12" s="1550" t="s">
        <v>1682</v>
      </c>
    </row>
    <row r="13" spans="1:23">
      <c r="A13" s="8"/>
      <c r="B13" s="8"/>
      <c r="C13" s="1550" t="s">
        <v>1683</v>
      </c>
    </row>
    <row r="14" spans="1:23">
      <c r="A14" s="8"/>
      <c r="B14" s="8"/>
      <c r="C14" s="1553" t="s">
        <v>1859</v>
      </c>
    </row>
    <row r="15" spans="1:23">
      <c r="A15" s="8"/>
      <c r="B15" s="8"/>
      <c r="C15" s="1553"/>
    </row>
    <row r="16" spans="1:23">
      <c r="A16" s="8"/>
      <c r="B16" s="8"/>
      <c r="C16" s="1553"/>
    </row>
    <row r="17" spans="1:3">
      <c r="A17" s="8"/>
      <c r="B17" s="8"/>
      <c r="C17" s="1553"/>
    </row>
    <row r="18" spans="1:3">
      <c r="A18" s="8"/>
      <c r="B18" s="3112"/>
      <c r="C18" s="1553"/>
    </row>
    <row r="19" spans="1:3">
      <c r="A19" s="8"/>
      <c r="B19" s="3112"/>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1950</v>
      </c>
      <c r="B52" s="1768" t="s">
        <v>1951</v>
      </c>
      <c r="C52" s="1766" t="s">
        <v>1952</v>
      </c>
      <c r="D52" s="1766" t="s">
        <v>1953</v>
      </c>
      <c r="E52" s="1767"/>
    </row>
    <row r="53" spans="1:5">
      <c r="A53" s="3231" t="s">
        <v>1954</v>
      </c>
      <c r="B53" s="1766" t="s">
        <v>1960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c r="D53" s="1767"/>
      <c r="E53" s="1767"/>
    </row>
    <row r="54" spans="1:5">
      <c r="A54" s="3231"/>
      <c r="B54" s="1766" t="s">
        <v>1961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1955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1956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1957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2012</v>
      </c>
      <c r="B58" s="1766" t="s">
        <v>2013</v>
      </c>
      <c r="C58" s="11" t="s">
        <v>2014</v>
      </c>
      <c r="D58" s="1318"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政策</vt:lpstr>
      <vt:lpstr>现房案例</vt:lpstr>
      <vt:lpstr>土地案例</vt:lpstr>
      <vt:lpstr>土地案例-住宅</vt:lpstr>
      <vt:lpstr>土地案例-商业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2018-09-18T06:30:00Z</dcterms:modified>
</cp:coreProperties>
</file>