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97北京市西城区车公庄大街9号院5号楼7层702\"/>
    </mc:Choice>
  </mc:AlternateContent>
  <bookViews>
    <workbookView xWindow="13785" yWindow="-45" windowWidth="15390" windowHeight="124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c r="C6" i="69"/>
  <c r="AH6" i="1"/>
  <c r="Y6" i="1"/>
  <c r="N18" i="1"/>
  <c r="F19" i="6"/>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30" i="79"/>
  <c r="AD36" i="79"/>
  <c r="S37" i="79"/>
  <c r="U39" i="79"/>
  <c r="AD40" i="79"/>
  <c r="U26" i="79"/>
  <c r="U28" i="79"/>
  <c r="U38" i="79"/>
  <c r="AD39" i="79"/>
  <c r="S40" i="79"/>
  <c r="U16" i="79"/>
  <c r="T26" i="79"/>
  <c r="W26" i="79" s="1"/>
  <c r="AB3" i="79"/>
  <c r="L3" i="79"/>
  <c r="Y3" i="79"/>
  <c r="AC3" i="79"/>
  <c r="S15"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X22" i="71" s="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P68" i="71" s="1"/>
  <c r="C68" i="71"/>
  <c r="B68" i="71"/>
  <c r="S68" i="71"/>
  <c r="F67" i="71"/>
  <c r="F66" i="71" s="1"/>
  <c r="Q66" i="71"/>
  <c r="B67" i="71"/>
  <c r="B66" i="71" s="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D58" i="71" s="1"/>
  <c r="N57" i="71"/>
  <c r="B58" i="71"/>
  <c r="B59" i="71" s="1"/>
  <c r="B60" i="71" s="1"/>
  <c r="S60" i="71" s="1"/>
  <c r="D57" i="71"/>
  <c r="Q56" i="71"/>
  <c r="P56" i="71"/>
  <c r="O56" i="71"/>
  <c r="N56" i="71"/>
  <c r="Q55" i="71"/>
  <c r="P55" i="71"/>
  <c r="O55" i="71"/>
  <c r="N55" i="71"/>
  <c r="Q54" i="71"/>
  <c r="P54" i="71"/>
  <c r="O54" i="71"/>
  <c r="N54" i="71"/>
  <c r="C54" i="71"/>
  <c r="Q53" i="71"/>
  <c r="F54" i="71" s="1"/>
  <c r="F55" i="71"/>
  <c r="F56" i="71" s="1"/>
  <c r="V56" i="71" s="1"/>
  <c r="P53" i="71"/>
  <c r="E54" i="71"/>
  <c r="E55" i="71" s="1"/>
  <c r="E56" i="71" s="1"/>
  <c r="U56" i="71" s="1"/>
  <c r="O53" i="71"/>
  <c r="N53" i="71"/>
  <c r="B54" i="71" s="1"/>
  <c r="B55" i="71" s="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s="1"/>
  <c r="B44" i="71" s="1"/>
  <c r="S44" i="71" s="1"/>
  <c r="D41" i="71"/>
  <c r="Q40" i="71"/>
  <c r="P40" i="71"/>
  <c r="O40" i="71"/>
  <c r="N40" i="71"/>
  <c r="AB39" i="71"/>
  <c r="Q39" i="71"/>
  <c r="P39" i="71"/>
  <c r="AA39" i="71"/>
  <c r="O39" i="71"/>
  <c r="N39" i="71"/>
  <c r="X39" i="71" s="1"/>
  <c r="Q38" i="71"/>
  <c r="AB38" i="71" s="1"/>
  <c r="P38" i="71"/>
  <c r="O38" i="71"/>
  <c r="Y37" i="71" s="1"/>
  <c r="Z37" i="71" s="1"/>
  <c r="N38" i="71"/>
  <c r="X36" i="71" s="1"/>
  <c r="Q37" i="71"/>
  <c r="AB37" i="71" s="1"/>
  <c r="P37" i="71"/>
  <c r="O37" i="71"/>
  <c r="N37" i="71"/>
  <c r="D37" i="71"/>
  <c r="Q36" i="71"/>
  <c r="P36" i="71"/>
  <c r="AA36" i="71" s="1"/>
  <c r="O36" i="71"/>
  <c r="Y34" i="71" s="1"/>
  <c r="Z34" i="71" s="1"/>
  <c r="Y36" i="71"/>
  <c r="Z36" i="71" s="1"/>
  <c r="N36" i="71"/>
  <c r="Q35" i="71"/>
  <c r="AB35" i="71" s="1"/>
  <c r="P35" i="71"/>
  <c r="O35" i="71"/>
  <c r="N35" i="71"/>
  <c r="Q34" i="71"/>
  <c r="P34" i="71"/>
  <c r="O34" i="71"/>
  <c r="N34" i="71"/>
  <c r="F35" i="71"/>
  <c r="F36" i="71" s="1"/>
  <c r="V36" i="71" s="1"/>
  <c r="Q33" i="71"/>
  <c r="F34" i="71" s="1"/>
  <c r="P33" i="71"/>
  <c r="AA31" i="71" s="1"/>
  <c r="O33" i="71"/>
  <c r="N33" i="71"/>
  <c r="X33" i="71" s="1"/>
  <c r="D33" i="71"/>
  <c r="Q32" i="71"/>
  <c r="AB32" i="71" s="1"/>
  <c r="P32" i="71"/>
  <c r="O32" i="71"/>
  <c r="Y32" i="71"/>
  <c r="Z32" i="71" s="1"/>
  <c r="N32" i="71"/>
  <c r="Q31" i="71"/>
  <c r="AB31" i="71"/>
  <c r="P31" i="71"/>
  <c r="O31" i="71"/>
  <c r="N31" i="71"/>
  <c r="X31" i="71" s="1"/>
  <c r="Q30" i="71"/>
  <c r="P30" i="71"/>
  <c r="O30" i="71"/>
  <c r="Y29" i="71" s="1"/>
  <c r="Z29" i="71" s="1"/>
  <c r="Y30" i="71"/>
  <c r="Z30" i="71" s="1"/>
  <c r="N30" i="71"/>
  <c r="F30" i="71"/>
  <c r="F31" i="71" s="1"/>
  <c r="F32" i="71" s="1"/>
  <c r="V32" i="71" s="1"/>
  <c r="Q29" i="71"/>
  <c r="P29" i="71"/>
  <c r="AA29" i="71" s="1"/>
  <c r="O29" i="71"/>
  <c r="N29" i="71"/>
  <c r="X26" i="71" s="1"/>
  <c r="D29" i="71"/>
  <c r="O28" i="71"/>
  <c r="Y26" i="71" s="1"/>
  <c r="Z26" i="71" s="1"/>
  <c r="N28" i="71"/>
  <c r="B30" i="71"/>
  <c r="B31" i="71" s="1"/>
  <c r="B32" i="71" s="1"/>
  <c r="S32" i="71" s="1"/>
  <c r="E30" i="71"/>
  <c r="E31" i="71" s="1"/>
  <c r="E32" i="71" s="1"/>
  <c r="U32" i="71" s="1"/>
  <c r="B34" i="71"/>
  <c r="B35" i="71" s="1"/>
  <c r="B36" i="71" s="1"/>
  <c r="S36" i="71" s="1"/>
  <c r="E38" i="71"/>
  <c r="E39" i="71"/>
  <c r="E40" i="71" s="1"/>
  <c r="U40" i="71" s="1"/>
  <c r="AA37" i="71"/>
  <c r="N68" i="71"/>
  <c r="E34" i="71"/>
  <c r="E35" i="71" s="1"/>
  <c r="E36" i="71" s="1"/>
  <c r="U36" i="71" s="1"/>
  <c r="C30" i="71"/>
  <c r="AA30" i="71"/>
  <c r="C34" i="71"/>
  <c r="C35" i="71" s="1"/>
  <c r="X34" i="71"/>
  <c r="AA35" i="71"/>
  <c r="C38" i="71"/>
  <c r="C39" i="71" s="1"/>
  <c r="AA38" i="71"/>
  <c r="C28" i="71"/>
  <c r="Y25" i="71"/>
  <c r="Z25" i="71" s="1"/>
  <c r="Y27" i="71"/>
  <c r="Z27" i="71" s="1"/>
  <c r="Y28" i="71"/>
  <c r="Z28" i="71" s="1"/>
  <c r="B28" i="71"/>
  <c r="B27" i="71" s="1"/>
  <c r="B26" i="71"/>
  <c r="X25" i="71"/>
  <c r="C31" i="71"/>
  <c r="C32" i="71" s="1"/>
  <c r="D30" i="71"/>
  <c r="D38" i="71"/>
  <c r="D42" i="71"/>
  <c r="C47" i="71"/>
  <c r="D47" i="71"/>
  <c r="C51" i="71"/>
  <c r="D50" i="71"/>
  <c r="P28" i="71"/>
  <c r="AA26" i="71" s="1"/>
  <c r="E59" i="71"/>
  <c r="E60" i="71" s="1"/>
  <c r="U60" i="71" s="1"/>
  <c r="E63" i="71"/>
  <c r="E64" i="71"/>
  <c r="U64" i="71" s="1"/>
  <c r="Q65" i="71"/>
  <c r="U68" i="71"/>
  <c r="E67" i="71"/>
  <c r="E66" i="71" s="1"/>
  <c r="Q28" i="71"/>
  <c r="AB24" i="71" s="1"/>
  <c r="C55" i="71"/>
  <c r="D54" i="71"/>
  <c r="C59" i="71"/>
  <c r="D59" i="71" s="1"/>
  <c r="C63" i="71"/>
  <c r="C64" i="71" s="1"/>
  <c r="D62" i="71"/>
  <c r="N67" i="71"/>
  <c r="Q67" i="71"/>
  <c r="T68" i="71"/>
  <c r="O68" i="71"/>
  <c r="D68" i="71"/>
  <c r="C67" i="71"/>
  <c r="Q68" i="71"/>
  <c r="C71" i="71"/>
  <c r="D71" i="71" s="1"/>
  <c r="E71" i="71"/>
  <c r="E70" i="71"/>
  <c r="D72" i="71"/>
  <c r="C75" i="71"/>
  <c r="D75" i="71" s="1"/>
  <c r="E75" i="71"/>
  <c r="E74" i="71"/>
  <c r="D76" i="71"/>
  <c r="C79" i="71"/>
  <c r="D79" i="71" s="1"/>
  <c r="E79" i="71"/>
  <c r="E78" i="71"/>
  <c r="D80" i="71"/>
  <c r="C83" i="71"/>
  <c r="D83" i="71" s="1"/>
  <c r="C87" i="71"/>
  <c r="T28" i="71"/>
  <c r="C27" i="71"/>
  <c r="S28" i="71"/>
  <c r="F28" i="71"/>
  <c r="F27" i="71"/>
  <c r="F26" i="71" s="1"/>
  <c r="AB25" i="71"/>
  <c r="AB27" i="71"/>
  <c r="AB28" i="71"/>
  <c r="E28" i="71"/>
  <c r="E27" i="71" s="1"/>
  <c r="E26" i="71" s="1"/>
  <c r="AA25" i="71"/>
  <c r="D28" i="71"/>
  <c r="U28" i="71" s="1"/>
  <c r="C66" i="71"/>
  <c r="O67" i="71"/>
  <c r="D67" i="71"/>
  <c r="D63" i="71"/>
  <c r="C82" i="71"/>
  <c r="D82" i="71" s="1"/>
  <c r="D87" i="71"/>
  <c r="C86" i="71"/>
  <c r="D86" i="71" s="1"/>
  <c r="C60" i="71"/>
  <c r="T60" i="71" s="1"/>
  <c r="C56" i="71"/>
  <c r="D55" i="71"/>
  <c r="P67" i="71"/>
  <c r="C52" i="71"/>
  <c r="T52" i="71" s="1"/>
  <c r="D51" i="71"/>
  <c r="C26" i="71"/>
  <c r="D26" i="71" s="1"/>
  <c r="D27" i="71"/>
  <c r="O66" i="71"/>
  <c r="D66" i="71"/>
  <c r="O65" i="71"/>
  <c r="D52" i="71"/>
  <c r="T56" i="71"/>
  <c r="D5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AA18" i="35" s="1"/>
  <c r="C18" i="35"/>
  <c r="Q21" i="37"/>
  <c r="Z21" i="37" s="1"/>
  <c r="D77" i="37"/>
  <c r="E77" i="37" s="1"/>
  <c r="F77" i="37" s="1"/>
  <c r="G77" i="37" s="1"/>
  <c r="C21" i="37"/>
  <c r="Z21" i="34"/>
  <c r="Q21" i="34"/>
  <c r="D84" i="34"/>
  <c r="E84" i="34"/>
  <c r="F21" i="34"/>
  <c r="AA21" i="34" s="1"/>
  <c r="C21" i="34"/>
  <c r="Q21" i="33"/>
  <c r="Z21" i="33" s="1"/>
  <c r="D83" i="33"/>
  <c r="E83" i="33" s="1"/>
  <c r="F83" i="33" s="1"/>
  <c r="G83" i="33" s="1"/>
  <c r="C21" i="33"/>
  <c r="C21" i="21"/>
  <c r="Q21" i="21"/>
  <c r="Z21" i="21" s="1"/>
  <c r="H19" i="21"/>
  <c r="D83" i="21"/>
  <c r="F21" i="21"/>
  <c r="AA21" i="21" s="1"/>
  <c r="D81" i="21"/>
  <c r="G20" i="20"/>
  <c r="B88" i="43" s="1"/>
  <c r="C22" i="20"/>
  <c r="B100" i="43" s="1"/>
  <c r="B77" i="43"/>
  <c r="B57" i="43"/>
  <c r="B68" i="43"/>
  <c r="C29" i="39"/>
  <c r="S25" i="40"/>
  <c r="S18" i="36"/>
  <c r="S21" i="34"/>
  <c r="F94" i="40"/>
  <c r="G94" i="40" s="1"/>
  <c r="H25" i="40"/>
  <c r="AB25" i="40" s="1"/>
  <c r="J25" i="40"/>
  <c r="W25" i="40" s="1"/>
  <c r="H29" i="39"/>
  <c r="AB29" i="39" s="1"/>
  <c r="J29" i="39"/>
  <c r="AC29" i="39" s="1"/>
  <c r="J18" i="36"/>
  <c r="AC18" i="36" s="1"/>
  <c r="F68" i="35"/>
  <c r="H18" i="35"/>
  <c r="AB18" i="35" s="1"/>
  <c r="G68" i="35"/>
  <c r="J18" i="35"/>
  <c r="W18" i="35" s="1"/>
  <c r="H21" i="37"/>
  <c r="F21" i="37"/>
  <c r="AA21" i="37" s="1"/>
  <c r="F84" i="34"/>
  <c r="H21" i="34"/>
  <c r="H21" i="33"/>
  <c r="U21" i="33" s="1"/>
  <c r="F21" i="33"/>
  <c r="S21" i="33" s="1"/>
  <c r="E83" i="21"/>
  <c r="H1" i="69"/>
  <c r="U25" i="40"/>
  <c r="U29" i="39"/>
  <c r="W29" i="39"/>
  <c r="W18" i="36"/>
  <c r="AB21" i="37"/>
  <c r="U21" i="37"/>
  <c r="AB21" i="34"/>
  <c r="U21" i="34"/>
  <c r="AB21" i="33"/>
  <c r="AA21" i="33"/>
  <c r="U18" i="35"/>
  <c r="AC18" i="35"/>
  <c r="J21" i="37"/>
  <c r="W21" i="37" s="1"/>
  <c r="G84" i="34"/>
  <c r="J21" i="34"/>
  <c r="W21" i="34" s="1"/>
  <c r="J21" i="33"/>
  <c r="W21" i="33" s="1"/>
  <c r="F83" i="21"/>
  <c r="H21" i="21"/>
  <c r="U21" i="21" s="1"/>
  <c r="F38" i="69"/>
  <c r="E37" i="69"/>
  <c r="F36" i="69"/>
  <c r="F35" i="69"/>
  <c r="F21" i="69"/>
  <c r="F40" i="69" s="1"/>
  <c r="F20" i="69"/>
  <c r="F39" i="69" s="1"/>
  <c r="E10" i="69"/>
  <c r="E9" i="69"/>
  <c r="AC21" i="37"/>
  <c r="AC21" i="34"/>
  <c r="AB21" i="21"/>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L38" i="3" s="1"/>
  <c r="AZ38" i="3" s="1"/>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L19" i="3" s="1"/>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BC125" i="3"/>
  <c r="BB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BC293" i="3"/>
  <c r="BB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M5" i="3" s="1"/>
  <c r="BN493" i="3"/>
  <c r="BO493" i="3"/>
  <c r="BP493" i="3"/>
  <c r="BR493" i="3"/>
  <c r="BR5" i="3" s="1"/>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P5" i="3" s="1"/>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L519" i="3" s="1"/>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c r="L76" i="40" s="1"/>
  <c r="M76" i="40" s="1"/>
  <c r="B120" i="40"/>
  <c r="B118" i="40"/>
  <c r="B116" i="40"/>
  <c r="D115" i="40"/>
  <c r="E115" i="40" s="1"/>
  <c r="F115" i="40" s="1"/>
  <c r="G115" i="40"/>
  <c r="H115" i="40" s="1"/>
  <c r="I115" i="40" s="1"/>
  <c r="J115" i="40" s="1"/>
  <c r="K115" i="40" s="1"/>
  <c r="L115" i="40" s="1"/>
  <c r="M115" i="40" s="1"/>
  <c r="D113" i="40"/>
  <c r="E113" i="40"/>
  <c r="F113" i="40"/>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c r="K100" i="40" s="1"/>
  <c r="L100" i="40" s="1"/>
  <c r="M100" i="40" s="1"/>
  <c r="D98" i="40"/>
  <c r="J28" i="40"/>
  <c r="AC28" i="40" s="1"/>
  <c r="D96" i="40"/>
  <c r="E96" i="40"/>
  <c r="F96" i="40"/>
  <c r="G96" i="40" s="1"/>
  <c r="H96" i="40" s="1"/>
  <c r="I96" i="40" s="1"/>
  <c r="J96" i="40" s="1"/>
  <c r="K96" i="40" s="1"/>
  <c r="L96" i="40" s="1"/>
  <c r="M96" i="40" s="1"/>
  <c r="B95" i="40"/>
  <c r="D92" i="40"/>
  <c r="E92" i="40" s="1"/>
  <c r="F92" i="40"/>
  <c r="G92" i="40" s="1"/>
  <c r="D90" i="40"/>
  <c r="E90" i="40" s="1"/>
  <c r="F90" i="40" s="1"/>
  <c r="G90" i="40" s="1"/>
  <c r="D88" i="40"/>
  <c r="E88" i="40" s="1"/>
  <c r="D86" i="40"/>
  <c r="E86" i="40" s="1"/>
  <c r="F86" i="40"/>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D105" i="37"/>
  <c r="E105" i="37"/>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c r="Q27" i="37"/>
  <c r="Z27" i="37" s="1"/>
  <c r="Q26" i="37"/>
  <c r="Z26" i="37"/>
  <c r="J26" i="37"/>
  <c r="AC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c r="B71" i="36"/>
  <c r="D70" i="36"/>
  <c r="H22" i="36"/>
  <c r="AB22" i="36"/>
  <c r="D68" i="36"/>
  <c r="E68" i="36"/>
  <c r="F68" i="36" s="1"/>
  <c r="G68" i="36" s="1"/>
  <c r="D64" i="36"/>
  <c r="E64" i="36" s="1"/>
  <c r="F64" i="36" s="1"/>
  <c r="G64" i="36" s="1"/>
  <c r="J16" i="36"/>
  <c r="W16" i="36"/>
  <c r="D62" i="36"/>
  <c r="E62" i="36"/>
  <c r="F62" i="36" s="1"/>
  <c r="G62" i="36"/>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s="1"/>
  <c r="H26" i="36"/>
  <c r="Q25" i="36"/>
  <c r="Z25" i="36"/>
  <c r="Q24" i="36"/>
  <c r="Z24" i="36" s="1"/>
  <c r="H24" i="36"/>
  <c r="Q23" i="36"/>
  <c r="Z23" i="36" s="1"/>
  <c r="J23" i="36"/>
  <c r="AC23" i="36"/>
  <c r="H23" i="36"/>
  <c r="AB23" i="36" s="1"/>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B57" i="35"/>
  <c r="B61" i="35"/>
  <c r="B59" i="35"/>
  <c r="J12" i="35" s="1"/>
  <c r="W12" i="35" s="1"/>
  <c r="B131" i="34"/>
  <c r="F47" i="34" s="1"/>
  <c r="B129" i="34"/>
  <c r="B127" i="34"/>
  <c r="B99" i="34"/>
  <c r="B97" i="34"/>
  <c r="H31" i="34" s="1"/>
  <c r="B95" i="34"/>
  <c r="B93" i="34"/>
  <c r="H29" i="34" s="1"/>
  <c r="B75" i="34"/>
  <c r="B73" i="34"/>
  <c r="B71" i="34"/>
  <c r="B130" i="33"/>
  <c r="F46" i="33" s="1"/>
  <c r="B128" i="33"/>
  <c r="B126" i="33"/>
  <c r="F44" i="33" s="1"/>
  <c r="AA44" i="33" s="1"/>
  <c r="B98" i="33"/>
  <c r="B96" i="33"/>
  <c r="J30" i="33" s="1"/>
  <c r="B94" i="33"/>
  <c r="B74" i="33"/>
  <c r="B72" i="33"/>
  <c r="B70" i="33"/>
  <c r="J12" i="33" s="1"/>
  <c r="D96" i="35"/>
  <c r="E96" i="35" s="1"/>
  <c r="F96" i="35" s="1"/>
  <c r="G96" i="35"/>
  <c r="D94" i="35"/>
  <c r="E94" i="35" s="1"/>
  <c r="F94" i="35"/>
  <c r="G94" i="35" s="1"/>
  <c r="H94" i="35" s="1"/>
  <c r="I94" i="35" s="1"/>
  <c r="J94" i="35" s="1"/>
  <c r="K94" i="35"/>
  <c r="L94" i="35" s="1"/>
  <c r="M94" i="35" s="1"/>
  <c r="D84" i="35"/>
  <c r="E84" i="35" s="1"/>
  <c r="F84" i="35"/>
  <c r="G84" i="35" s="1"/>
  <c r="H84" i="35" s="1"/>
  <c r="I84" i="35" s="1"/>
  <c r="J84" i="35" s="1"/>
  <c r="K84" i="35" s="1"/>
  <c r="L84" i="35"/>
  <c r="M84" i="35" s="1"/>
  <c r="D80" i="35"/>
  <c r="E80" i="35" s="1"/>
  <c r="F80" i="35" s="1"/>
  <c r="G80" i="35"/>
  <c r="H80" i="35" s="1"/>
  <c r="I80" i="35" s="1"/>
  <c r="J80" i="35" s="1"/>
  <c r="K80" i="35" s="1"/>
  <c r="L80" i="35" s="1"/>
  <c r="M80" i="35" s="1"/>
  <c r="D72" i="35"/>
  <c r="E72" i="35"/>
  <c r="F72" i="35" s="1"/>
  <c r="G72" i="35" s="1"/>
  <c r="D70" i="35"/>
  <c r="E70" i="35" s="1"/>
  <c r="F70" i="35"/>
  <c r="G70" i="35" s="1"/>
  <c r="D66" i="35"/>
  <c r="E66" i="35"/>
  <c r="F66" i="35" s="1"/>
  <c r="G66" i="35" s="1"/>
  <c r="D64" i="35"/>
  <c r="E64" i="35" s="1"/>
  <c r="F64" i="35"/>
  <c r="G64" i="35" s="1"/>
  <c r="J14" i="35"/>
  <c r="W14" i="35"/>
  <c r="C53" i="35"/>
  <c r="J9" i="35" s="1"/>
  <c r="P39" i="35"/>
  <c r="P38" i="35"/>
  <c r="V37" i="35"/>
  <c r="T37" i="35"/>
  <c r="R37" i="35"/>
  <c r="P37" i="35"/>
  <c r="Q36" i="35"/>
  <c r="Z36" i="35" s="1"/>
  <c r="J36" i="35"/>
  <c r="AC36" i="35"/>
  <c r="Q35" i="35"/>
  <c r="Z35" i="35" s="1"/>
  <c r="Q34" i="35"/>
  <c r="Z34" i="35" s="1"/>
  <c r="J34" i="35"/>
  <c r="AC34" i="35" s="1"/>
  <c r="H34" i="35"/>
  <c r="AB34" i="35"/>
  <c r="F34" i="35"/>
  <c r="AA34" i="35" s="1"/>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F12" i="35"/>
  <c r="S12" i="35" s="1"/>
  <c r="Q11" i="35"/>
  <c r="Z11" i="35" s="1"/>
  <c r="Q10" i="35"/>
  <c r="Z10" i="35" s="1"/>
  <c r="Q9" i="35"/>
  <c r="Z9" i="35" s="1"/>
  <c r="J8" i="35"/>
  <c r="W8" i="35" s="1"/>
  <c r="H8" i="35"/>
  <c r="AB8" i="35" s="1"/>
  <c r="F8" i="35"/>
  <c r="AA8" i="35" s="1"/>
  <c r="D120" i="34"/>
  <c r="E120" i="34"/>
  <c r="F120" i="34"/>
  <c r="G120" i="34" s="1"/>
  <c r="H120" i="34" s="1"/>
  <c r="I120" i="34"/>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c r="D115" i="33"/>
  <c r="E115" i="33"/>
  <c r="F115" i="33" s="1"/>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D85" i="33"/>
  <c r="E85" i="33"/>
  <c r="D81" i="33"/>
  <c r="E81" i="33" s="1"/>
  <c r="D79" i="33"/>
  <c r="E79" i="33"/>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H40" i="33"/>
  <c r="AB40" i="33"/>
  <c r="AA40" i="33"/>
  <c r="Q39" i="33"/>
  <c r="Z39" i="33" s="1"/>
  <c r="J39" i="33"/>
  <c r="AC39" i="33" s="1"/>
  <c r="Q38" i="33"/>
  <c r="Z38" i="33" s="1"/>
  <c r="J38" i="33"/>
  <c r="AC38" i="33"/>
  <c r="H38" i="33"/>
  <c r="AB38" i="33" s="1"/>
  <c r="F38" i="33"/>
  <c r="Q37" i="33"/>
  <c r="Z37" i="33" s="1"/>
  <c r="Q36" i="33"/>
  <c r="Z36" i="33"/>
  <c r="Q35" i="33"/>
  <c r="Z35" i="33" s="1"/>
  <c r="H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s="1"/>
  <c r="Q10" i="33"/>
  <c r="Z10" i="33" s="1"/>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c r="F125" i="21" s="1"/>
  <c r="G125" i="21" s="1"/>
  <c r="D123" i="21"/>
  <c r="E123" i="21" s="1"/>
  <c r="F123" i="21"/>
  <c r="G123" i="21" s="1"/>
  <c r="F42" i="21"/>
  <c r="AA42" i="21"/>
  <c r="D119" i="21"/>
  <c r="F40" i="21"/>
  <c r="AA40" i="21" s="1"/>
  <c r="D117" i="21"/>
  <c r="E117" i="21"/>
  <c r="F117" i="21" s="1"/>
  <c r="G117" i="21" s="1"/>
  <c r="D115" i="21"/>
  <c r="E115" i="21" s="1"/>
  <c r="F115" i="21"/>
  <c r="G115" i="21" s="1"/>
  <c r="H115" i="21" s="1"/>
  <c r="I115" i="21"/>
  <c r="J115" i="21" s="1"/>
  <c r="K115" i="21" s="1"/>
  <c r="L115" i="21" s="1"/>
  <c r="M115" i="21" s="1"/>
  <c r="D113" i="21"/>
  <c r="E113" i="21" s="1"/>
  <c r="F113" i="21" s="1"/>
  <c r="G113" i="21"/>
  <c r="H113" i="21" s="1"/>
  <c r="D110" i="21"/>
  <c r="E110" i="21"/>
  <c r="F110" i="21"/>
  <c r="G110" i="21" s="1"/>
  <c r="H110" i="21" s="1"/>
  <c r="I110" i="21"/>
  <c r="J110" i="21" s="1"/>
  <c r="K110" i="21"/>
  <c r="L110" i="21" s="1"/>
  <c r="M110" i="21" s="1"/>
  <c r="J36" i="21"/>
  <c r="AC36" i="21" s="1"/>
  <c r="D108" i="21"/>
  <c r="E108" i="21"/>
  <c r="F108" i="2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c r="G101" i="21" s="1"/>
  <c r="H101" i="21" s="1"/>
  <c r="D89" i="21"/>
  <c r="E89" i="21" s="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c r="I69" i="21" s="1"/>
  <c r="J69" i="21" s="1"/>
  <c r="K69" i="21"/>
  <c r="L69" i="21" s="1"/>
  <c r="M69" i="21" s="1"/>
  <c r="D111" i="21"/>
  <c r="E111" i="21"/>
  <c r="F111" i="21"/>
  <c r="C111" i="21"/>
  <c r="D79" i="21"/>
  <c r="E79" i="21"/>
  <c r="F79" i="21" s="1"/>
  <c r="G79" i="21"/>
  <c r="D85" i="21"/>
  <c r="F19" i="21"/>
  <c r="AA19" i="21" s="1"/>
  <c r="E81" i="21"/>
  <c r="F81" i="21" s="1"/>
  <c r="G81" i="21" s="1"/>
  <c r="D77" i="21"/>
  <c r="E77" i="21" s="1"/>
  <c r="F77" i="21" s="1"/>
  <c r="B130" i="21"/>
  <c r="B128" i="21"/>
  <c r="J45" i="21"/>
  <c r="W45" i="21" s="1"/>
  <c r="B126" i="21"/>
  <c r="B98" i="21"/>
  <c r="H31" i="21"/>
  <c r="B96" i="21"/>
  <c r="B94" i="21"/>
  <c r="J29" i="21"/>
  <c r="AC29" i="21"/>
  <c r="B92" i="21"/>
  <c r="B90" i="21"/>
  <c r="J27" i="21"/>
  <c r="W27" i="21"/>
  <c r="B74" i="21"/>
  <c r="B72" i="21"/>
  <c r="H13" i="21"/>
  <c r="B70" i="2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F36" i="39"/>
  <c r="S36" i="39"/>
  <c r="AB36" i="39"/>
  <c r="J35" i="39"/>
  <c r="AC35" i="39" s="1"/>
  <c r="F35" i="39"/>
  <c r="AA35" i="39"/>
  <c r="J36" i="39"/>
  <c r="U9" i="39"/>
  <c r="E103" i="37"/>
  <c r="F103" i="37" s="1"/>
  <c r="G103" i="37"/>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U33" i="33"/>
  <c r="S40" i="33"/>
  <c r="W33" i="33"/>
  <c r="W39" i="33"/>
  <c r="H39" i="37"/>
  <c r="AB39" i="37"/>
  <c r="S27" i="35"/>
  <c r="F11" i="40"/>
  <c r="AA11" i="40" s="1"/>
  <c r="H11" i="40"/>
  <c r="AB11" i="40" s="1"/>
  <c r="W8" i="40"/>
  <c r="AC40" i="40"/>
  <c r="AA9" i="40"/>
  <c r="AC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H11" i="39"/>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E113" i="33"/>
  <c r="F32" i="33"/>
  <c r="AA32" i="33" s="1"/>
  <c r="J19" i="33"/>
  <c r="AC19" i="33" s="1"/>
  <c r="J15" i="33"/>
  <c r="AC15" i="33" s="1"/>
  <c r="F11" i="33"/>
  <c r="U40" i="33"/>
  <c r="F37" i="40"/>
  <c r="AA37" i="40" s="1"/>
  <c r="F36" i="40"/>
  <c r="AA36" i="40" s="1"/>
  <c r="H28" i="40"/>
  <c r="U28" i="40" s="1"/>
  <c r="F23" i="40"/>
  <c r="AA23" i="40" s="1"/>
  <c r="F17" i="40"/>
  <c r="AA17" i="40" s="1"/>
  <c r="J17" i="40"/>
  <c r="W17" i="40" s="1"/>
  <c r="F15" i="40"/>
  <c r="H15" i="40"/>
  <c r="AB15" i="40" s="1"/>
  <c r="AC11" i="40"/>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F14" i="33"/>
  <c r="AA14" i="33" s="1"/>
  <c r="S14" i="33"/>
  <c r="H30" i="33"/>
  <c r="F30" i="33"/>
  <c r="H44" i="33"/>
  <c r="J44" i="33"/>
  <c r="S44" i="33"/>
  <c r="J46" i="33"/>
  <c r="AC46" i="33"/>
  <c r="AA46" i="33"/>
  <c r="H46" i="33"/>
  <c r="AB46" i="33"/>
  <c r="J13" i="34"/>
  <c r="W13" i="34" s="1"/>
  <c r="J29" i="34"/>
  <c r="F29" i="34"/>
  <c r="S29" i="34" s="1"/>
  <c r="AB29" i="34"/>
  <c r="J31" i="34"/>
  <c r="W31" i="34" s="1"/>
  <c r="AC31" i="34"/>
  <c r="AB31" i="34"/>
  <c r="F31" i="34"/>
  <c r="S31" i="34"/>
  <c r="J45" i="34"/>
  <c r="W45" i="34" s="1"/>
  <c r="H47" i="34"/>
  <c r="S47" i="34"/>
  <c r="J47" i="34"/>
  <c r="AC47" i="34"/>
  <c r="J13" i="35"/>
  <c r="AC13" i="35"/>
  <c r="J25" i="35"/>
  <c r="W25" i="35" s="1"/>
  <c r="F25" i="35"/>
  <c r="S25" i="35"/>
  <c r="H25" i="35"/>
  <c r="AB25" i="35" s="1"/>
  <c r="J35" i="35"/>
  <c r="AC35" i="35"/>
  <c r="F35" i="35"/>
  <c r="AA35" i="35" s="1"/>
  <c r="H35" i="35"/>
  <c r="AB35" i="35"/>
  <c r="J25" i="36"/>
  <c r="W25" i="36" s="1"/>
  <c r="F25" i="36"/>
  <c r="S25" i="36"/>
  <c r="H25" i="36"/>
  <c r="AB25" i="36" s="1"/>
  <c r="H13" i="37"/>
  <c r="AB13" i="37" s="1"/>
  <c r="F13" i="37"/>
  <c r="J13" i="37"/>
  <c r="W13" i="37" s="1"/>
  <c r="F28" i="37"/>
  <c r="AA28" i="37"/>
  <c r="J28" i="37"/>
  <c r="AC28" i="37" s="1"/>
  <c r="H28" i="37"/>
  <c r="U28" i="37"/>
  <c r="H38" i="37"/>
  <c r="AB38" i="37" s="1"/>
  <c r="AC38" i="37"/>
  <c r="F38" i="37"/>
  <c r="F43" i="39"/>
  <c r="AA43" i="39"/>
  <c r="H43" i="39"/>
  <c r="J14" i="39"/>
  <c r="AC14" i="39" s="1"/>
  <c r="F14" i="39"/>
  <c r="H14" i="39"/>
  <c r="AB14" i="39"/>
  <c r="F12" i="40"/>
  <c r="S12" i="40" s="1"/>
  <c r="H12" i="40"/>
  <c r="AB12" i="40"/>
  <c r="H30" i="40"/>
  <c r="AB30" i="40" s="1"/>
  <c r="F33" i="40"/>
  <c r="AA33" i="40" s="1"/>
  <c r="H33" i="40"/>
  <c r="U33" i="40" s="1"/>
  <c r="J35" i="40"/>
  <c r="J37" i="40"/>
  <c r="AC37" i="40" s="1"/>
  <c r="H13" i="40"/>
  <c r="U13" i="40"/>
  <c r="J13" i="40"/>
  <c r="W13" i="40" s="1"/>
  <c r="F13" i="40"/>
  <c r="AA13" i="40"/>
  <c r="F14" i="37"/>
  <c r="F27" i="37"/>
  <c r="AA27" i="37" s="1"/>
  <c r="F13" i="39"/>
  <c r="J13" i="39"/>
  <c r="W13" i="39" s="1"/>
  <c r="H13" i="39"/>
  <c r="H14" i="40"/>
  <c r="AB14" i="40"/>
  <c r="J14" i="40"/>
  <c r="W14" i="40"/>
  <c r="F14" i="40"/>
  <c r="AA14" i="40"/>
  <c r="J14" i="37"/>
  <c r="AC14" i="37"/>
  <c r="J27" i="37"/>
  <c r="AC27" i="37"/>
  <c r="U31" i="34"/>
  <c r="U46" i="33"/>
  <c r="J36" i="37"/>
  <c r="AC36" i="37"/>
  <c r="G105" i="37"/>
  <c r="J10" i="36"/>
  <c r="AC10" i="36" s="1"/>
  <c r="AB30" i="21"/>
  <c r="AC13" i="36"/>
  <c r="W13" i="36"/>
  <c r="S11" i="36"/>
  <c r="AC30" i="34"/>
  <c r="AA14" i="34"/>
  <c r="S45" i="33"/>
  <c r="AB31" i="33"/>
  <c r="U31" i="33"/>
  <c r="W29" i="33"/>
  <c r="AC28" i="21"/>
  <c r="S44" i="34"/>
  <c r="BA586" i="3"/>
  <c r="F17" i="21"/>
  <c r="AA17" i="21"/>
  <c r="H17" i="21"/>
  <c r="AB17" i="21" s="1"/>
  <c r="F15" i="21"/>
  <c r="S15" i="21"/>
  <c r="J41" i="39"/>
  <c r="W41" i="39" s="1"/>
  <c r="W35" i="39"/>
  <c r="U36" i="39"/>
  <c r="S35" i="39"/>
  <c r="G544" i="3"/>
  <c r="G540" i="3"/>
  <c r="G536" i="3"/>
  <c r="G535" i="3"/>
  <c r="G532" i="3"/>
  <c r="G531" i="3"/>
  <c r="G528" i="3"/>
  <c r="G527" i="3"/>
  <c r="G518" i="3"/>
  <c r="G510" i="3"/>
  <c r="G504" i="3"/>
  <c r="G496" i="3"/>
  <c r="G584" i="3"/>
  <c r="G580" i="3"/>
  <c r="G576" i="3"/>
  <c r="G572" i="3"/>
  <c r="G568" i="3"/>
  <c r="G564" i="3"/>
  <c r="G560" i="3"/>
  <c r="G554" i="3"/>
  <c r="G550" i="3"/>
  <c r="BL584" i="3"/>
  <c r="BL580" i="3"/>
  <c r="BL576" i="3"/>
  <c r="BL572" i="3"/>
  <c r="BL568" i="3"/>
  <c r="BL564" i="3"/>
  <c r="BL560" i="3"/>
  <c r="BL546" i="3"/>
  <c r="AZ546" i="3" s="1"/>
  <c r="BL542" i="3"/>
  <c r="BL538" i="3"/>
  <c r="BL534" i="3"/>
  <c r="BL530" i="3"/>
  <c r="BL526" i="3"/>
  <c r="BL582" i="3"/>
  <c r="BL578" i="3"/>
  <c r="BL574" i="3"/>
  <c r="AZ574" i="3" s="1"/>
  <c r="BL570" i="3"/>
  <c r="BL566" i="3"/>
  <c r="BL562" i="3"/>
  <c r="BL556" i="3"/>
  <c r="AZ556" i="3" s="1"/>
  <c r="BL544" i="3"/>
  <c r="BL540" i="3"/>
  <c r="BL536" i="3"/>
  <c r="G533" i="3"/>
  <c r="BL532" i="3"/>
  <c r="G529" i="3"/>
  <c r="BL528" i="3"/>
  <c r="AZ528" i="3" s="1"/>
  <c r="G525" i="3"/>
  <c r="G493" i="3"/>
  <c r="BA584" i="3"/>
  <c r="BA582" i="3"/>
  <c r="AZ582" i="3"/>
  <c r="BA580" i="3"/>
  <c r="AZ580" i="3" s="1"/>
  <c r="BA578" i="3"/>
  <c r="AZ578" i="3"/>
  <c r="BA576" i="3"/>
  <c r="AZ576" i="3" s="1"/>
  <c r="BA574" i="3"/>
  <c r="BA572" i="3"/>
  <c r="AZ572" i="3" s="1"/>
  <c r="BA570" i="3"/>
  <c r="AZ570" i="3"/>
  <c r="BA568" i="3"/>
  <c r="AZ568" i="3" s="1"/>
  <c r="BA566" i="3"/>
  <c r="AZ566" i="3"/>
  <c r="BA564" i="3"/>
  <c r="AZ564" i="3" s="1"/>
  <c r="BA562" i="3"/>
  <c r="AZ562" i="3"/>
  <c r="BA560" i="3"/>
  <c r="AZ560" i="3" s="1"/>
  <c r="BA558" i="3"/>
  <c r="AZ558" i="3" s="1"/>
  <c r="BA556" i="3"/>
  <c r="BA548" i="3"/>
  <c r="BA546" i="3"/>
  <c r="BA544" i="3"/>
  <c r="AZ544" i="3" s="1"/>
  <c r="BA542" i="3"/>
  <c r="BA540" i="3"/>
  <c r="AZ540" i="3" s="1"/>
  <c r="BA538" i="3"/>
  <c r="AZ538" i="3" s="1"/>
  <c r="BA536" i="3"/>
  <c r="AZ536" i="3"/>
  <c r="BA534" i="3"/>
  <c r="AZ534" i="3" s="1"/>
  <c r="BA532" i="3"/>
  <c r="AZ532" i="3"/>
  <c r="BA530" i="3"/>
  <c r="AZ530" i="3" s="1"/>
  <c r="BA528" i="3"/>
  <c r="BA526" i="3"/>
  <c r="AZ526" i="3"/>
  <c r="BA496" i="3"/>
  <c r="BA587" i="3"/>
  <c r="BA583" i="3"/>
  <c r="BA581" i="3"/>
  <c r="BA579" i="3"/>
  <c r="BA577" i="3"/>
  <c r="AZ577" i="3" s="1"/>
  <c r="BA575" i="3"/>
  <c r="BA573" i="3"/>
  <c r="BA571" i="3"/>
  <c r="BA569" i="3"/>
  <c r="BA567" i="3"/>
  <c r="AZ567" i="3" s="1"/>
  <c r="BA565" i="3"/>
  <c r="BA563" i="3"/>
  <c r="BA561" i="3"/>
  <c r="BA559" i="3"/>
  <c r="BA547" i="3"/>
  <c r="BA545" i="3"/>
  <c r="AZ545" i="3" s="1"/>
  <c r="BA543" i="3"/>
  <c r="BA541" i="3"/>
  <c r="BA539" i="3"/>
  <c r="BA537" i="3"/>
  <c r="BA535" i="3"/>
  <c r="BA533" i="3"/>
  <c r="BA531" i="3"/>
  <c r="BA529" i="3"/>
  <c r="AZ529" i="3" s="1"/>
  <c r="BA527" i="3"/>
  <c r="BA495" i="3"/>
  <c r="G583" i="3"/>
  <c r="G581" i="3"/>
  <c r="G579" i="3"/>
  <c r="G577" i="3"/>
  <c r="G575" i="3"/>
  <c r="G573" i="3"/>
  <c r="G571" i="3"/>
  <c r="G569" i="3"/>
  <c r="G567" i="3"/>
  <c r="G565" i="3"/>
  <c r="G563" i="3"/>
  <c r="G561" i="3"/>
  <c r="BL558" i="3"/>
  <c r="BA557" i="3"/>
  <c r="AC557" i="3"/>
  <c r="G557" i="3"/>
  <c r="BQ557" i="3"/>
  <c r="BL557" i="3"/>
  <c r="AZ557" i="3" s="1"/>
  <c r="BQ583" i="3"/>
  <c r="BL583" i="3"/>
  <c r="AZ583" i="3"/>
  <c r="BQ581" i="3"/>
  <c r="BL581" i="3" s="1"/>
  <c r="BQ579" i="3"/>
  <c r="BL579" i="3" s="1"/>
  <c r="AZ579" i="3" s="1"/>
  <c r="BQ577" i="3"/>
  <c r="BL577" i="3"/>
  <c r="BQ575" i="3"/>
  <c r="BL575" i="3" s="1"/>
  <c r="AZ575" i="3"/>
  <c r="BQ573" i="3"/>
  <c r="BL573" i="3" s="1"/>
  <c r="BQ571" i="3"/>
  <c r="BL571" i="3"/>
  <c r="AZ571" i="3" s="1"/>
  <c r="BQ569" i="3"/>
  <c r="BL569" i="3"/>
  <c r="AZ569" i="3"/>
  <c r="BQ567" i="3"/>
  <c r="BL567" i="3" s="1"/>
  <c r="BQ565" i="3"/>
  <c r="BL565" i="3"/>
  <c r="BQ563" i="3"/>
  <c r="BL563" i="3" s="1"/>
  <c r="BQ561" i="3"/>
  <c r="BL561" i="3" s="1"/>
  <c r="AZ561" i="3"/>
  <c r="BQ559" i="3"/>
  <c r="BL559" i="3" s="1"/>
  <c r="G559" i="3"/>
  <c r="G555" i="3"/>
  <c r="G549" i="3"/>
  <c r="G547" i="3"/>
  <c r="G545" i="3"/>
  <c r="G543" i="3"/>
  <c r="G541" i="3"/>
  <c r="G539" i="3"/>
  <c r="G537" i="3"/>
  <c r="BQ555" i="3"/>
  <c r="BQ553" i="3"/>
  <c r="BQ551" i="3"/>
  <c r="BQ549" i="3"/>
  <c r="BQ547" i="3"/>
  <c r="BL547" i="3" s="1"/>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Q523" i="3"/>
  <c r="AC521" i="3"/>
  <c r="G521" i="3"/>
  <c r="BQ521" i="3"/>
  <c r="G519" i="3"/>
  <c r="G513" i="3"/>
  <c r="G511" i="3"/>
  <c r="BQ519" i="3"/>
  <c r="BQ517" i="3"/>
  <c r="BQ515" i="3"/>
  <c r="BQ513" i="3"/>
  <c r="BQ511" i="3"/>
  <c r="AC509" i="3"/>
  <c r="BQ509" i="3"/>
  <c r="G507" i="3"/>
  <c r="G505" i="3"/>
  <c r="G499" i="3"/>
  <c r="G497" i="3"/>
  <c r="G495" i="3"/>
  <c r="BQ507" i="3"/>
  <c r="BQ505" i="3"/>
  <c r="BQ503" i="3"/>
  <c r="BL503" i="3"/>
  <c r="BQ501" i="3"/>
  <c r="BQ499" i="3"/>
  <c r="BQ497" i="3"/>
  <c r="BQ495" i="3"/>
  <c r="BQ5" i="3" s="1"/>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s="1"/>
  <c r="E125" i="33"/>
  <c r="F125" i="33"/>
  <c r="G125" i="33" s="1"/>
  <c r="H43" i="33"/>
  <c r="AB43" i="33" s="1"/>
  <c r="H17" i="37"/>
  <c r="U17" i="37"/>
  <c r="AB27" i="37"/>
  <c r="U32" i="33"/>
  <c r="AA36" i="39"/>
  <c r="F39" i="33"/>
  <c r="E123" i="33"/>
  <c r="F42" i="33"/>
  <c r="AA42" i="33"/>
  <c r="H28" i="34"/>
  <c r="AB28" i="34" s="1"/>
  <c r="F14" i="36"/>
  <c r="AA14" i="36"/>
  <c r="F22" i="36"/>
  <c r="S22" i="36" s="1"/>
  <c r="F26" i="36"/>
  <c r="S26" i="36"/>
  <c r="H27" i="34"/>
  <c r="AB27" i="34" s="1"/>
  <c r="H35" i="34"/>
  <c r="U35" i="34"/>
  <c r="F41" i="34"/>
  <c r="S41" i="34" s="1"/>
  <c r="H41" i="34"/>
  <c r="U41" i="34"/>
  <c r="J41" i="34"/>
  <c r="AC41" i="34" s="1"/>
  <c r="F10" i="35"/>
  <c r="S10" i="35" s="1"/>
  <c r="F24" i="35"/>
  <c r="AA24" i="35" s="1"/>
  <c r="H24" i="35"/>
  <c r="AB24" i="35"/>
  <c r="H23" i="37"/>
  <c r="AB23" i="37" s="1"/>
  <c r="J32" i="37"/>
  <c r="AC32" i="37"/>
  <c r="F36" i="37"/>
  <c r="AA36" i="37" s="1"/>
  <c r="F37" i="37"/>
  <c r="AA37" i="37"/>
  <c r="F31" i="40"/>
  <c r="AA31" i="40" s="1"/>
  <c r="H31" i="40"/>
  <c r="U31" i="40"/>
  <c r="F32" i="40"/>
  <c r="H32" i="40"/>
  <c r="AB32" i="40"/>
  <c r="J36" i="40"/>
  <c r="H19" i="37"/>
  <c r="AB19" i="37"/>
  <c r="F123" i="33"/>
  <c r="G123" i="33" s="1"/>
  <c r="H123" i="33" s="1"/>
  <c r="I123" i="33" s="1"/>
  <c r="J123" i="33" s="1"/>
  <c r="K123" i="33" s="1"/>
  <c r="L123" i="33" s="1"/>
  <c r="M123" i="33" s="1"/>
  <c r="H42" i="33"/>
  <c r="AB42" i="33" s="1"/>
  <c r="J43" i="33"/>
  <c r="S28" i="31"/>
  <c r="S27" i="31"/>
  <c r="S26" i="31"/>
  <c r="U14" i="40"/>
  <c r="U35" i="35"/>
  <c r="AA12" i="35"/>
  <c r="W14" i="37"/>
  <c r="AB28" i="37"/>
  <c r="U33" i="37"/>
  <c r="U39" i="37"/>
  <c r="W26" i="37"/>
  <c r="W47" i="34"/>
  <c r="AC36" i="34"/>
  <c r="AA13" i="33"/>
  <c r="AC31" i="33"/>
  <c r="AC45" i="33"/>
  <c r="U11" i="33"/>
  <c r="U19" i="21"/>
  <c r="W44" i="21"/>
  <c r="U26" i="21"/>
  <c r="AC46" i="21"/>
  <c r="AB38" i="21"/>
  <c r="F43" i="33"/>
  <c r="AA43" i="33"/>
  <c r="W15" i="34"/>
  <c r="AC15" i="34"/>
  <c r="W16" i="35"/>
  <c r="W40" i="37"/>
  <c r="H37" i="21"/>
  <c r="U37" i="21" s="1"/>
  <c r="S42" i="21"/>
  <c r="H19" i="34"/>
  <c r="AB19" i="34" s="1"/>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c r="H94" i="37"/>
  <c r="I94" i="37" s="1"/>
  <c r="J94" i="37" s="1"/>
  <c r="K94" i="37" s="1"/>
  <c r="L94" i="37"/>
  <c r="M94" i="37" s="1"/>
  <c r="H31" i="37"/>
  <c r="U31" i="37"/>
  <c r="F71" i="37"/>
  <c r="G71" i="37" s="1"/>
  <c r="J15" i="37"/>
  <c r="W15" i="37"/>
  <c r="AT6" i="3"/>
  <c r="AA25" i="21"/>
  <c r="H19" i="40"/>
  <c r="U19" i="40"/>
  <c r="F88" i="40"/>
  <c r="G88" i="40" s="1"/>
  <c r="F19" i="40"/>
  <c r="S19" i="40"/>
  <c r="S14" i="40"/>
  <c r="AB33" i="40"/>
  <c r="W23" i="39"/>
  <c r="AC43" i="39"/>
  <c r="W43" i="39"/>
  <c r="U45" i="39"/>
  <c r="AB45" i="39"/>
  <c r="G100" i="39"/>
  <c r="H37" i="39"/>
  <c r="AC37" i="39"/>
  <c r="W37" i="39"/>
  <c r="H25" i="39"/>
  <c r="J25" i="39"/>
  <c r="F25" i="39"/>
  <c r="AA25" i="39" s="1"/>
  <c r="F15" i="39"/>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AZ20" i="3"/>
  <c r="AZ24" i="3"/>
  <c r="AZ32" i="3"/>
  <c r="G546" i="3"/>
  <c r="G524" i="3"/>
  <c r="G303" i="3"/>
  <c r="BL304" i="3"/>
  <c r="G305" i="3"/>
  <c r="BL306" i="3"/>
  <c r="AZ306" i="3" s="1"/>
  <c r="BA308" i="3"/>
  <c r="AZ308" i="3" s="1"/>
  <c r="BA309" i="3"/>
  <c r="BL309" i="3"/>
  <c r="AZ309" i="3" s="1"/>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c r="BL136" i="3"/>
  <c r="AZ136" i="3" s="1"/>
  <c r="G137" i="3"/>
  <c r="BA139" i="3"/>
  <c r="AZ139" i="3"/>
  <c r="BL140" i="3"/>
  <c r="AZ140" i="3" s="1"/>
  <c r="G141" i="3"/>
  <c r="BA143" i="3"/>
  <c r="AZ143" i="3" s="1"/>
  <c r="BL144" i="3"/>
  <c r="G145" i="3"/>
  <c r="BA147" i="3"/>
  <c r="AZ147" i="3" s="1"/>
  <c r="BL148" i="3"/>
  <c r="AZ148" i="3"/>
  <c r="G149" i="3"/>
  <c r="BA151" i="3"/>
  <c r="AZ151" i="3" s="1"/>
  <c r="BL152" i="3"/>
  <c r="G153" i="3"/>
  <c r="BA155" i="3"/>
  <c r="AZ155" i="3" s="1"/>
  <c r="BL156" i="3"/>
  <c r="AZ156" i="3"/>
  <c r="G157" i="3"/>
  <c r="BA159" i="3"/>
  <c r="AZ159" i="3"/>
  <c r="BL160" i="3"/>
  <c r="AZ160" i="3" s="1"/>
  <c r="G161" i="3"/>
  <c r="BA163" i="3"/>
  <c r="AZ163" i="3"/>
  <c r="BL164" i="3"/>
  <c r="AZ164" i="3" s="1"/>
  <c r="G165" i="3"/>
  <c r="BA167" i="3"/>
  <c r="AZ167" i="3"/>
  <c r="BL168" i="3"/>
  <c r="AZ168" i="3" s="1"/>
  <c r="G169" i="3"/>
  <c r="BA171" i="3"/>
  <c r="AZ171" i="3"/>
  <c r="BL172" i="3"/>
  <c r="AZ172" i="3" s="1"/>
  <c r="G173" i="3"/>
  <c r="BA175" i="3"/>
  <c r="AZ175" i="3" s="1"/>
  <c r="BL176" i="3"/>
  <c r="G177" i="3"/>
  <c r="BA179" i="3"/>
  <c r="AZ179" i="3" s="1"/>
  <c r="BL180" i="3"/>
  <c r="AZ180" i="3"/>
  <c r="G181" i="3"/>
  <c r="BA183" i="3"/>
  <c r="AZ183" i="3" s="1"/>
  <c r="BL184" i="3"/>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c r="BL204" i="3"/>
  <c r="AZ204" i="3" s="1"/>
  <c r="AZ43" i="3"/>
  <c r="AZ47" i="3"/>
  <c r="AZ51" i="3"/>
  <c r="AZ59" i="3"/>
  <c r="AZ63" i="3"/>
  <c r="AZ67" i="3"/>
  <c r="AZ79" i="3"/>
  <c r="AZ144" i="3"/>
  <c r="AZ152" i="3"/>
  <c r="AZ176" i="3"/>
  <c r="AZ184" i="3"/>
  <c r="AZ85" i="3"/>
  <c r="AZ89" i="3"/>
  <c r="AZ93" i="3"/>
  <c r="AZ97" i="3"/>
  <c r="AZ105" i="3"/>
  <c r="AZ120" i="3"/>
  <c r="AZ128" i="3"/>
  <c r="G534" i="3"/>
  <c r="G530" i="3"/>
  <c r="G512" i="3"/>
  <c r="G506" i="3"/>
  <c r="G498"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AZ369" i="3" s="1"/>
  <c r="BA371" i="3"/>
  <c r="AZ371" i="3" s="1"/>
  <c r="BA372" i="3"/>
  <c r="AZ372" i="3"/>
  <c r="BL372" i="3"/>
  <c r="G373" i="3"/>
  <c r="G376" i="3"/>
  <c r="BL377" i="3"/>
  <c r="BL379" i="3"/>
  <c r="BA381" i="3"/>
  <c r="AZ381" i="3"/>
  <c r="BA382" i="3"/>
  <c r="AZ382" i="3" s="1"/>
  <c r="BL382" i="3"/>
  <c r="G383" i="3"/>
  <c r="G386" i="3"/>
  <c r="BL387" i="3"/>
  <c r="BA389" i="3"/>
  <c r="AZ389" i="3" s="1"/>
  <c r="BA390" i="3"/>
  <c r="BL390" i="3"/>
  <c r="AZ390" i="3" s="1"/>
  <c r="G391" i="3"/>
  <c r="G394" i="3"/>
  <c r="AZ138" i="3"/>
  <c r="AZ142" i="3"/>
  <c r="AZ146" i="3"/>
  <c r="AZ150" i="3"/>
  <c r="AZ154" i="3"/>
  <c r="AZ158" i="3"/>
  <c r="AZ162" i="3"/>
  <c r="AZ166" i="3"/>
  <c r="AZ170" i="3"/>
  <c r="AZ174" i="3"/>
  <c r="AZ178" i="3"/>
  <c r="AZ182" i="3"/>
  <c r="AZ186" i="3"/>
  <c r="AZ190" i="3"/>
  <c r="AZ194" i="3"/>
  <c r="AZ198" i="3"/>
  <c r="AZ206" i="3"/>
  <c r="BA16" i="3"/>
  <c r="AZ16" i="3"/>
  <c r="BL303" i="3"/>
  <c r="AZ303" i="3" s="1"/>
  <c r="G304" i="3"/>
  <c r="BA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G328" i="3"/>
  <c r="BA330" i="3"/>
  <c r="AZ330" i="3"/>
  <c r="BL331" i="3"/>
  <c r="AZ331" i="3" s="1"/>
  <c r="G332" i="3"/>
  <c r="BA334" i="3"/>
  <c r="AZ334" i="3" s="1"/>
  <c r="BL335" i="3"/>
  <c r="G336" i="3"/>
  <c r="BA338" i="3"/>
  <c r="BL339" i="3"/>
  <c r="AZ339" i="3"/>
  <c r="G340" i="3"/>
  <c r="BL343" i="3"/>
  <c r="G344" i="3"/>
  <c r="G348" i="3"/>
  <c r="G355" i="3"/>
  <c r="AZ209" i="3"/>
  <c r="AZ214" i="3"/>
  <c r="AZ218" i="3"/>
  <c r="AZ222"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s="1"/>
  <c r="G367" i="3"/>
  <c r="BA369" i="3"/>
  <c r="BL370" i="3"/>
  <c r="AZ370" i="3" s="1"/>
  <c r="G371" i="3"/>
  <c r="BA373" i="3"/>
  <c r="AZ373" i="3"/>
  <c r="BL374" i="3"/>
  <c r="AZ374" i="3" s="1"/>
  <c r="G375" i="3"/>
  <c r="BA377" i="3"/>
  <c r="AZ377" i="3" s="1"/>
  <c r="AZ229" i="3"/>
  <c r="AZ237" i="3"/>
  <c r="AZ241" i="3"/>
  <c r="AZ249" i="3"/>
  <c r="AZ269" i="3"/>
  <c r="BA379" i="3"/>
  <c r="AZ379" i="3"/>
  <c r="BL380" i="3"/>
  <c r="G381" i="3"/>
  <c r="BA383" i="3"/>
  <c r="AZ383" i="3"/>
  <c r="BL384" i="3"/>
  <c r="AZ384" i="3" s="1"/>
  <c r="G385" i="3"/>
  <c r="BA387" i="3"/>
  <c r="AZ387" i="3"/>
  <c r="BL388" i="3"/>
  <c r="AZ388" i="3" s="1"/>
  <c r="G389" i="3"/>
  <c r="BA391" i="3"/>
  <c r="AZ391" i="3"/>
  <c r="BL392" i="3"/>
  <c r="G393" i="3"/>
  <c r="AZ283" i="3"/>
  <c r="AZ287" i="3"/>
  <c r="AZ291" i="3"/>
  <c r="AZ317" i="3"/>
  <c r="AZ333" i="3"/>
  <c r="G548" i="3"/>
  <c r="G538" i="3"/>
  <c r="G520" i="3"/>
  <c r="G17" i="3"/>
  <c r="BA17" i="3"/>
  <c r="AZ350" i="3"/>
  <c r="AZ352" i="3"/>
  <c r="AZ356" i="3"/>
  <c r="AZ368" i="3"/>
  <c r="BA15" i="3"/>
  <c r="AZ15" i="3" s="1"/>
  <c r="AZ380" i="3"/>
  <c r="AZ392" i="3"/>
  <c r="AZ396" i="3"/>
  <c r="AZ491" i="3"/>
  <c r="AZ376" i="3"/>
  <c r="U36" i="40"/>
  <c r="F83" i="43"/>
  <c r="H85" i="43" s="1"/>
  <c r="F50" i="43"/>
  <c r="H54" i="43" s="1"/>
  <c r="F72" i="43"/>
  <c r="H75" i="43" s="1"/>
  <c r="U17" i="39"/>
  <c r="S14" i="35"/>
  <c r="U43" i="21"/>
  <c r="U35" i="21"/>
  <c r="AC35" i="21"/>
  <c r="G8" i="1"/>
  <c r="G10" i="1"/>
  <c r="AC11" i="39"/>
  <c r="AZ563" i="3"/>
  <c r="W37" i="37"/>
  <c r="W44" i="34"/>
  <c r="AC44" i="34"/>
  <c r="U13" i="37"/>
  <c r="U12" i="40"/>
  <c r="AA12" i="40"/>
  <c r="J37" i="33"/>
  <c r="W37" i="33" s="1"/>
  <c r="AC17" i="34"/>
  <c r="F106" i="33"/>
  <c r="G106" i="33" s="1"/>
  <c r="H106" i="33" s="1"/>
  <c r="I106" i="33" s="1"/>
  <c r="J106" i="33" s="1"/>
  <c r="K106" i="33" s="1"/>
  <c r="L106" i="33" s="1"/>
  <c r="M106" i="33" s="1"/>
  <c r="J34" i="33"/>
  <c r="F33" i="34"/>
  <c r="S33" i="34"/>
  <c r="H20" i="36"/>
  <c r="U20" i="36"/>
  <c r="J20" i="36"/>
  <c r="W24" i="36"/>
  <c r="J27" i="36"/>
  <c r="W27" i="36" s="1"/>
  <c r="AC33" i="40"/>
  <c r="F111" i="40"/>
  <c r="G111" i="40"/>
  <c r="H111" i="40"/>
  <c r="I111" i="40" s="1"/>
  <c r="J111" i="40" s="1"/>
  <c r="K111" i="40" s="1"/>
  <c r="L111" i="40" s="1"/>
  <c r="M111" i="40" s="1"/>
  <c r="H35" i="40"/>
  <c r="AB35" i="40"/>
  <c r="AC29" i="35"/>
  <c r="W29" i="35"/>
  <c r="H35" i="37"/>
  <c r="U35" i="37"/>
  <c r="AC14" i="35"/>
  <c r="H20" i="35"/>
  <c r="U20" i="35" s="1"/>
  <c r="F20" i="35"/>
  <c r="AA20" i="35"/>
  <c r="AB29" i="36"/>
  <c r="U29" i="36"/>
  <c r="H32" i="37"/>
  <c r="F96" i="37"/>
  <c r="H27" i="40"/>
  <c r="U27" i="40"/>
  <c r="J27" i="40"/>
  <c r="AC27" i="40" s="1"/>
  <c r="F27" i="40"/>
  <c r="S27" i="40"/>
  <c r="J30" i="40"/>
  <c r="AC30" i="40" s="1"/>
  <c r="F30" i="40"/>
  <c r="AA30" i="40"/>
  <c r="AC21" i="40"/>
  <c r="S11" i="40"/>
  <c r="E98" i="40"/>
  <c r="F98" i="40" s="1"/>
  <c r="G98" i="40" s="1"/>
  <c r="H98" i="40" s="1"/>
  <c r="I98" i="40"/>
  <c r="J98" i="40" s="1"/>
  <c r="K98" i="40" s="1"/>
  <c r="L98" i="40" s="1"/>
  <c r="M98" i="40" s="1"/>
  <c r="F10" i="33"/>
  <c r="S10" i="33" s="1"/>
  <c r="F34" i="33"/>
  <c r="S34" i="33"/>
  <c r="H34" i="33"/>
  <c r="U34" i="33" s="1"/>
  <c r="F35" i="33"/>
  <c r="S35" i="33"/>
  <c r="F39" i="34"/>
  <c r="J39" i="34"/>
  <c r="W39" i="34"/>
  <c r="F40" i="34"/>
  <c r="S40" i="34" s="1"/>
  <c r="F43" i="34"/>
  <c r="AA43" i="34"/>
  <c r="H44" i="34"/>
  <c r="AC38" i="39"/>
  <c r="F39" i="39"/>
  <c r="S39" i="39" s="1"/>
  <c r="J39" i="39"/>
  <c r="AC39" i="39" s="1"/>
  <c r="E96" i="39"/>
  <c r="F96" i="39" s="1"/>
  <c r="G96" i="39" s="1"/>
  <c r="AZ353" i="3"/>
  <c r="AZ354" i="3"/>
  <c r="AZ386" i="3"/>
  <c r="C40" i="11"/>
  <c r="AZ215" i="3"/>
  <c r="AZ223" i="3"/>
  <c r="AZ227" i="3"/>
  <c r="AZ232" i="3"/>
  <c r="AZ243" i="3"/>
  <c r="AZ248" i="3"/>
  <c r="AZ251" i="3"/>
  <c r="AZ256" i="3"/>
  <c r="AZ259" i="3"/>
  <c r="AZ280" i="3"/>
  <c r="AZ288" i="3"/>
  <c r="AZ296" i="3"/>
  <c r="AZ114" i="3"/>
  <c r="AZ130" i="3"/>
  <c r="AZ133" i="3"/>
  <c r="AZ21" i="3"/>
  <c r="AZ33" i="3"/>
  <c r="AZ37" i="3"/>
  <c r="AZ42" i="3"/>
  <c r="AZ45" i="3"/>
  <c r="AZ53" i="3"/>
  <c r="AZ58" i="3"/>
  <c r="AZ61"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c r="J33" i="34"/>
  <c r="AC33" i="34" s="1"/>
  <c r="H23" i="39"/>
  <c r="U23" i="39" s="1"/>
  <c r="D48" i="9"/>
  <c r="M52" i="9" s="1"/>
  <c r="K9" i="1"/>
  <c r="M9" i="1" s="1"/>
  <c r="K6" i="1"/>
  <c r="AP6" i="1" s="1"/>
  <c r="AC26" i="33"/>
  <c r="W26" i="33"/>
  <c r="AB34" i="36"/>
  <c r="U34" i="36"/>
  <c r="AB33" i="36"/>
  <c r="U33" i="36"/>
  <c r="AC12" i="39"/>
  <c r="W12" i="39"/>
  <c r="AZ401" i="3"/>
  <c r="AZ412" i="3"/>
  <c r="AZ433" i="3"/>
  <c r="W12" i="33"/>
  <c r="AC12" i="33"/>
  <c r="AA32" i="36"/>
  <c r="S32" i="36"/>
  <c r="AZ437" i="3"/>
  <c r="AZ473" i="3"/>
  <c r="AZ490" i="3"/>
  <c r="BL14" i="3"/>
  <c r="AC13" i="34"/>
  <c r="AA47" i="34"/>
  <c r="W28" i="37"/>
  <c r="S19" i="39"/>
  <c r="F12" i="33"/>
  <c r="H12" i="39"/>
  <c r="AB12" i="39" s="1"/>
  <c r="F39" i="40"/>
  <c r="BA14" i="3"/>
  <c r="AZ14" i="3" s="1"/>
  <c r="AZ367" i="3"/>
  <c r="AZ213" i="3"/>
  <c r="AZ224" i="3"/>
  <c r="AZ234" i="3"/>
  <c r="AZ254" i="3"/>
  <c r="AZ286" i="3"/>
  <c r="AZ149" i="3"/>
  <c r="AZ157" i="3"/>
  <c r="AZ165" i="3"/>
  <c r="AZ173" i="3"/>
  <c r="AZ181" i="3"/>
  <c r="AZ189" i="3"/>
  <c r="AZ197" i="3"/>
  <c r="AZ19" i="3"/>
  <c r="AZ35" i="3"/>
  <c r="B12" i="1"/>
  <c r="E12" i="1" s="1"/>
  <c r="B10" i="1"/>
  <c r="E10" i="1" s="1"/>
  <c r="AZ80" i="3"/>
  <c r="AZ84" i="3"/>
  <c r="AZ88" i="3"/>
  <c r="AZ107" i="3"/>
  <c r="AZ111" i="3"/>
  <c r="K12" i="1"/>
  <c r="M12" i="1" s="1"/>
  <c r="S13" i="1"/>
  <c r="AR13" i="1" s="1"/>
  <c r="R13" i="1"/>
  <c r="J51" i="67"/>
  <c r="C42" i="1"/>
  <c r="C24" i="12" s="1"/>
  <c r="AA34" i="33"/>
  <c r="AB37" i="40"/>
  <c r="S35" i="40"/>
  <c r="U35"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AB21" i="39" s="1"/>
  <c r="W19" i="39"/>
  <c r="U19" i="39"/>
  <c r="S17" i="39"/>
  <c r="AA12" i="39"/>
  <c r="S9" i="39"/>
  <c r="U14" i="39"/>
  <c r="AC13" i="39"/>
  <c r="U12" i="39"/>
  <c r="S23" i="36"/>
  <c r="U13" i="36"/>
  <c r="S33" i="36"/>
  <c r="AA26" i="36"/>
  <c r="AA34" i="36"/>
  <c r="AC26" i="36"/>
  <c r="AA22" i="36"/>
  <c r="W14" i="36"/>
  <c r="AB14" i="36"/>
  <c r="U22" i="36"/>
  <c r="S16" i="36"/>
  <c r="AA25" i="36"/>
  <c r="S24" i="36"/>
  <c r="U23" i="36"/>
  <c r="AB20" i="36"/>
  <c r="U16" i="36"/>
  <c r="S14" i="36"/>
  <c r="AA25" i="35"/>
  <c r="S23" i="35"/>
  <c r="W24" i="35"/>
  <c r="U29" i="35"/>
  <c r="U28" i="35"/>
  <c r="AB27" i="35"/>
  <c r="U36" i="35"/>
  <c r="U32" i="35"/>
  <c r="AA33" i="35"/>
  <c r="AC30"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W38" i="37"/>
  <c r="AC35" i="37"/>
  <c r="W39" i="37"/>
  <c r="S30" i="37"/>
  <c r="S37" i="37"/>
  <c r="AC15" i="37"/>
  <c r="J17" i="37"/>
  <c r="W17" i="37" s="1"/>
  <c r="G73" i="37"/>
  <c r="F17" i="37"/>
  <c r="AB17" i="37"/>
  <c r="F75" i="37"/>
  <c r="F19" i="37"/>
  <c r="F79" i="37"/>
  <c r="G79" i="37" s="1"/>
  <c r="F23" i="37"/>
  <c r="S23" i="37"/>
  <c r="U23" i="37"/>
  <c r="U15" i="37"/>
  <c r="AC13" i="37"/>
  <c r="H10" i="37"/>
  <c r="AB10" i="37" s="1"/>
  <c r="F63" i="37"/>
  <c r="F11" i="37"/>
  <c r="S11" i="37" s="1"/>
  <c r="W25" i="34"/>
  <c r="AB8" i="34"/>
  <c r="AA33" i="34"/>
  <c r="U43" i="34"/>
  <c r="AC39" i="34"/>
  <c r="W41" i="34"/>
  <c r="AC42" i="34"/>
  <c r="AB35" i="34"/>
  <c r="U39" i="34"/>
  <c r="S43"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c r="L108" i="33" s="1"/>
  <c r="M108" i="33" s="1"/>
  <c r="J35" i="33"/>
  <c r="S37" i="33"/>
  <c r="AA37" i="33"/>
  <c r="F101" i="33"/>
  <c r="G101" i="33"/>
  <c r="H101" i="33" s="1"/>
  <c r="I101" i="33" s="1"/>
  <c r="J101" i="33" s="1"/>
  <c r="K101" i="33" s="1"/>
  <c r="L101" i="33" s="1"/>
  <c r="M101" i="33" s="1"/>
  <c r="J32" i="33"/>
  <c r="AC32" i="33" s="1"/>
  <c r="S46" i="33"/>
  <c r="S43" i="33"/>
  <c r="F91" i="33"/>
  <c r="G91" i="33" s="1"/>
  <c r="H91" i="33" s="1"/>
  <c r="H27" i="33"/>
  <c r="H25" i="33"/>
  <c r="F25" i="33"/>
  <c r="J23" i="33"/>
  <c r="F85" i="33"/>
  <c r="H23" i="33"/>
  <c r="F81" i="33"/>
  <c r="G81" i="33" s="1"/>
  <c r="F19" i="33"/>
  <c r="S19" i="33" s="1"/>
  <c r="W19" i="33"/>
  <c r="J17" i="33"/>
  <c r="W17" i="33" s="1"/>
  <c r="F79" i="33"/>
  <c r="G79" i="33" s="1"/>
  <c r="S15" i="33"/>
  <c r="W15" i="33"/>
  <c r="J10" i="33"/>
  <c r="W10" i="33" s="1"/>
  <c r="H10" i="33"/>
  <c r="U10" i="33" s="1"/>
  <c r="AC11" i="33"/>
  <c r="W43" i="21"/>
  <c r="W36" i="21"/>
  <c r="W41" i="21"/>
  <c r="AB39" i="21"/>
  <c r="S39" i="21"/>
  <c r="AA38" i="21"/>
  <c r="AA36" i="21"/>
  <c r="AC40" i="21"/>
  <c r="J15" i="21"/>
  <c r="W15" i="21" s="1"/>
  <c r="G77" i="21"/>
  <c r="F23" i="21"/>
  <c r="S23" i="21" s="1"/>
  <c r="E85" i="21"/>
  <c r="AA14" i="21"/>
  <c r="D120" i="9"/>
  <c r="D121" i="9" s="1"/>
  <c r="D7" i="52" s="1"/>
  <c r="F34" i="67"/>
  <c r="F62" i="67" s="1"/>
  <c r="M20" i="67"/>
  <c r="F34" i="15"/>
  <c r="F62" i="15" s="1"/>
  <c r="BA13" i="3"/>
  <c r="BL17" i="3"/>
  <c r="AZ17" i="3" s="1"/>
  <c r="BL13" i="3"/>
  <c r="J56" i="9"/>
  <c r="J57" i="9" s="1"/>
  <c r="J59" i="9" s="1"/>
  <c r="J61" i="9" s="1"/>
  <c r="U29" i="34"/>
  <c r="E32" i="6"/>
  <c r="G1" i="68"/>
  <c r="K1" i="12"/>
  <c r="E19" i="69"/>
  <c r="E19" i="68"/>
  <c r="E19" i="11"/>
  <c r="E1" i="73"/>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AB13" i="40"/>
  <c r="U15" i="40"/>
  <c r="AB17" i="40"/>
  <c r="U8" i="40"/>
  <c r="S8" i="40"/>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U25" i="34"/>
  <c r="AB36" i="34"/>
  <c r="AC14" i="34"/>
  <c r="AC32" i="34"/>
  <c r="AC29" i="34"/>
  <c r="W29" i="34"/>
  <c r="W46" i="34"/>
  <c r="AC46" i="34"/>
  <c r="S32" i="34"/>
  <c r="AA32" i="34"/>
  <c r="U30" i="34"/>
  <c r="AB30" i="34"/>
  <c r="S37" i="34"/>
  <c r="U38" i="34"/>
  <c r="AC40" i="34"/>
  <c r="W40" i="34"/>
  <c r="AA19" i="34"/>
  <c r="S19"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U37" i="33"/>
  <c r="AC28" i="33"/>
  <c r="S28" i="33"/>
  <c r="W8" i="33"/>
  <c r="S44"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J17" i="21"/>
  <c r="AC17" i="21"/>
  <c r="AC19" i="21"/>
  <c r="W39" i="21"/>
  <c r="AC14" i="21"/>
  <c r="W30" i="21"/>
  <c r="S46" i="21"/>
  <c r="H45" i="21"/>
  <c r="U45" i="21"/>
  <c r="F29" i="21"/>
  <c r="AA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51" i="43"/>
  <c r="B54" i="43"/>
  <c r="B58" i="43"/>
  <c r="B62" i="43"/>
  <c r="B65" i="43"/>
  <c r="B69" i="43"/>
  <c r="D23" i="15"/>
  <c r="D22" i="15"/>
  <c r="E4" i="4"/>
  <c r="B5" i="62" s="1"/>
  <c r="B73" i="72" s="1"/>
  <c r="C4" i="4"/>
  <c r="AA39" i="40"/>
  <c r="S39" i="40"/>
  <c r="J32" i="39"/>
  <c r="H32" i="39"/>
  <c r="AB32" i="39" s="1"/>
  <c r="AA32" i="39"/>
  <c r="S32" i="39"/>
  <c r="U21" i="39"/>
  <c r="AA21" i="39"/>
  <c r="S21" i="39"/>
  <c r="J19" i="37"/>
  <c r="W19" i="37" s="1"/>
  <c r="G75" i="37"/>
  <c r="AA23" i="37"/>
  <c r="J23" i="37"/>
  <c r="J10" i="37"/>
  <c r="W10" i="37" s="1"/>
  <c r="G63" i="37"/>
  <c r="H63" i="37" s="1"/>
  <c r="H11" i="37"/>
  <c r="AB11" i="37" s="1"/>
  <c r="H11" i="34"/>
  <c r="U11" i="34" s="1"/>
  <c r="J10" i="34"/>
  <c r="AC10" i="34" s="1"/>
  <c r="AB41" i="33"/>
  <c r="W35" i="33"/>
  <c r="AC35" i="33"/>
  <c r="H111" i="33"/>
  <c r="I111" i="33" s="1"/>
  <c r="J111" i="33" s="1"/>
  <c r="K111" i="33" s="1"/>
  <c r="L111" i="33" s="1"/>
  <c r="M111" i="33" s="1"/>
  <c r="J36" i="33"/>
  <c r="W36" i="33" s="1"/>
  <c r="H36" i="33"/>
  <c r="U36" i="33" s="1"/>
  <c r="S36" i="33"/>
  <c r="W32" i="33"/>
  <c r="U27" i="33"/>
  <c r="AB27" i="33"/>
  <c r="I91" i="33"/>
  <c r="J91" i="33"/>
  <c r="K91" i="33" s="1"/>
  <c r="L91" i="33" s="1"/>
  <c r="M91" i="33" s="1"/>
  <c r="J27" i="33"/>
  <c r="AC27" i="33" s="1"/>
  <c r="U25" i="33"/>
  <c r="AB25" i="33"/>
  <c r="S25" i="33"/>
  <c r="AA25" i="33"/>
  <c r="I87" i="33"/>
  <c r="J87" i="33"/>
  <c r="K87" i="33" s="1"/>
  <c r="L87" i="33" s="1"/>
  <c r="M87" i="33" s="1"/>
  <c r="J25" i="33"/>
  <c r="W25" i="33" s="1"/>
  <c r="AB23" i="33"/>
  <c r="U23" i="33"/>
  <c r="F23" i="33"/>
  <c r="S23" i="33" s="1"/>
  <c r="G85" i="33"/>
  <c r="H19" i="33"/>
  <c r="U19" i="33" s="1"/>
  <c r="H17" i="33"/>
  <c r="F17" i="33"/>
  <c r="S17" i="33" s="1"/>
  <c r="AC17" i="33"/>
  <c r="S37" i="21"/>
  <c r="AA23" i="21"/>
  <c r="J23" i="21"/>
  <c r="F85" i="21"/>
  <c r="G85" i="21"/>
  <c r="H23" i="21"/>
  <c r="S13" i="21"/>
  <c r="D6" i="52"/>
  <c r="AP7" i="1"/>
  <c r="AB45" i="21"/>
  <c r="AB9" i="21"/>
  <c r="U9" i="21"/>
  <c r="AA32" i="21"/>
  <c r="S32" i="21"/>
  <c r="AC9" i="21"/>
  <c r="AB32" i="21"/>
  <c r="U32" i="21"/>
  <c r="A18" i="62"/>
  <c r="B64" i="72" s="1"/>
  <c r="U32" i="39"/>
  <c r="AC32" i="39"/>
  <c r="W32" i="39"/>
  <c r="W23" i="37"/>
  <c r="AC23" i="37"/>
  <c r="I63" i="37"/>
  <c r="J63" i="37"/>
  <c r="K63" i="37" s="1"/>
  <c r="L63" i="37" s="1"/>
  <c r="M63" i="37" s="1"/>
  <c r="J11" i="37"/>
  <c r="AC11" i="37" s="1"/>
  <c r="J11" i="34"/>
  <c r="W11" i="34" s="1"/>
  <c r="W27" i="33"/>
  <c r="AA23" i="33"/>
  <c r="AB19" i="33"/>
  <c r="U17" i="33"/>
  <c r="AB17" i="33"/>
  <c r="U23" i="21"/>
  <c r="AB23" i="21"/>
  <c r="AC23" i="21"/>
  <c r="W23" i="21"/>
  <c r="H109" i="9"/>
  <c r="H112" i="9"/>
  <c r="D21" i="53" s="1"/>
  <c r="B39" i="72" s="1"/>
  <c r="H111"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D21" i="71"/>
  <c r="D20" i="71"/>
  <c r="U20" i="71" s="1"/>
  <c r="E13" i="76"/>
  <c r="E11" i="76"/>
  <c r="F7" i="73"/>
  <c r="D34" i="9"/>
  <c r="M23" i="67"/>
  <c r="M29" i="67"/>
  <c r="M23" i="15"/>
  <c r="B10" i="76"/>
  <c r="M26" i="15"/>
  <c r="D5" i="73"/>
  <c r="B13" i="76"/>
  <c r="B11" i="76"/>
  <c r="F37" i="15"/>
  <c r="F16" i="15"/>
  <c r="F3" i="73"/>
  <c r="F42" i="67"/>
  <c r="F9" i="15"/>
  <c r="E2" i="68"/>
  <c r="L47" i="15"/>
  <c r="L48" i="67"/>
  <c r="B12" i="76"/>
  <c r="F20" i="31"/>
  <c r="F6" i="67"/>
  <c r="E12" i="76"/>
  <c r="M22" i="15"/>
  <c r="F40" i="67"/>
  <c r="M9" i="67"/>
  <c r="F8" i="67"/>
  <c r="M22" i="67"/>
  <c r="M6" i="15"/>
  <c r="C76" i="67"/>
  <c r="M24" i="67"/>
  <c r="F4" i="73"/>
  <c r="F5" i="73"/>
  <c r="F37" i="67"/>
  <c r="E8" i="76"/>
  <c r="F42" i="15"/>
  <c r="E2" i="69"/>
  <c r="E10" i="76"/>
  <c r="F16" i="67"/>
  <c r="F13" i="67"/>
  <c r="F40" i="15"/>
  <c r="F36" i="15"/>
  <c r="F6" i="73"/>
  <c r="D6" i="73"/>
  <c r="E9" i="76"/>
  <c r="D35" i="9"/>
  <c r="AO13" i="1"/>
  <c r="B8" i="76"/>
  <c r="D3" i="73"/>
  <c r="F38" i="67"/>
  <c r="M26" i="67"/>
  <c r="F7" i="15"/>
  <c r="C76" i="15"/>
  <c r="F9" i="67"/>
  <c r="E7" i="76"/>
  <c r="M28" i="67"/>
  <c r="B7" i="76"/>
  <c r="F8" i="15"/>
  <c r="F43" i="15"/>
  <c r="L48" i="15"/>
  <c r="D7" i="73"/>
  <c r="M28" i="15"/>
  <c r="M8" i="67"/>
  <c r="B9" i="76"/>
  <c r="F36" i="67"/>
  <c r="D4" i="73"/>
  <c r="B41" i="1" l="1"/>
  <c r="D93" i="9"/>
  <c r="C40" i="69"/>
  <c r="G22" i="68"/>
  <c r="G22" i="69"/>
  <c r="H69" i="43"/>
  <c r="U15" i="21"/>
  <c r="AB15" i="21"/>
  <c r="S12" i="33"/>
  <c r="AA12" i="33"/>
  <c r="AC34" i="33"/>
  <c r="W34" i="33"/>
  <c r="T20" i="71"/>
  <c r="E15" i="71"/>
  <c r="E14" i="71" s="1"/>
  <c r="E13" i="71" s="1"/>
  <c r="E12" i="71" s="1"/>
  <c r="V16" i="71"/>
  <c r="AA17" i="33"/>
  <c r="AC25" i="33"/>
  <c r="AC19" i="37"/>
  <c r="M49" i="9"/>
  <c r="D16" i="53"/>
  <c r="B34" i="72" s="1"/>
  <c r="AA19" i="33"/>
  <c r="S31" i="40"/>
  <c r="S17" i="37"/>
  <c r="AA17" i="37"/>
  <c r="U37" i="39"/>
  <c r="AB37" i="39"/>
  <c r="AA15" i="37"/>
  <c r="S15" i="37"/>
  <c r="W12" i="37"/>
  <c r="AC12" i="37"/>
  <c r="AC43" i="33"/>
  <c r="W43" i="33"/>
  <c r="S39" i="33"/>
  <c r="AA39" i="33"/>
  <c r="S14" i="37"/>
  <c r="AA14" i="37"/>
  <c r="AA36" i="34"/>
  <c r="S36" i="34"/>
  <c r="W45" i="39"/>
  <c r="AC45" i="39"/>
  <c r="B99" i="43"/>
  <c r="B76" i="43"/>
  <c r="B67" i="43"/>
  <c r="AB9" i="33"/>
  <c r="U9" i="33"/>
  <c r="U12" i="33"/>
  <c r="AB12" i="33"/>
  <c r="AA38" i="33"/>
  <c r="S38" i="33"/>
  <c r="F9" i="33"/>
  <c r="AA9" i="33" s="1"/>
  <c r="J9" i="33"/>
  <c r="AB24" i="36"/>
  <c r="U24" i="36"/>
  <c r="AB26" i="36"/>
  <c r="U26" i="36"/>
  <c r="S19" i="37"/>
  <c r="AA19" i="37"/>
  <c r="AA39" i="34"/>
  <c r="S39" i="34"/>
  <c r="AB25" i="39"/>
  <c r="U25" i="39"/>
  <c r="S15" i="40"/>
  <c r="AA15" i="40"/>
  <c r="AA11" i="33"/>
  <c r="S11" i="33"/>
  <c r="AC36" i="39"/>
  <c r="W36" i="39"/>
  <c r="BA549" i="3"/>
  <c r="AZ549" i="3" s="1"/>
  <c r="BA525" i="3"/>
  <c r="AZ525" i="3" s="1"/>
  <c r="BL522" i="3"/>
  <c r="BA522" i="3"/>
  <c r="BL521" i="3"/>
  <c r="AZ521" i="3" s="1"/>
  <c r="BL516" i="3"/>
  <c r="BA516" i="3"/>
  <c r="BA514" i="3"/>
  <c r="AZ514" i="3" s="1"/>
  <c r="BA513" i="3"/>
  <c r="AZ513" i="3" s="1"/>
  <c r="BL512" i="3"/>
  <c r="BA512" i="3"/>
  <c r="BL511" i="3"/>
  <c r="BA511" i="3"/>
  <c r="AZ511" i="3" s="1"/>
  <c r="BL510" i="3"/>
  <c r="BA510" i="3"/>
  <c r="BL509" i="3"/>
  <c r="AZ509" i="3" s="1"/>
  <c r="BA507" i="3"/>
  <c r="AZ507" i="3" s="1"/>
  <c r="BA506" i="3"/>
  <c r="AZ506" i="3" s="1"/>
  <c r="BL505" i="3"/>
  <c r="AZ505" i="3" s="1"/>
  <c r="BL504" i="3"/>
  <c r="AZ504" i="3" s="1"/>
  <c r="BA503" i="3"/>
  <c r="AZ503" i="3" s="1"/>
  <c r="BL501" i="3"/>
  <c r="BA501" i="3"/>
  <c r="AZ501" i="3" s="1"/>
  <c r="BL500" i="3"/>
  <c r="BA500" i="3"/>
  <c r="BA499" i="3"/>
  <c r="AZ499" i="3" s="1"/>
  <c r="BL498" i="3"/>
  <c r="BK5" i="3"/>
  <c r="BG5" i="3"/>
  <c r="BA498" i="3"/>
  <c r="BC5" i="3"/>
  <c r="BT5" i="3"/>
  <c r="G28" i="6" s="1"/>
  <c r="BL497" i="3"/>
  <c r="BA497" i="3"/>
  <c r="BL496" i="3"/>
  <c r="BO5" i="3"/>
  <c r="F29" i="6" s="1"/>
  <c r="E29" i="6" s="1"/>
  <c r="K15" i="1" s="1"/>
  <c r="BJ5" i="3"/>
  <c r="BB5" i="3"/>
  <c r="E5" i="6" s="1"/>
  <c r="BS5" i="3"/>
  <c r="F28" i="6" s="1"/>
  <c r="BL495" i="3"/>
  <c r="AZ495" i="3" s="1"/>
  <c r="BL494" i="3"/>
  <c r="BN5" i="3"/>
  <c r="G29" i="6" s="1"/>
  <c r="BE5" i="3"/>
  <c r="BA494" i="3"/>
  <c r="AZ494" i="3" s="1"/>
  <c r="AC5" i="3"/>
  <c r="BL493" i="3"/>
  <c r="BH5" i="3"/>
  <c r="BA493" i="3"/>
  <c r="AZ493" i="3" s="1"/>
  <c r="H5" i="3"/>
  <c r="AZ537" i="3"/>
  <c r="AZ496" i="3"/>
  <c r="S38" i="37"/>
  <c r="AA38" i="37"/>
  <c r="U30" i="33"/>
  <c r="AB30" i="33"/>
  <c r="AA21" i="40"/>
  <c r="S21" i="40"/>
  <c r="BL555" i="3"/>
  <c r="BA555" i="3"/>
  <c r="BL554" i="3"/>
  <c r="AZ554" i="3" s="1"/>
  <c r="BA553" i="3"/>
  <c r="AZ553" i="3" s="1"/>
  <c r="BL552" i="3"/>
  <c r="AZ552" i="3" s="1"/>
  <c r="BL548" i="3"/>
  <c r="BA524" i="3"/>
  <c r="AZ524" i="3" s="1"/>
  <c r="BL523" i="3"/>
  <c r="BA523" i="3"/>
  <c r="AZ523" i="3" s="1"/>
  <c r="BL520" i="3"/>
  <c r="AZ520" i="3" s="1"/>
  <c r="BL518" i="3"/>
  <c r="BA518" i="3"/>
  <c r="BL517" i="3"/>
  <c r="BA517" i="3"/>
  <c r="BA515" i="3"/>
  <c r="AZ515" i="3" s="1"/>
  <c r="BA508" i="3"/>
  <c r="AZ508" i="3" s="1"/>
  <c r="BL502" i="3"/>
  <c r="BA502" i="3"/>
  <c r="BF5" i="3"/>
  <c r="D19" i="71"/>
  <c r="V20" i="71"/>
  <c r="AB36" i="33"/>
  <c r="S29" i="21"/>
  <c r="W33" i="34"/>
  <c r="AA43" i="21"/>
  <c r="U32" i="37"/>
  <c r="AB32" i="37"/>
  <c r="AZ338" i="3"/>
  <c r="AA15" i="39"/>
  <c r="S15" i="39"/>
  <c r="AA32" i="40"/>
  <c r="S32" i="40"/>
  <c r="AZ581" i="3"/>
  <c r="U43" i="39"/>
  <c r="AB43" i="39"/>
  <c r="AA13" i="37"/>
  <c r="S13" i="37"/>
  <c r="W44" i="33"/>
  <c r="AC44" i="33"/>
  <c r="W11" i="35"/>
  <c r="AC11" i="35"/>
  <c r="S12" i="36"/>
  <c r="AA12" i="36"/>
  <c r="AA32" i="35"/>
  <c r="S32" i="35"/>
  <c r="C17" i="71"/>
  <c r="D18" i="71"/>
  <c r="D126" i="9"/>
  <c r="D19" i="53"/>
  <c r="B38" i="72" s="1"/>
  <c r="AB42" i="21"/>
  <c r="AC23" i="33"/>
  <c r="W23" i="33"/>
  <c r="U44" i="34"/>
  <c r="AB44" i="34"/>
  <c r="AC20" i="36"/>
  <c r="W20" i="36"/>
  <c r="BD5" i="3"/>
  <c r="S11" i="39"/>
  <c r="AA11" i="39"/>
  <c r="W36" i="40"/>
  <c r="AC36" i="40"/>
  <c r="AZ559" i="3"/>
  <c r="W35" i="40"/>
  <c r="AC35" i="40"/>
  <c r="AB47" i="34"/>
  <c r="U47" i="34"/>
  <c r="BL585" i="3"/>
  <c r="BA585" i="3"/>
  <c r="AZ585" i="3" s="1"/>
  <c r="AZ565" i="3"/>
  <c r="AZ573" i="3"/>
  <c r="AA26" i="33"/>
  <c r="S26" i="33"/>
  <c r="AB35" i="33"/>
  <c r="U35" i="33"/>
  <c r="H14" i="33"/>
  <c r="J14" i="33"/>
  <c r="H13" i="34"/>
  <c r="F13" i="34"/>
  <c r="H26" i="37"/>
  <c r="F26" i="37"/>
  <c r="F31" i="39"/>
  <c r="J31" i="39"/>
  <c r="H31" i="39"/>
  <c r="AZ542" i="3"/>
  <c r="AZ548" i="3"/>
  <c r="AB26" i="33"/>
  <c r="B94" i="43"/>
  <c r="B73" i="43"/>
  <c r="C21" i="39"/>
  <c r="J27" i="34"/>
  <c r="F27" i="34"/>
  <c r="H45" i="34"/>
  <c r="F45" i="34"/>
  <c r="F13" i="35"/>
  <c r="H13" i="35"/>
  <c r="AB30" i="37"/>
  <c r="U30" i="37"/>
  <c r="H25" i="37"/>
  <c r="F25" i="37"/>
  <c r="J25" i="37"/>
  <c r="U8" i="39"/>
  <c r="AB8" i="39"/>
  <c r="AC40" i="39"/>
  <c r="W40" i="39"/>
  <c r="AB9" i="40"/>
  <c r="U9" i="40"/>
  <c r="AC32" i="40"/>
  <c r="W32" i="40"/>
  <c r="F38" i="40"/>
  <c r="J38" i="40"/>
  <c r="H38" i="40"/>
  <c r="AC17" i="37"/>
  <c r="M18" i="15"/>
  <c r="M18" i="67"/>
  <c r="F30" i="11"/>
  <c r="C48" i="11" s="1"/>
  <c r="AA39" i="39"/>
  <c r="AC13" i="40"/>
  <c r="U43" i="33"/>
  <c r="AA41" i="34"/>
  <c r="AC28" i="34"/>
  <c r="AZ587" i="3"/>
  <c r="G587" i="3"/>
  <c r="H12" i="21"/>
  <c r="J12" i="21"/>
  <c r="F12" i="21"/>
  <c r="AC40" i="33"/>
  <c r="W40" i="33"/>
  <c r="J12" i="36"/>
  <c r="H12" i="36"/>
  <c r="H39" i="40"/>
  <c r="J39" i="40"/>
  <c r="H23" i="35"/>
  <c r="J23" i="35"/>
  <c r="AC31" i="37"/>
  <c r="W31" i="37"/>
  <c r="H44" i="39"/>
  <c r="F44" i="39"/>
  <c r="J44" i="39"/>
  <c r="BL550" i="3"/>
  <c r="AZ550" i="3" s="1"/>
  <c r="G570" i="3"/>
  <c r="AZ400" i="3"/>
  <c r="AZ413" i="3"/>
  <c r="AZ420" i="3"/>
  <c r="AZ430" i="3"/>
  <c r="G556" i="3"/>
  <c r="BA551" i="3"/>
  <c r="AZ551" i="3" s="1"/>
  <c r="AZ403" i="3"/>
  <c r="AZ398" i="3"/>
  <c r="AZ409" i="3"/>
  <c r="AZ431" i="3"/>
  <c r="AZ421" i="3"/>
  <c r="AZ453" i="3"/>
  <c r="AZ468" i="3"/>
  <c r="BA408" i="3"/>
  <c r="AZ408" i="3" s="1"/>
  <c r="BL415" i="3"/>
  <c r="BL417" i="3"/>
  <c r="AZ417" i="3" s="1"/>
  <c r="BL422" i="3"/>
  <c r="AZ422" i="3" s="1"/>
  <c r="BL426" i="3"/>
  <c r="BL428" i="3"/>
  <c r="AZ428" i="3" s="1"/>
  <c r="G430" i="3"/>
  <c r="BL432" i="3"/>
  <c r="AZ432" i="3" s="1"/>
  <c r="BA435" i="3"/>
  <c r="AZ435" i="3" s="1"/>
  <c r="BA436" i="3"/>
  <c r="AZ436" i="3" s="1"/>
  <c r="BL439" i="3"/>
  <c r="AZ439" i="3" s="1"/>
  <c r="BL441" i="3"/>
  <c r="AZ441" i="3" s="1"/>
  <c r="BL446" i="3"/>
  <c r="AZ446" i="3" s="1"/>
  <c r="G451" i="3"/>
  <c r="BA455" i="3"/>
  <c r="AZ455" i="3" s="1"/>
  <c r="BA457" i="3"/>
  <c r="AZ457" i="3" s="1"/>
  <c r="AZ459" i="3"/>
  <c r="BA465" i="3"/>
  <c r="AZ465" i="3" s="1"/>
  <c r="AZ467" i="3"/>
  <c r="BA483" i="3"/>
  <c r="AZ483" i="3" s="1"/>
  <c r="AZ485" i="3"/>
  <c r="BL487" i="3"/>
  <c r="AZ489" i="3"/>
  <c r="AZ210" i="3"/>
  <c r="AZ221" i="3"/>
  <c r="AZ247" i="3"/>
  <c r="AZ252" i="3"/>
  <c r="BL411" i="3"/>
  <c r="AZ411" i="3" s="1"/>
  <c r="AZ415" i="3"/>
  <c r="AZ426" i="3"/>
  <c r="AZ438" i="3"/>
  <c r="BL450" i="3"/>
  <c r="BL453" i="3"/>
  <c r="G455" i="3"/>
  <c r="G462" i="3"/>
  <c r="G469" i="3"/>
  <c r="AZ479" i="3"/>
  <c r="AZ481" i="3"/>
  <c r="AZ482" i="3"/>
  <c r="BA484" i="3"/>
  <c r="AZ484" i="3" s="1"/>
  <c r="AZ486" i="3"/>
  <c r="BA487" i="3"/>
  <c r="AZ487" i="3" s="1"/>
  <c r="AZ492" i="3"/>
  <c r="AZ332" i="3"/>
  <c r="BA416" i="3"/>
  <c r="AZ416" i="3" s="1"/>
  <c r="BL418" i="3"/>
  <c r="AZ418" i="3" s="1"/>
  <c r="BL421" i="3"/>
  <c r="BA423" i="3"/>
  <c r="AZ423" i="3" s="1"/>
  <c r="BA427" i="3"/>
  <c r="AZ427" i="3" s="1"/>
  <c r="BA429" i="3"/>
  <c r="AZ429" i="3" s="1"/>
  <c r="BL435" i="3"/>
  <c r="G437" i="3"/>
  <c r="BA440" i="3"/>
  <c r="AZ440" i="3" s="1"/>
  <c r="BL442" i="3"/>
  <c r="AZ442" i="3" s="1"/>
  <c r="BL445" i="3"/>
  <c r="AZ445" i="3" s="1"/>
  <c r="BA447" i="3"/>
  <c r="AZ447" i="3" s="1"/>
  <c r="BA450" i="3"/>
  <c r="BL454" i="3"/>
  <c r="AZ454" i="3" s="1"/>
  <c r="G458" i="3"/>
  <c r="BL460" i="3"/>
  <c r="AZ460" i="3" s="1"/>
  <c r="BL461" i="3"/>
  <c r="AZ461" i="3" s="1"/>
  <c r="BL464" i="3"/>
  <c r="AZ464" i="3" s="1"/>
  <c r="BL467" i="3"/>
  <c r="BL468" i="3"/>
  <c r="BL471" i="3"/>
  <c r="AZ471" i="3" s="1"/>
  <c r="BL472" i="3"/>
  <c r="AZ472" i="3" s="1"/>
  <c r="BA475" i="3"/>
  <c r="AZ475" i="3" s="1"/>
  <c r="AZ477" i="3"/>
  <c r="AZ478" i="3"/>
  <c r="BA480" i="3"/>
  <c r="AZ480" i="3" s="1"/>
  <c r="G484" i="3"/>
  <c r="AZ225" i="3"/>
  <c r="AZ239" i="3"/>
  <c r="BL233" i="3"/>
  <c r="AZ233" i="3" s="1"/>
  <c r="BA238" i="3"/>
  <c r="AZ238" i="3" s="1"/>
  <c r="G244" i="3"/>
  <c r="AZ255" i="3"/>
  <c r="G247" i="3"/>
  <c r="G254" i="3"/>
  <c r="BA263" i="3"/>
  <c r="AZ263" i="3" s="1"/>
  <c r="BA266" i="3"/>
  <c r="AZ266" i="3" s="1"/>
  <c r="BA268" i="3"/>
  <c r="AZ268" i="3" s="1"/>
  <c r="AZ270" i="3"/>
  <c r="BA271" i="3"/>
  <c r="AZ271" i="3" s="1"/>
  <c r="BA273" i="3"/>
  <c r="AZ273" i="3" s="1"/>
  <c r="BA277" i="3"/>
  <c r="AZ277" i="3" s="1"/>
  <c r="BA279" i="3"/>
  <c r="AZ279" i="3" s="1"/>
  <c r="BA281" i="3"/>
  <c r="AZ281" i="3" s="1"/>
  <c r="BA284" i="3"/>
  <c r="AZ284" i="3" s="1"/>
  <c r="BA289" i="3"/>
  <c r="AZ289" i="3" s="1"/>
  <c r="BA292" i="3"/>
  <c r="AZ292" i="3" s="1"/>
  <c r="G296" i="3"/>
  <c r="G298" i="3"/>
  <c r="G301" i="3"/>
  <c r="AZ145" i="3"/>
  <c r="AZ177" i="3"/>
  <c r="BA236" i="3"/>
  <c r="AZ236" i="3" s="1"/>
  <c r="BL240" i="3"/>
  <c r="AZ240" i="3" s="1"/>
  <c r="BA246" i="3"/>
  <c r="AZ246" i="3" s="1"/>
  <c r="BA253" i="3"/>
  <c r="AZ253" i="3" s="1"/>
  <c r="BL257" i="3"/>
  <c r="AZ257" i="3" s="1"/>
  <c r="G259" i="3"/>
  <c r="BA264" i="3"/>
  <c r="AZ264" i="3" s="1"/>
  <c r="BA274" i="3"/>
  <c r="AZ274" i="3" s="1"/>
  <c r="G277" i="3"/>
  <c r="BL299" i="3"/>
  <c r="AZ299" i="3" s="1"/>
  <c r="G114" i="3"/>
  <c r="BL117" i="3"/>
  <c r="AZ117" i="3" s="1"/>
  <c r="G122" i="3"/>
  <c r="AZ126" i="3"/>
  <c r="G131" i="3"/>
  <c r="AZ134" i="3"/>
  <c r="G139" i="3"/>
  <c r="AZ153" i="3"/>
  <c r="AZ185" i="3"/>
  <c r="AZ207" i="3"/>
  <c r="BL228" i="3"/>
  <c r="AZ228" i="3" s="1"/>
  <c r="BL235" i="3"/>
  <c r="AZ235" i="3" s="1"/>
  <c r="G239" i="3"/>
  <c r="BL245" i="3"/>
  <c r="AZ245" i="3" s="1"/>
  <c r="BL250" i="3"/>
  <c r="AZ250" i="3" s="1"/>
  <c r="BL255" i="3"/>
  <c r="BL258" i="3"/>
  <c r="AZ258" i="3" s="1"/>
  <c r="BA261" i="3"/>
  <c r="AZ261" i="3" s="1"/>
  <c r="G264" i="3"/>
  <c r="BL265" i="3"/>
  <c r="AZ265" i="3" s="1"/>
  <c r="G269" i="3"/>
  <c r="BL270" i="3"/>
  <c r="G274" i="3"/>
  <c r="BL275" i="3"/>
  <c r="AZ275" i="3" s="1"/>
  <c r="BL276" i="3"/>
  <c r="AZ276" i="3" s="1"/>
  <c r="G280" i="3"/>
  <c r="G282" i="3"/>
  <c r="G285" i="3"/>
  <c r="G290" i="3"/>
  <c r="G293" i="3"/>
  <c r="BA295" i="3"/>
  <c r="AZ295" i="3" s="1"/>
  <c r="BA297" i="3"/>
  <c r="AZ297" i="3" s="1"/>
  <c r="BA300" i="3"/>
  <c r="AZ300" i="3" s="1"/>
  <c r="BA118" i="3"/>
  <c r="AZ118" i="3" s="1"/>
  <c r="G124" i="3"/>
  <c r="AZ27" i="3"/>
  <c r="BL28" i="3"/>
  <c r="BL29" i="3"/>
  <c r="AZ29" i="3" s="1"/>
  <c r="BL31" i="3"/>
  <c r="AZ31" i="3" s="1"/>
  <c r="G35" i="3"/>
  <c r="BL36" i="3"/>
  <c r="AZ36" i="3" s="1"/>
  <c r="G40" i="3"/>
  <c r="AZ54" i="3"/>
  <c r="BA60" i="3"/>
  <c r="AZ60" i="3" s="1"/>
  <c r="G203" i="3"/>
  <c r="BL23" i="3"/>
  <c r="BL5" i="3" s="1"/>
  <c r="G27" i="3"/>
  <c r="G5" i="3" s="1"/>
  <c r="B3" i="3" s="1"/>
  <c r="BA28" i="3"/>
  <c r="BA34" i="3"/>
  <c r="BA41" i="3"/>
  <c r="AZ41" i="3" s="1"/>
  <c r="AZ49" i="3"/>
  <c r="AZ56" i="3"/>
  <c r="BA202" i="3"/>
  <c r="AZ202" i="3" s="1"/>
  <c r="BL205" i="3"/>
  <c r="AZ205" i="3" s="1"/>
  <c r="BA26" i="3"/>
  <c r="AZ26" i="3" s="1"/>
  <c r="G33" i="3"/>
  <c r="G38" i="3"/>
  <c r="AZ52" i="3"/>
  <c r="AZ65" i="3"/>
  <c r="AZ81" i="3"/>
  <c r="AZ91" i="3"/>
  <c r="BA30" i="3"/>
  <c r="AZ30" i="3" s="1"/>
  <c r="BL39" i="3"/>
  <c r="AZ39" i="3" s="1"/>
  <c r="G43" i="3"/>
  <c r="G48" i="3"/>
  <c r="BL52" i="3"/>
  <c r="G59" i="3"/>
  <c r="G64" i="3"/>
  <c r="BL68" i="3"/>
  <c r="BL73" i="3"/>
  <c r="G82" i="3"/>
  <c r="G86" i="3"/>
  <c r="BA90" i="3"/>
  <c r="AZ90" i="3" s="1"/>
  <c r="BL101" i="3"/>
  <c r="AZ101" i="3" s="1"/>
  <c r="G108" i="3"/>
  <c r="F3" i="35"/>
  <c r="AC21" i="33"/>
  <c r="S21" i="37"/>
  <c r="T32" i="71"/>
  <c r="D32" i="71"/>
  <c r="D35" i="71"/>
  <c r="C36" i="71"/>
  <c r="AZ68" i="3"/>
  <c r="AZ73" i="3"/>
  <c r="T64" i="71"/>
  <c r="D64" i="71"/>
  <c r="C40" i="71"/>
  <c r="D39" i="71"/>
  <c r="K13" i="1"/>
  <c r="M13" i="1" s="1"/>
  <c r="O13" i="1" s="1"/>
  <c r="P13" i="1" s="1"/>
  <c r="P66" i="71"/>
  <c r="P65" i="71"/>
  <c r="N65" i="71"/>
  <c r="N66" i="71"/>
  <c r="G31" i="3"/>
  <c r="BL34" i="3"/>
  <c r="BA40" i="3"/>
  <c r="AZ40" i="3" s="1"/>
  <c r="BA50" i="3"/>
  <c r="AZ50" i="3" s="1"/>
  <c r="BA55" i="3"/>
  <c r="AZ55" i="3" s="1"/>
  <c r="BA66" i="3"/>
  <c r="AZ66" i="3" s="1"/>
  <c r="BA71" i="3"/>
  <c r="AZ71" i="3" s="1"/>
  <c r="BL75" i="3"/>
  <c r="AZ75" i="3" s="1"/>
  <c r="BL78" i="3"/>
  <c r="AZ78" i="3" s="1"/>
  <c r="BA83" i="3"/>
  <c r="AZ83" i="3" s="1"/>
  <c r="BL95" i="3"/>
  <c r="AZ95" i="3" s="1"/>
  <c r="BL98" i="3"/>
  <c r="AZ98" i="3" s="1"/>
  <c r="BL109" i="3"/>
  <c r="AZ109" i="3" s="1"/>
  <c r="D43" i="71"/>
  <c r="C44" i="71"/>
  <c r="AC25" i="40"/>
  <c r="AB18" i="36"/>
  <c r="Y10" i="71"/>
  <c r="Z10" i="71" s="1"/>
  <c r="Y9" i="71"/>
  <c r="Z9" i="71" s="1"/>
  <c r="Y23" i="71"/>
  <c r="Z23" i="71" s="1"/>
  <c r="X18" i="71"/>
  <c r="X10" i="71"/>
  <c r="X17" i="71"/>
  <c r="V28" i="71"/>
  <c r="D31" i="71"/>
  <c r="C78" i="71"/>
  <c r="D78" i="71" s="1"/>
  <c r="C74" i="71"/>
  <c r="D74" i="71" s="1"/>
  <c r="AA28" i="71"/>
  <c r="AA3" i="71"/>
  <c r="X28" i="71"/>
  <c r="X38" i="71"/>
  <c r="AB33" i="71"/>
  <c r="AA32" i="71"/>
  <c r="AB29" i="71"/>
  <c r="AA33" i="71"/>
  <c r="X29" i="71"/>
  <c r="AA34" i="71"/>
  <c r="B38" i="71"/>
  <c r="B39" i="71" s="1"/>
  <c r="B40" i="71" s="1"/>
  <c r="S40" i="71" s="1"/>
  <c r="X37" i="71"/>
  <c r="Y38" i="71"/>
  <c r="Z38" i="71" s="1"/>
  <c r="AA22" i="71"/>
  <c r="Y21" i="71"/>
  <c r="Z21" i="71" s="1"/>
  <c r="Y18" i="71"/>
  <c r="Z18" i="71" s="1"/>
  <c r="Y14" i="71"/>
  <c r="Z14" i="71" s="1"/>
  <c r="S21" i="21"/>
  <c r="S18" i="35"/>
  <c r="C25" i="40"/>
  <c r="D60" i="71"/>
  <c r="C70" i="71"/>
  <c r="D70" i="71" s="1"/>
  <c r="AA27" i="71"/>
  <c r="D34" i="71"/>
  <c r="X27" i="71"/>
  <c r="Y31" i="71"/>
  <c r="Z31" i="71" s="1"/>
  <c r="X32" i="71"/>
  <c r="AB34" i="71"/>
  <c r="Y35" i="71"/>
  <c r="Z35" i="71" s="1"/>
  <c r="X9" i="71"/>
  <c r="F71" i="71"/>
  <c r="F70" i="71" s="1"/>
  <c r="M56" i="9"/>
  <c r="N56" i="9"/>
  <c r="K56" i="9"/>
  <c r="AA24" i="71"/>
  <c r="X24" i="71"/>
  <c r="AA23" i="71"/>
  <c r="AA18" i="71"/>
  <c r="AB14" i="71"/>
  <c r="Y17" i="71"/>
  <c r="Z17" i="71" s="1"/>
  <c r="AB18" i="71"/>
  <c r="AA17" i="71"/>
  <c r="AB26" i="71"/>
  <c r="X35" i="71"/>
  <c r="X30" i="71"/>
  <c r="AB30" i="71"/>
  <c r="Y33" i="71"/>
  <c r="Z33" i="71" s="1"/>
  <c r="AB36" i="71"/>
  <c r="F38" i="71"/>
  <c r="F39" i="71" s="1"/>
  <c r="F40" i="71" s="1"/>
  <c r="V40" i="71" s="1"/>
  <c r="Y39" i="71"/>
  <c r="Z39" i="71" s="1"/>
  <c r="AB9" i="71"/>
  <c r="AB10" i="71"/>
  <c r="B79" i="71"/>
  <c r="B78" i="71" s="1"/>
  <c r="Y24" i="71"/>
  <c r="Z24" i="71" s="1"/>
  <c r="Y11" i="71"/>
  <c r="Z11" i="71" s="1"/>
  <c r="AB21" i="71"/>
  <c r="X21" i="71"/>
  <c r="AA21" i="71"/>
  <c r="AA15" i="71"/>
  <c r="AA14" i="71"/>
  <c r="X12" i="71"/>
  <c r="V24" i="71"/>
  <c r="AB15" i="71"/>
  <c r="AB17" i="71"/>
  <c r="AB11" i="71"/>
  <c r="AA12" i="71"/>
  <c r="Y12" i="71"/>
  <c r="Z12" i="71" s="1"/>
  <c r="Y13" i="71"/>
  <c r="Z13" i="71" s="1"/>
  <c r="AA10" i="71"/>
  <c r="AA9" i="71"/>
  <c r="Y22" i="71"/>
  <c r="Z22" i="71" s="1"/>
  <c r="AB23" i="71"/>
  <c r="X15" i="71"/>
  <c r="AB13" i="71"/>
  <c r="AA13" i="71"/>
  <c r="X13" i="71"/>
  <c r="AB12" i="71"/>
  <c r="AA11"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51" i="15"/>
  <c r="F71" i="15"/>
  <c r="F66" i="67"/>
  <c r="L59" i="15"/>
  <c r="N59" i="15"/>
  <c r="L58" i="15"/>
  <c r="M59" i="15"/>
  <c r="Q71" i="67"/>
  <c r="F64" i="15"/>
  <c r="F65" i="15"/>
  <c r="B13" i="70"/>
  <c r="F68" i="67"/>
  <c r="F64" i="67"/>
  <c r="F68" i="15"/>
  <c r="C36" i="68"/>
  <c r="D9" i="68"/>
  <c r="D9" i="69"/>
  <c r="C36" i="69"/>
  <c r="F6" i="15"/>
  <c r="F26" i="15"/>
  <c r="F38" i="15"/>
  <c r="F43" i="67"/>
  <c r="F26" i="67"/>
  <c r="C16" i="15"/>
  <c r="G1" i="73"/>
  <c r="M24" i="15"/>
  <c r="M29" i="15"/>
  <c r="M6" i="67"/>
  <c r="M9" i="15"/>
  <c r="J15" i="15"/>
  <c r="J15" i="67"/>
  <c r="M8" i="15"/>
  <c r="F13" i="15"/>
  <c r="F7" i="67"/>
  <c r="L47" i="67"/>
  <c r="C30" i="11" l="1"/>
  <c r="F48" i="9"/>
  <c r="O52" i="9" s="1"/>
  <c r="F31" i="12"/>
  <c r="C31" i="12" s="1"/>
  <c r="F32" i="15"/>
  <c r="F60" i="15" s="1"/>
  <c r="D68" i="9"/>
  <c r="F52" i="9"/>
  <c r="F28" i="15"/>
  <c r="C28" i="15" s="1"/>
  <c r="F54" i="9"/>
  <c r="F32" i="67"/>
  <c r="F60" i="67" s="1"/>
  <c r="F28" i="67"/>
  <c r="C28" i="67" s="1"/>
  <c r="F30" i="69"/>
  <c r="F30" i="68"/>
  <c r="P6" i="1"/>
  <c r="C13" i="12" s="1"/>
  <c r="N370" i="46"/>
  <c r="F26" i="43"/>
  <c r="N94" i="46"/>
  <c r="J26" i="43"/>
  <c r="E26" i="43"/>
  <c r="H26" i="43"/>
  <c r="G16" i="1"/>
  <c r="F10" i="39" s="1"/>
  <c r="S10" i="39" s="1"/>
  <c r="Q16" i="1"/>
  <c r="H16" i="1"/>
  <c r="L59" i="67"/>
  <c r="Q61" i="67" s="1"/>
  <c r="L58" i="67"/>
  <c r="Q73" i="67" s="1"/>
  <c r="N59" i="67"/>
  <c r="M59" i="67"/>
  <c r="F31" i="67"/>
  <c r="M7" i="67"/>
  <c r="J6" i="67" s="1"/>
  <c r="J18" i="67" s="1"/>
  <c r="F50" i="67"/>
  <c r="F59" i="67" s="1"/>
  <c r="C6" i="67"/>
  <c r="C32" i="67" s="1"/>
  <c r="C27" i="67"/>
  <c r="F71" i="67"/>
  <c r="F66" i="15"/>
  <c r="C27" i="15"/>
  <c r="F31" i="15"/>
  <c r="C6" i="15"/>
  <c r="E510" i="3"/>
  <c r="E539" i="3"/>
  <c r="E536" i="3"/>
  <c r="E148" i="3"/>
  <c r="E212" i="3"/>
  <c r="E199" i="3"/>
  <c r="E286" i="3"/>
  <c r="E575" i="3"/>
  <c r="E499" i="3"/>
  <c r="R6" i="3"/>
  <c r="E442" i="3"/>
  <c r="E466" i="3"/>
  <c r="E541" i="3"/>
  <c r="E449" i="3"/>
  <c r="E255" i="3"/>
  <c r="I3" i="6"/>
  <c r="AP6" i="3"/>
  <c r="E554" i="3"/>
  <c r="E435" i="3"/>
  <c r="E491" i="3"/>
  <c r="E417" i="3"/>
  <c r="E479" i="3"/>
  <c r="E56" i="3"/>
  <c r="E37" i="3"/>
  <c r="E95" i="3"/>
  <c r="E152" i="3"/>
  <c r="E132" i="3"/>
  <c r="E192" i="3"/>
  <c r="E258" i="3"/>
  <c r="E241" i="3"/>
  <c r="E292" i="3"/>
  <c r="E363" i="3"/>
  <c r="E349" i="3"/>
  <c r="E389" i="3"/>
  <c r="E544" i="3"/>
  <c r="E76" i="3"/>
  <c r="E409" i="3"/>
  <c r="E425" i="3"/>
  <c r="E467" i="3"/>
  <c r="E46" i="3"/>
  <c r="E103" i="3"/>
  <c r="E160" i="3"/>
  <c r="E142" i="3"/>
  <c r="E200" i="3"/>
  <c r="E267" i="3"/>
  <c r="E249" i="3"/>
  <c r="E300" i="3"/>
  <c r="E371" i="3"/>
  <c r="E310" i="3"/>
  <c r="E492" i="3"/>
  <c r="E23" i="3"/>
  <c r="E84" i="3"/>
  <c r="E67" i="3"/>
  <c r="E144" i="3"/>
  <c r="E184" i="3"/>
  <c r="E233" i="3"/>
  <c r="E381" i="3"/>
  <c r="E68" i="3"/>
  <c r="E63" i="3"/>
  <c r="E81" i="3"/>
  <c r="E118" i="3"/>
  <c r="E283" i="3"/>
  <c r="E309" i="3"/>
  <c r="E513" i="3"/>
  <c r="E21" i="3"/>
  <c r="E205" i="3"/>
  <c r="E140" i="3"/>
  <c r="E16" i="3"/>
  <c r="E493" i="3"/>
  <c r="E486" i="3"/>
  <c r="E416" i="3"/>
  <c r="E498" i="3"/>
  <c r="E452" i="3"/>
  <c r="E463" i="3"/>
  <c r="E57" i="3"/>
  <c r="E226" i="3"/>
  <c r="E378" i="3"/>
  <c r="E372" i="3"/>
  <c r="E110" i="3"/>
  <c r="E482" i="3"/>
  <c r="E79" i="3"/>
  <c r="E138" i="3"/>
  <c r="E220" i="3"/>
  <c r="E299" i="3"/>
  <c r="E354" i="3"/>
  <c r="E232" i="3"/>
  <c r="E284" i="3"/>
  <c r="E102" i="3"/>
  <c r="E176" i="3"/>
  <c r="E323" i="3"/>
  <c r="E165" i="3"/>
  <c r="E149" i="3"/>
  <c r="E116" i="3"/>
  <c r="E369" i="3"/>
  <c r="AD6" i="3"/>
  <c r="AC6" i="3" s="1"/>
  <c r="E564" i="3"/>
  <c r="E405" i="3"/>
  <c r="E464" i="3"/>
  <c r="E507" i="3"/>
  <c r="E408" i="3"/>
  <c r="E459" i="3"/>
  <c r="E376" i="3"/>
  <c r="E497" i="3"/>
  <c r="E582" i="3"/>
  <c r="E419" i="3"/>
  <c r="E470" i="3"/>
  <c r="E436" i="3"/>
  <c r="E41" i="3"/>
  <c r="E119" i="3"/>
  <c r="E225" i="3"/>
  <c r="E297" i="3"/>
  <c r="E276" i="3"/>
  <c r="E391" i="3"/>
  <c r="E375" i="3"/>
  <c r="L6" i="3"/>
  <c r="E94" i="3"/>
  <c r="E488" i="3"/>
  <c r="E473" i="3"/>
  <c r="E412" i="3"/>
  <c r="E47" i="3"/>
  <c r="E129" i="3"/>
  <c r="E195" i="3"/>
  <c r="E194" i="3"/>
  <c r="E275" i="3"/>
  <c r="E266" i="3"/>
  <c r="E339" i="3"/>
  <c r="E584" i="3"/>
  <c r="E52" i="3"/>
  <c r="E34" i="3"/>
  <c r="E87" i="3"/>
  <c r="E147" i="3"/>
  <c r="E251" i="3"/>
  <c r="E341" i="3"/>
  <c r="E50" i="3"/>
  <c r="E80" i="3"/>
  <c r="E154" i="3"/>
  <c r="E218" i="3"/>
  <c r="E308" i="3"/>
  <c r="E373" i="3"/>
  <c r="E101" i="3"/>
  <c r="E197" i="3"/>
  <c r="E141" i="3"/>
  <c r="E393" i="3"/>
  <c r="E534" i="3"/>
  <c r="E427" i="3"/>
  <c r="E398" i="3"/>
  <c r="E440" i="3"/>
  <c r="E566" i="3"/>
  <c r="J6" i="3"/>
  <c r="E460" i="3"/>
  <c r="E401" i="3"/>
  <c r="E26" i="3"/>
  <c r="E90" i="3"/>
  <c r="E198" i="3"/>
  <c r="E155" i="3"/>
  <c r="E242" i="3"/>
  <c r="E243" i="3"/>
  <c r="E348" i="3"/>
  <c r="E333" i="3"/>
  <c r="AL6" i="3"/>
  <c r="E58" i="3"/>
  <c r="E428" i="3"/>
  <c r="E521" i="3"/>
  <c r="E96" i="3"/>
  <c r="E65" i="3"/>
  <c r="E170" i="3"/>
  <c r="E174" i="3"/>
  <c r="E248" i="3"/>
  <c r="E219" i="3"/>
  <c r="E324" i="3"/>
  <c r="E386" i="3"/>
  <c r="E392" i="3"/>
  <c r="E24" i="3"/>
  <c r="E112" i="3"/>
  <c r="E206" i="3"/>
  <c r="E250" i="3"/>
  <c r="E340" i="3"/>
  <c r="AF6" i="3"/>
  <c r="E51" i="3"/>
  <c r="E62" i="3"/>
  <c r="E158" i="3"/>
  <c r="E222" i="3"/>
  <c r="E365" i="3"/>
  <c r="E22" i="3"/>
  <c r="E329" i="3"/>
  <c r="E188" i="3"/>
  <c r="E167" i="3"/>
  <c r="E105" i="3"/>
  <c r="E525" i="3"/>
  <c r="E542" i="3"/>
  <c r="E543" i="3"/>
  <c r="E456" i="3"/>
  <c r="E487" i="3"/>
  <c r="E422" i="3"/>
  <c r="E374" i="3"/>
  <c r="AH6" i="3"/>
  <c r="E13" i="3"/>
  <c r="E413" i="3"/>
  <c r="E483" i="3"/>
  <c r="E420" i="3"/>
  <c r="E39" i="3"/>
  <c r="E25" i="3"/>
  <c r="E115" i="3"/>
  <c r="E187" i="3"/>
  <c r="E202" i="3"/>
  <c r="E281" i="3"/>
  <c r="E346" i="3"/>
  <c r="E356" i="3"/>
  <c r="E504" i="3"/>
  <c r="E60" i="3"/>
  <c r="E75" i="3"/>
  <c r="E15" i="3"/>
  <c r="E18" i="3"/>
  <c r="E98" i="3"/>
  <c r="E100" i="3"/>
  <c r="E190" i="3"/>
  <c r="E163" i="3"/>
  <c r="E234" i="3"/>
  <c r="E235" i="3"/>
  <c r="E307" i="3"/>
  <c r="E325" i="3"/>
  <c r="E522" i="3"/>
  <c r="E66" i="3"/>
  <c r="E36" i="3"/>
  <c r="E49" i="3"/>
  <c r="E127" i="3"/>
  <c r="E289" i="3"/>
  <c r="E370" i="3"/>
  <c r="Y6" i="3"/>
  <c r="E20" i="3"/>
  <c r="E113" i="3"/>
  <c r="E179" i="3"/>
  <c r="E265" i="3"/>
  <c r="E326" i="3"/>
  <c r="E223" i="3"/>
  <c r="E173" i="3"/>
  <c r="E312" i="3"/>
  <c r="T6" i="3"/>
  <c r="E421" i="3"/>
  <c r="E512" i="3"/>
  <c r="E490" i="3"/>
  <c r="E500" i="3"/>
  <c r="E520" i="3"/>
  <c r="E104" i="3"/>
  <c r="E178" i="3"/>
  <c r="E240" i="3"/>
  <c r="E332" i="3"/>
  <c r="E42" i="3"/>
  <c r="E540" i="3"/>
  <c r="E446" i="3"/>
  <c r="E78" i="3"/>
  <c r="E137" i="3"/>
  <c r="E209" i="3"/>
  <c r="E383" i="3"/>
  <c r="AQ6" i="3"/>
  <c r="E123" i="3"/>
  <c r="E364" i="3"/>
  <c r="E19" i="3"/>
  <c r="E287" i="3"/>
  <c r="E524" i="3"/>
  <c r="E83"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94" i="3"/>
  <c r="E51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52" i="3"/>
  <c r="E502" i="3"/>
  <c r="E35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F30" i="6"/>
  <c r="E28" i="6"/>
  <c r="K14" i="1" s="1"/>
  <c r="K16" i="1" s="1"/>
  <c r="J6" i="15"/>
  <c r="J18" i="15" s="1"/>
  <c r="T44" i="71"/>
  <c r="D44" i="71"/>
  <c r="E86" i="3"/>
  <c r="E64" i="3"/>
  <c r="E43" i="3"/>
  <c r="AZ28" i="3"/>
  <c r="E35" i="3"/>
  <c r="E296" i="3"/>
  <c r="E484" i="3"/>
  <c r="E462" i="3"/>
  <c r="W44" i="39"/>
  <c r="AC44" i="39"/>
  <c r="AB39" i="40"/>
  <c r="U39" i="40"/>
  <c r="AC25" i="37"/>
  <c r="W25" i="37"/>
  <c r="U45" i="34"/>
  <c r="AB45" i="34"/>
  <c r="W31" i="39"/>
  <c r="AC31" i="39"/>
  <c r="AA13" i="34"/>
  <c r="S13" i="34"/>
  <c r="AZ518" i="3"/>
  <c r="AZ497" i="3"/>
  <c r="AZ498" i="3"/>
  <c r="AZ510" i="3"/>
  <c r="AZ512" i="3"/>
  <c r="AZ516" i="3"/>
  <c r="T40" i="71"/>
  <c r="D40" i="71"/>
  <c r="E108" i="3"/>
  <c r="E82" i="3"/>
  <c r="E59" i="3"/>
  <c r="E38" i="3"/>
  <c r="E131" i="3"/>
  <c r="E455" i="3"/>
  <c r="E430" i="3"/>
  <c r="AA44" i="39"/>
  <c r="S44" i="39"/>
  <c r="AC23" i="35"/>
  <c r="W23" i="35"/>
  <c r="U12" i="36"/>
  <c r="AB12" i="36"/>
  <c r="S12" i="21"/>
  <c r="AA12" i="21"/>
  <c r="AB38" i="40"/>
  <c r="U38" i="40"/>
  <c r="AA25" i="37"/>
  <c r="S25" i="37"/>
  <c r="AB13" i="35"/>
  <c r="U13" i="35"/>
  <c r="S27" i="34"/>
  <c r="AA27" i="34"/>
  <c r="S31" i="39"/>
  <c r="AA31" i="39"/>
  <c r="AB13" i="34"/>
  <c r="U13" i="34"/>
  <c r="C16" i="71"/>
  <c r="D17" i="71"/>
  <c r="AZ500" i="3"/>
  <c r="AZ522" i="3"/>
  <c r="BA5" i="3"/>
  <c r="E59" i="40"/>
  <c r="T36" i="71"/>
  <c r="D36" i="71"/>
  <c r="E33" i="3"/>
  <c r="E40" i="3"/>
  <c r="AZ23" i="3"/>
  <c r="AZ5" i="3" s="1"/>
  <c r="E259" i="3"/>
  <c r="E244" i="3"/>
  <c r="AZ450" i="3"/>
  <c r="E451" i="3"/>
  <c r="U44" i="39"/>
  <c r="AB44" i="39"/>
  <c r="U23" i="35"/>
  <c r="AB23" i="35"/>
  <c r="AC12" i="36"/>
  <c r="W12" i="36"/>
  <c r="AC12" i="21"/>
  <c r="W12" i="21"/>
  <c r="AC38" i="40"/>
  <c r="W38" i="40"/>
  <c r="U25" i="37"/>
  <c r="AB25" i="37"/>
  <c r="S13" i="35"/>
  <c r="AA13" i="35"/>
  <c r="W27" i="34"/>
  <c r="AC27" i="34"/>
  <c r="AA26" i="37"/>
  <c r="S26" i="37"/>
  <c r="W14" i="33"/>
  <c r="AC14" i="33"/>
  <c r="AZ502" i="3"/>
  <c r="AZ517" i="3"/>
  <c r="AZ555" i="3"/>
  <c r="AC9" i="33"/>
  <c r="W9" i="33"/>
  <c r="B15" i="71"/>
  <c r="B14" i="71" s="1"/>
  <c r="B13" i="71" s="1"/>
  <c r="B12" i="71" s="1"/>
  <c r="S16" i="71"/>
  <c r="F7" i="36"/>
  <c r="AA7" i="36" s="1"/>
  <c r="R36" i="36" s="1"/>
  <c r="H7" i="36"/>
  <c r="E48" i="3"/>
  <c r="AZ34" i="3"/>
  <c r="E264" i="3"/>
  <c r="E139" i="3"/>
  <c r="E469" i="3"/>
  <c r="E556" i="3"/>
  <c r="AC39" i="40"/>
  <c r="W39" i="40"/>
  <c r="AB12" i="21"/>
  <c r="U12" i="21"/>
  <c r="AA38" i="40"/>
  <c r="S38" i="40"/>
  <c r="S45" i="34"/>
  <c r="AA45" i="34"/>
  <c r="U31" i="39"/>
  <c r="AB31" i="39"/>
  <c r="AB26" i="37"/>
  <c r="U26" i="37"/>
  <c r="AB14" i="33"/>
  <c r="U14" i="33"/>
  <c r="E11" i="71"/>
  <c r="E10" i="71" s="1"/>
  <c r="E9" i="71" s="1"/>
  <c r="E8" i="71" s="1"/>
  <c r="E7" i="71" s="1"/>
  <c r="E6" i="71" s="1"/>
  <c r="E5" i="71" s="1"/>
  <c r="V12"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D5" i="43"/>
  <c r="F10" i="40"/>
  <c r="S10" i="40" s="1"/>
  <c r="J10" i="39"/>
  <c r="W10" i="39" s="1"/>
  <c r="C7" i="43"/>
  <c r="C5" i="43" s="1"/>
  <c r="D10" i="52"/>
  <c r="D125" i="9"/>
  <c r="D11" i="52" s="1"/>
  <c r="B7" i="74"/>
  <c r="C7" i="74" s="1"/>
  <c r="F67" i="39"/>
  <c r="E69" i="39"/>
  <c r="H7" i="37"/>
  <c r="AB7" i="37" s="1"/>
  <c r="B40" i="1"/>
  <c r="L36" i="43" s="1"/>
  <c r="AA10" i="39"/>
  <c r="H7" i="33"/>
  <c r="J7" i="33"/>
  <c r="D65" i="40"/>
  <c r="E63" i="40"/>
  <c r="F48" i="35"/>
  <c r="S7" i="36"/>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F1" i="67"/>
  <c r="Q52" i="67"/>
  <c r="Q60" i="15"/>
  <c r="Q73" i="15"/>
  <c r="Q74" i="67"/>
  <c r="Q74" i="15"/>
  <c r="Q61" i="15"/>
  <c r="AE11" i="1"/>
  <c r="AE9" i="1"/>
  <c r="F27" i="68"/>
  <c r="AE7" i="1"/>
  <c r="AE8" i="1"/>
  <c r="AE12" i="1"/>
  <c r="AE10" i="1"/>
  <c r="F27" i="69"/>
  <c r="AE6" i="1"/>
  <c r="F41" i="67"/>
  <c r="C16" i="67"/>
  <c r="C28" i="43" l="1"/>
  <c r="T9" i="43" s="1"/>
  <c r="V9" i="43" s="1"/>
  <c r="C47" i="69"/>
  <c r="D45" i="69" s="1"/>
  <c r="F48" i="68"/>
  <c r="C48" i="68"/>
  <c r="C30" i="68"/>
  <c r="F48" i="69"/>
  <c r="C30" i="69"/>
  <c r="C48" i="69"/>
  <c r="J5" i="67"/>
  <c r="J24" i="67" s="1"/>
  <c r="J10" i="40"/>
  <c r="AC10" i="40" s="1"/>
  <c r="H10" i="40"/>
  <c r="AB10" i="40" s="1"/>
  <c r="F45" i="69"/>
  <c r="Q60" i="67"/>
  <c r="D26" i="43"/>
  <c r="C25" i="43" s="1"/>
  <c r="M17" i="67"/>
  <c r="H10" i="39"/>
  <c r="U10" i="39" s="1"/>
  <c r="M14" i="1"/>
  <c r="J5" i="15"/>
  <c r="J24" i="15" s="1"/>
  <c r="C29" i="69"/>
  <c r="D27" i="69" s="1"/>
  <c r="F28" i="12"/>
  <c r="C29" i="12" s="1"/>
  <c r="D28" i="12" s="1"/>
  <c r="F27" i="11"/>
  <c r="C29" i="11" s="1"/>
  <c r="D27" i="11" s="1"/>
  <c r="C49" i="67"/>
  <c r="AY6" i="3"/>
  <c r="E3" i="6"/>
  <c r="E65" i="39"/>
  <c r="C15" i="71"/>
  <c r="T16" i="71"/>
  <c r="D16" i="71"/>
  <c r="U16" i="71" s="1"/>
  <c r="T42" i="37"/>
  <c r="G42" i="37" s="1"/>
  <c r="G46" i="37" s="1"/>
  <c r="H46" i="37" s="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T4" i="43" l="1"/>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C7" i="69" s="1"/>
  <c r="T3" i="43"/>
  <c r="V3" i="43" s="1"/>
  <c r="T12" i="43"/>
  <c r="V12" i="43" s="1"/>
  <c r="D15" i="71"/>
  <c r="C14"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G41" i="43"/>
  <c r="I41" i="43" s="1"/>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34" i="69"/>
  <c r="C17" i="15"/>
  <c r="C14" i="67"/>
  <c r="C17" i="67"/>
  <c r="C34" i="43" l="1"/>
  <c r="E34" i="43" s="1"/>
  <c r="E33" i="43"/>
  <c r="D30" i="6"/>
  <c r="H25" i="6"/>
  <c r="D14" i="71"/>
  <c r="C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2" i="71" l="1"/>
  <c r="D13"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1" i="71" l="1"/>
  <c r="T12" i="71"/>
  <c r="D12" i="71"/>
  <c r="U12"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1" i="71" l="1"/>
  <c r="C10"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F35" i="15"/>
  <c r="M21" i="67"/>
  <c r="F35" i="67"/>
  <c r="M21" i="15"/>
  <c r="E48" i="21" l="1"/>
  <c r="D10" i="71"/>
  <c r="C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8" i="71"/>
  <c r="D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8" i="71" l="1"/>
  <c r="C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7" i="71" l="1"/>
  <c r="C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7"/>
  <c r="D2" i="35"/>
  <c r="D2" i="34"/>
  <c r="D2" i="36"/>
  <c r="D102" i="9" l="1"/>
  <c r="D21" i="9"/>
  <c r="G19" i="9"/>
  <c r="D22" i="9"/>
  <c r="D6" i="71"/>
  <c r="C5" i="71"/>
  <c r="D5" i="71" s="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10" i="1"/>
  <c r="AO9" i="1"/>
  <c r="AO12" i="1"/>
  <c r="AO8" i="1"/>
  <c r="AO7" i="1"/>
  <c r="AO6" i="1"/>
  <c r="G21" i="9" l="1"/>
  <c r="D14" i="74"/>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4" i="52" l="1"/>
  <c r="C104" i="9"/>
  <c r="D53" i="9"/>
  <c r="D52" i="9"/>
  <c r="B32" i="72"/>
  <c r="D8" i="52"/>
  <c r="B21" i="72"/>
  <c r="C93" i="9"/>
  <c r="C86" i="9"/>
  <c r="N61" i="9"/>
  <c r="N60" i="9"/>
  <c r="C6" i="74"/>
  <c r="D123" i="9"/>
  <c r="D9" i="52"/>
  <c r="C5" i="74"/>
  <c r="D7" i="53"/>
  <c r="D122" i="9"/>
  <c r="M55" i="9"/>
  <c r="D14" i="53"/>
  <c r="D13" i="53"/>
  <c r="B30" i="72"/>
  <c r="E97" i="9"/>
  <c r="C105" i="9"/>
  <c r="H102" i="9"/>
  <c r="I4" i="52"/>
  <c r="D59" i="9"/>
  <c r="C68" i="9"/>
  <c r="D54" i="9"/>
  <c r="E96" i="9"/>
  <c r="B20" i="72"/>
  <c r="E81" i="9"/>
  <c r="D4" i="52"/>
  <c r="B47" i="72"/>
  <c r="H108" i="9"/>
  <c r="D15" i="53"/>
  <c r="B31" i="72"/>
  <c r="M48" i="9"/>
  <c r="H107" i="9"/>
  <c r="C81" i="9"/>
  <c r="C64" i="9"/>
  <c r="C63" i="9"/>
  <c r="C67" i="9"/>
  <c r="N58" i="9"/>
  <c r="N59" i="9"/>
  <c r="D55" i="9"/>
  <c r="M53" i="9"/>
  <c r="N57" i="9"/>
  <c r="P57" i="9"/>
  <c r="C78" i="9"/>
  <c r="C73" i="9"/>
  <c r="F119" i="9"/>
  <c r="F5" i="52"/>
  <c r="B53" i="72"/>
  <c r="C72" i="9"/>
  <c r="C79" i="9"/>
  <c r="C80" i="9"/>
  <c r="E80" i="9"/>
  <c r="E4" i="52"/>
  <c r="B48" i="72"/>
  <c r="H119" i="9"/>
  <c r="H5" i="52"/>
  <c r="C96" i="9"/>
  <c r="D45" i="9"/>
  <c r="C85" i="9"/>
  <c r="C95" i="9"/>
  <c r="C97" i="9"/>
  <c r="D58" i="9"/>
  <c r="D56" i="9"/>
  <c r="M54" i="9"/>
  <c r="G4" i="52"/>
  <c r="B52" i="72"/>
  <c r="G118" i="9"/>
  <c r="F118" i="9"/>
  <c r="F4" i="52"/>
  <c r="B51" i="72"/>
  <c r="E118" i="9"/>
  <c r="D118" i="9"/>
  <c r="D119" i="9"/>
  <c r="D5" i="52"/>
  <c r="B49" i="72"/>
  <c r="I118" i="9"/>
  <c r="H118" i="9"/>
  <c r="H101" i="9"/>
  <c r="D5" i="53"/>
  <c r="D6" i="53"/>
  <c r="B2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<sst xmlns="http://schemas.openxmlformats.org/spreadsheetml/2006/main" count="7811" uniqueCount="3413">
  <si>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</si>
  <si>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</si>
  <si>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</si>
  <si>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</si>
  <si>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</si>
  <si>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</si>
  <si>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</si>
  <si>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</si>
  <si>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</si>
  <si>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</si>
  <si>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</si>
  <si>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</si>
  <si>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</si>
  <si>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</si>
  <si>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</si>
  <si>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</si>
  <si>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</si>
  <si>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</si>
  <si>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</si>
  <si>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</si>
  <si>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</si>
  <si>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</si>
  <si>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</si>
  <si>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</si>
  <si>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</si>
  <si>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</si>
  <si>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</si>
  <si>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</si>
  <si>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</si>
  <si>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</si>
  <si>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</si>
  <si>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</si>
  <si>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</si>
  <si>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</si>
  <si>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</si>
  <si>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</si>
  <si>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</si>
  <si>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</si>
  <si>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</si>
  <si>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</si>
  <si>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</si>
  <si>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</si>
  <si>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</si>
  <si>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</si>
  <si>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</si>
  <si>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</si>
  <si>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</si>
  <si>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</si>
  <si>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</si>
  <si>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</si>
  <si>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</si>
  <si>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</si>
  <si>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</si>
  <si>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</si>
  <si>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</si>
  <si>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</si>
  <si>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</si>
  <si>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</si>
  <si>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</si>
  <si>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</si>
  <si>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</si>
  <si>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</si>
  <si>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</si>
  <si>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</si>
  <si>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</si>
  <si>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</si>
  <si>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</si>
  <si>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</si>
  <si>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</si>
  <si>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</si>
  <si>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</si>
  <si>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</si>
  <si>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</si>
  <si>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</si>
  <si>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</si>
  <si>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</si>
  <si>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</si>
  <si>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</si>
  <si>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</si>
  <si>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</si>
  <si>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</si>
  <si>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</si>
  <si>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</si>
  <si>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</si>
  <si>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</si>
  <si>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</si>
  <si>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</si>
  <si>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</si>
  <si>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</si>
  <si>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</si>
  <si>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</si>
  <si>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</si>
  <si>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</si>
  <si>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</si>
  <si>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</si>
  <si>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</si>
  <si>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</si>
  <si>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</si>
  <si>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</si>
  <si>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</si>
  <si>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</si>
  <si>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</si>
  <si>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</si>
  <si>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</si>
  <si>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</si>
  <si>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</si>
  <si>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</si>
  <si>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</si>
  <si>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</si>
  <si>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</si>
  <si>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</si>
  <si>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</si>
  <si>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</si>
  <si>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</si>
  <si>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</si>
  <si>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</si>
  <si>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</si>
  <si>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</si>
  <si>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</si>
  <si>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</si>
  <si>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</si>
  <si>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</si>
  <si>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</si>
  <si>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</si>
  <si>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</si>
  <si>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</si>
  <si>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</si>
  <si>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</si>
  <si>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</si>
  <si>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</si>
  <si>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</si>
  <si>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</si>
  <si>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</si>
  <si>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</si>
  <si>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</si>
  <si>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</si>
  <si>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</si>
  <si>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</si>
  <si>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</si>
  <si>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</si>
  <si>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</si>
  <si>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</si>
  <si>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</si>
  <si>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</si>
  <si>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</si>
  <si>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</si>
  <si>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</si>
  <si>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</si>
  <si>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</si>
  <si>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</si>
  <si>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</si>
  <si>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</si>
  <si>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</si>
  <si>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</si>
  <si>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</si>
  <si>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</si>
  <si>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</si>
  <si>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</si>
  <si>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</si>
  <si>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</si>
  <si>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</si>
  <si>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</si>
  <si>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</si>
  <si>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</si>
  <si>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</si>
  <si>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</si>
  <si>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</si>
  <si>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</si>
  <si>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</si>
  <si>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</si>
  <si>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</si>
  <si>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</si>
  <si>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</si>
  <si>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</si>
  <si>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</si>
  <si>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</si>
  <si>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</si>
  <si>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</si>
  <si>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</si>
  <si>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</si>
  <si>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</si>
  <si>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</si>
  <si>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</si>
  <si>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</si>
  <si>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</si>
  <si>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</si>
  <si>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</si>
  <si>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</si>
  <si>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</si>
  <si>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</si>
  <si>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</si>
  <si>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</si>
  <si>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</si>
  <si>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</si>
  <si>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</si>
  <si>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</si>
  <si>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</si>
  <si>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</si>
  <si>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</si>
  <si>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</si>
  <si>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</si>
  <si>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</si>
  <si>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</si>
  <si>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</si>
  <si>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</si>
  <si>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</si>
  <si>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</si>
  <si>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</si>
  <si>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</si>
  <si>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</si>
  <si>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</si>
  <si>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</si>
  <si>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</si>
  <si>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</si>
  <si>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</si>
  <si>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</si>
  <si>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</si>
  <si>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</si>
  <si>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</si>
  <si>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</si>
  <si>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</si>
  <si>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</si>
  <si>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</si>
  <si>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</si>
  <si>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</si>
  <si>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</si>
  <si>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</si>
  <si>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</si>
  <si>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</si>
  <si>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</si>
  <si>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</si>
  <si>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</si>
  <si>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</si>
  <si>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</si>
  <si>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</si>
  <si>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</si>
  <si>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</si>
  <si>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</si>
  <si>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</si>
  <si>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</si>
  <si>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</si>
  <si>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</si>
  <si>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</si>
  <si>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</si>
  <si>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</si>
  <si>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</si>
  <si>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</si>
  <si>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</si>
  <si>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</si>
  <si>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</si>
  <si>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</si>
  <si>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</si>
  <si>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</si>
  <si>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</si>
  <si>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</si>
  <si>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</si>
  <si>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</si>
  <si>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</si>
  <si>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</si>
  <si>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</si>
  <si>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</si>
  <si>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</si>
  <si>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</si>
  <si>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</si>
  <si>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</si>
  <si>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</si>
  <si>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</si>
  <si>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</si>
  <si>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</si>
  <si>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</si>
  <si>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</si>
  <si>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</si>
  <si>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</si>
  <si>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</si>
  <si>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</si>
  <si>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</si>
  <si>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</si>
  <si>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</si>
  <si>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</si>
  <si>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</si>
  <si>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</si>
  <si>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</si>
  <si>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</si>
  <si>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</si>
  <si>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</si>
  <si>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</si>
  <si>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</si>
  <si>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</si>
  <si>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</si>
  <si>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</si>
  <si>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</si>
  <si>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</si>
  <si>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</si>
  <si>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</si>
  <si>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</si>
  <si>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</si>
  <si>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</si>
  <si>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</si>
  <si>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</si>
  <si>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</si>
  <si>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</si>
  <si>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</si>
  <si>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</si>
  <si>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</si>
  <si>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</si>
  <si>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</si>
  <si>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</si>
  <si>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</si>
  <si>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</si>
  <si>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</si>
  <si>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</si>
  <si>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</si>
  <si>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</si>
  <si>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</si>
  <si>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</si>
  <si>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</si>
  <si>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</si>
  <si>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</si>
  <si>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</si>
  <si>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</si>
  <si>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</si>
  <si>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</si>
  <si>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</si>
  <si>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</si>
  <si>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</si>
  <si>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</si>
  <si>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</si>
  <si>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</si>
  <si>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</si>
  <si>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</si>
  <si>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</si>
  <si>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</si>
  <si>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</si>
  <si>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</si>
  <si>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</si>
  <si>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</si>
  <si>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</si>
  <si>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</si>
  <si>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</si>
  <si>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</si>
  <si>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</si>
  <si>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</si>
  <si>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</si>
  <si>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</si>
  <si>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</si>
  <si>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</si>
  <si>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</si>
  <si>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</si>
  <si>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</si>
  <si>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</si>
  <si>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</si>
  <si>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</si>
  <si>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</si>
  <si>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</si>
  <si>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</si>
  <si>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</si>
  <si>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</si>
  <si>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</si>
  <si>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</si>
  <si>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</si>
  <si>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</si>
  <si>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</si>
  <si>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</si>
  <si>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</si>
  <si>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</si>
  <si>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</si>
  <si>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</si>
  <si>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</si>
  <si>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</si>
  <si>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</si>
  <si>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</si>
  <si>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</si>
  <si>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</si>
  <si>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</si>
  <si>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</si>
  <si>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</si>
  <si>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</si>
  <si>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</si>
  <si>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</si>
  <si>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</si>
  <si>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</si>
  <si>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</si>
  <si>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</si>
  <si>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</si>
  <si>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</si>
  <si>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</si>
  <si>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</si>
  <si>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</si>
  <si>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</si>
  <si>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</si>
  <si>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</si>
  <si>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</si>
  <si>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</si>
  <si>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</si>
  <si>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</si>
  <si>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</si>
  <si>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</si>
  <si>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</si>
  <si>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</si>
  <si>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</si>
  <si>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</si>
  <si>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</si>
  <si>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</si>
  <si>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</si>
  <si>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</si>
  <si>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</si>
  <si>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</si>
  <si>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</si>
  <si>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</si>
  <si>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</si>
  <si>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</si>
  <si>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</si>
  <si>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</si>
  <si>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</si>
  <si>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</si>
  <si>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</si>
  <si>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</si>
  <si>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</si>
  <si>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</si>
  <si>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</si>
  <si>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</si>
  <si>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</si>
  <si>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</si>
  <si>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</si>
  <si>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</si>
  <si>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</si>
  <si>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</si>
  <si>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</si>
  <si>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</si>
  <si>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</si>
  <si>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</si>
  <si>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</si>
  <si>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</si>
  <si>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</si>
  <si>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</si>
  <si>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</si>
  <si>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</si>
  <si>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</si>
  <si>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</si>
  <si>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</si>
  <si>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</si>
  <si>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</si>
  <si>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</si>
  <si>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</si>
  <si>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</si>
  <si>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</si>
  <si>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</si>
  <si>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</si>
  <si>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</si>
  <si>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</si>
  <si>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</si>
  <si>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</si>
  <si>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</si>
  <si>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</si>
  <si>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</si>
  <si>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</si>
  <si>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</si>
  <si>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</si>
  <si>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</si>
  <si>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</si>
  <si>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</si>
  <si>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</si>
  <si>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</si>
  <si>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</si>
  <si>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</si>
  <si>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</si>
  <si>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</si>
  <si>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</si>
  <si>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</si>
  <si>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</si>
  <si>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</si>
  <si>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</si>
  <si>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</si>
  <si>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</si>
  <si>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</si>
  <si>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</si>
  <si>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</si>
  <si>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</si>
  <si>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</si>
  <si>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</si>
  <si>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</si>
  <si>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</si>
  <si>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</si>
  <si>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</si>
  <si>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</si>
  <si>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</si>
  <si>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</si>
  <si>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</si>
  <si>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</si>
  <si>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</si>
  <si>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</si>
  <si>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</si>
  <si>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</si>
  <si>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</si>
  <si>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</si>
  <si>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</si>
  <si>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</si>
  <si>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</si>
  <si>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</si>
  <si>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</si>
  <si>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</si>
  <si>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</si>
  <si>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</si>
  <si>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</si>
  <si>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</si>
  <si>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</si>
  <si>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</si>
  <si>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</si>
  <si>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</si>
  <si>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</si>
  <si>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</si>
  <si>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</si>
  <si>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</si>
  <si>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</si>
  <si>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</si>
  <si>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</si>
  <si>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</si>
  <si>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</si>
  <si>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</si>
  <si>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</si>
  <si>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</si>
  <si>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</si>
  <si>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</si>
  <si>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</si>
  <si>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</si>
  <si>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</si>
  <si>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</si>
  <si>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</si>
  <si>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</si>
  <si>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</si>
  <si>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</si>
  <si>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</si>
  <si>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</si>
  <si>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</si>
  <si>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</si>
  <si>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</si>
  <si>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</si>
  <si>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</si>
  <si>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</si>
  <si>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</si>
  <si>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</si>
  <si>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</si>
  <si>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</si>
  <si>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</si>
  <si>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</si>
  <si>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</si>
  <si>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</si>
  <si>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</si>
  <si>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</si>
  <si>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</si>
  <si>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</si>
  <si>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</si>
  <si>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</si>
  <si>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</si>
  <si>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</si>
  <si>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</si>
  <si>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</si>
  <si>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</si>
  <si>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</si>
  <si>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</si>
  <si>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</si>
  <si>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</si>
  <si>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</si>
  <si>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</si>
  <si>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</si>
  <si>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</si>
  <si>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</si>
  <si>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</si>
  <si>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</si>
  <si>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</si>
  <si>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</si>
  <si>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</si>
  <si>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</si>
  <si>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</si>
  <si>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</si>
  <si>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</si>
  <si>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</si>
  <si>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</si>
  <si>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</si>
  <si>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</si>
  <si>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</si>
  <si>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</si>
  <si>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</si>
  <si>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</si>
  <si>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</si>
  <si>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</si>
  <si>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</si>
  <si>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</si>
  <si>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</si>
  <si>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</si>
  <si>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</si>
  <si>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</si>
  <si>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</si>
  <si>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</si>
  <si>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</si>
  <si>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</si>
  <si>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</si>
  <si>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</si>
  <si>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</si>
  <si>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</si>
  <si>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</si>
  <si>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</si>
  <si>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</si>
  <si>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</si>
  <si>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</si>
  <si>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</si>
  <si>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</si>
  <si>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</si>
  <si>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</si>
  <si>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</si>
  <si>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</si>
  <si>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</si>
  <si>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</si>
  <si>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</si>
  <si>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</si>
  <si>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</si>
  <si>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</si>
  <si>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</si>
  <si>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</si>
  <si>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</si>
  <si>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</si>
  <si>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</si>
  <si>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</si>
  <si>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</si>
  <si>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</si>
  <si>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</si>
  <si>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</si>
  <si>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</si>
  <si>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</si>
  <si>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</si>
  <si>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</si>
  <si>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</si>
  <si>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</si>
  <si>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</si>
  <si>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</si>
  <si>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</si>
  <si>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</si>
  <si>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</si>
  <si>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</si>
  <si>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</si>
  <si>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</si>
  <si>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</si>
  <si>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</si>
  <si>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</si>
  <si>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</si>
  <si>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</si>
  <si>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</si>
  <si>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</si>
  <si>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</si>
  <si>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</si>
  <si>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</si>
  <si>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</si>
  <si>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</si>
  <si>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</si>
  <si>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</si>
  <si>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</si>
  <si>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</si>
  <si>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</si>
  <si>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</si>
  <si>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</si>
  <si>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</si>
  <si>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</si>
  <si>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</si>
  <si>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</si>
  <si>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</si>
  <si>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</si>
  <si>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</si>
  <si>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</si>
  <si>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</si>
  <si>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</si>
  <si>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</si>
  <si>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</si>
  <si>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</si>
  <si>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</si>
  <si>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</si>
  <si>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</si>
  <si>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</si>
  <si>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</si>
  <si>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</si>
  <si>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</si>
  <si>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</si>
  <si>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</si>
  <si>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</si>
  <si>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</si>
  <si>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</si>
  <si>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</si>
  <si>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</si>
  <si>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</si>
  <si>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</si>
  <si>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</si>
  <si>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</si>
  <si>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</si>
  <si>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</si>
  <si>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</si>
  <si>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</si>
  <si>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</si>
  <si>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</si>
  <si>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</si>
  <si>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</si>
  <si>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</si>
  <si>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</si>
  <si>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</si>
  <si>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</si>
  <si>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</si>
  <si>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</si>
  <si>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</si>
  <si>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</si>
  <si>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</si>
  <si>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</si>
  <si>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</si>
  <si>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</si>
  <si>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</si>
  <si>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</si>
  <si>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</si>
  <si>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</si>
  <si>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</si>
  <si>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</si>
  <si>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</si>
  <si>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</si>
  <si>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</si>
  <si>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</si>
  <si>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</si>
  <si>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</si>
  <si>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</si>
  <si>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</si>
  <si>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</si>
  <si>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</si>
  <si>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</si>
  <si>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</si>
  <si>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</si>
  <si>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</si>
  <si>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</si>
  <si>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</si>
  <si>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</si>
  <si>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</si>
  <si>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</si>
  <si>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</si>
  <si>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</si>
  <si>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</si>
  <si>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</si>
  <si>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</si>
  <si>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</si>
  <si>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</si>
  <si>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</si>
  <si>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</si>
  <si>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</si>
  <si>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</si>
  <si>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</si>
  <si>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</si>
  <si>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</si>
  <si>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</si>
  <si>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</si>
  <si>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</si>
  <si>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</si>
  <si>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</si>
  <si>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</si>
  <si>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</si>
  <si>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</si>
  <si>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</si>
  <si>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</si>
  <si>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</si>
  <si>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</si>
  <si>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</si>
  <si>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</si>
  <si>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</si>
  <si>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</si>
  <si>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</si>
  <si>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</si>
  <si>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</si>
  <si>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</si>
  <si>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</si>
  <si>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</si>
  <si>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</si>
  <si>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</si>
  <si>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</si>
  <si>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</si>
  <si>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</si>
  <si>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</si>
  <si>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</si>
  <si>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</si>
  <si>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</si>
  <si>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</si>
  <si>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</si>
  <si>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</si>
  <si>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</si>
  <si>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</si>
  <si>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</si>
  <si>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</si>
  <si>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</si>
  <si>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</si>
  <si>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</si>
  <si>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</si>
  <si>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</si>
  <si>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</si>
  <si>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</si>
  <si>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</si>
  <si>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</si>
  <si>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</si>
  <si>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</si>
  <si>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</si>
  <si>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</si>
  <si>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</si>
  <si>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</si>
  <si>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</si>
  <si>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</si>
  <si>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</si>
  <si>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</si>
  <si>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</si>
  <si>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</si>
  <si>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</si>
  <si>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</si>
  <si>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</si>
  <si>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</si>
  <si>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</si>
  <si>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</si>
  <si>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</si>
  <si>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</si>
  <si>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</si>
  <si>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</si>
  <si>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</si>
  <si>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</si>
  <si>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</si>
  <si>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</si>
  <si>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</si>
  <si>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</si>
  <si>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</si>
  <si>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</si>
  <si>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</si>
  <si>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</si>
  <si>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</si>
  <si>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</si>
  <si>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</si>
  <si>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</si>
  <si>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</si>
  <si>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</si>
  <si>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</si>
  <si>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</si>
  <si>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</si>
  <si>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</si>
  <si>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</si>
  <si>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</si>
  <si>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</si>
  <si>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</si>
  <si>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</si>
  <si>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</si>
  <si>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</si>
  <si>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</si>
  <si>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</si>
  <si>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</si>
  <si>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</si>
  <si>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</si>
  <si>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</si>
  <si>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</si>
  <si>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</si>
  <si>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</si>
  <si>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</si>
  <si>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</si>
  <si>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</si>
  <si>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</si>
  <si>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</si>
  <si>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</si>
  <si>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</si>
  <si>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</si>
  <si>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</si>
  <si>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</si>
  <si>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</si>
  <si>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</si>
  <si>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</si>
  <si>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</si>
  <si>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</si>
  <si>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</si>
  <si>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</si>
  <si>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</si>
  <si>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</si>
  <si>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</si>
  <si>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</si>
  <si>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</si>
  <si>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</si>
  <si>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</si>
  <si>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</si>
  <si>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</si>
  <si>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</si>
  <si>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</si>
  <si>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</si>
  <si>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</si>
  <si>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</si>
  <si>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</si>
  <si>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</si>
  <si>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</si>
  <si>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</si>
  <si>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</si>
  <si>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</si>
  <si>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</si>
  <si>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</si>
  <si>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</si>
  <si>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</si>
  <si>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</si>
  <si>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</si>
  <si>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</si>
  <si>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</si>
  <si>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</si>
  <si>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</si>
  <si>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</si>
  <si>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</si>
  <si>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</si>
  <si>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</si>
  <si>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</si>
  <si>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</si>
  <si>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</si>
  <si>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</si>
  <si>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</si>
  <si>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</si>
  <si>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</si>
  <si>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</si>
  <si>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</si>
  <si>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</si>
  <si>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</si>
  <si>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</si>
  <si>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</si>
  <si>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</si>
  <si>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</si>
  <si>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</si>
  <si>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</si>
  <si>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</si>
  <si>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</si>
  <si>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</si>
  <si>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</si>
  <si>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</si>
  <si>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</si>
  <si>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</si>
  <si>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</si>
  <si>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</si>
  <si>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</si>
  <si>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</si>
  <si>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</si>
  <si>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</si>
  <si>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</si>
  <si>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</si>
  <si>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</si>
  <si>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</si>
  <si>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</si>
  <si>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</si>
  <si>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</si>
  <si>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</si>
  <si>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</si>
  <si>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</si>
  <si>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</si>
  <si>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</si>
  <si>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</si>
  <si>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</si>
  <si>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</si>
  <si>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</si>
  <si>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</si>
  <si>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</si>
  <si>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</si>
  <si>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</si>
  <si>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</si>
  <si>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</si>
  <si>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</si>
  <si>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</si>
  <si>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</si>
  <si>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</si>
  <si>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</si>
  <si>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</si>
  <si>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</si>
  <si>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</si>
  <si>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</si>
  <si>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</si>
  <si>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</si>
  <si>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</si>
  <si>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</si>
  <si>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</si>
  <si>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</si>
  <si>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</si>
  <si>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</si>
  <si>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</si>
  <si>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</si>
  <si>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</si>
  <si>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</si>
  <si>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</si>
  <si>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</si>
  <si>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</si>
  <si>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</si>
  <si>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</si>
  <si>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</si>
  <si>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</si>
  <si>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</si>
  <si>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</si>
  <si>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</si>
  <si>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</si>
  <si>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</si>
  <si>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</si>
  <si>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</si>
  <si>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</si>
  <si>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</si>
  <si>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</si>
  <si>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</si>
  <si>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</si>
  <si>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</si>
  <si>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</si>
  <si>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</si>
  <si>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</si>
  <si>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</si>
  <si>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</si>
  <si>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</si>
  <si>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</si>
  <si>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</si>
  <si>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</si>
  <si>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</si>
  <si>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</si>
  <si>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</si>
  <si>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</si>
  <si>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</si>
  <si>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</si>
  <si>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</si>
  <si>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</si>
  <si>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</si>
  <si>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</si>
  <si>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</si>
  <si>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</si>
  <si>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</si>
  <si>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</si>
  <si>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</si>
  <si>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</si>
  <si>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</si>
  <si>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</si>
  <si>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</si>
  <si>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</si>
  <si>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</si>
  <si>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</si>
  <si>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</si>
  <si>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</si>
  <si>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</si>
  <si>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</si>
  <si>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</si>
  <si>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</si>
  <si>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</si>
  <si>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</si>
  <si>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</si>
  <si>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</si>
  <si>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</si>
  <si>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</si>
  <si>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</si>
  <si>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</si>
  <si>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</si>
  <si>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</si>
  <si>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</si>
  <si>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</si>
  <si>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</si>
  <si>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</si>
  <si>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</si>
  <si>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</si>
  <si>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</si>
  <si>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</si>
  <si>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</si>
  <si>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</si>
  <si>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</si>
  <si>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</si>
  <si>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</si>
  <si>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</si>
  <si>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</si>
  <si>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</si>
  <si>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</si>
  <si>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</si>
  <si>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</si>
  <si>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</si>
  <si>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</si>
  <si>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</si>
  <si>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</si>
  <si>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</si>
  <si>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</si>
  <si>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</si>
  <si>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</si>
  <si>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</si>
  <si>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</si>
  <si>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</si>
  <si>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</si>
  <si>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</si>
  <si>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</si>
  <si>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</si>
  <si>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</si>
  <si>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</si>
  <si>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</si>
  <si>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</si>
  <si>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</si>
  <si>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</si>
  <si>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</si>
  <si>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</si>
  <si>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</si>
  <si>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</si>
  <si>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</si>
  <si>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</si>
  <si>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</si>
  <si>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</si>
  <si>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</si>
  <si>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</si>
  <si>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</si>
  <si>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</si>
  <si>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</si>
  <si>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</si>
  <si>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</si>
  <si>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</si>
  <si>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</si>
  <si>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</si>
  <si>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</si>
  <si>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</si>
  <si>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</si>
  <si>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</si>
  <si>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</si>
  <si>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</si>
  <si>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</si>
  <si>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</si>
  <si>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</si>
  <si>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</si>
  <si>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</si>
  <si>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</si>
  <si>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</si>
  <si>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</si>
  <si>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</si>
  <si>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</si>
  <si>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</si>
  <si>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</si>
  <si>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</si>
  <si>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</si>
  <si>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</si>
  <si>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</si>
  <si>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</si>
  <si>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</si>
  <si>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</si>
  <si>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</si>
  <si>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</si>
  <si>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</si>
  <si>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</si>
  <si>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</si>
  <si>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</si>
  <si>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</si>
  <si>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</si>
  <si>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</si>
  <si>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</si>
  <si>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</si>
  <si>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</si>
  <si>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</si>
  <si>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</si>
  <si>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</si>
  <si>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</si>
  <si>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</si>
  <si>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</si>
  <si>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</si>
  <si>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</si>
  <si>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</si>
  <si>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</si>
  <si>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</si>
  <si>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</si>
  <si>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</si>
  <si>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</si>
  <si>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</si>
  <si>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</si>
  <si>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</si>
  <si>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</si>
  <si>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</si>
  <si>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</si>
  <si>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</si>
  <si>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</si>
  <si>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</si>
  <si>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</si>
  <si>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</si>
  <si>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</si>
  <si>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</si>
  <si>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</si>
  <si>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</si>
  <si>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</si>
  <si>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</si>
  <si>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</si>
  <si>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</si>
  <si>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</si>
  <si>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</si>
  <si>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</si>
  <si>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</si>
  <si>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</si>
  <si>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</si>
  <si>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</si>
  <si>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</si>
  <si>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</si>
  <si>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</si>
  <si>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</si>
  <si>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</si>
  <si>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</si>
  <si>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</si>
  <si>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</si>
  <si>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</si>
  <si>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</si>
  <si>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</si>
  <si>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</si>
  <si>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</si>
  <si>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</si>
  <si>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</si>
  <si>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</si>
  <si>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</si>
  <si>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</si>
  <si>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</si>
  <si>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</si>
  <si>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</si>
  <si>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</si>
  <si>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</si>
  <si>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</si>
  <si>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</si>
  <si>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</si>
  <si>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</si>
  <si>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</si>
  <si>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</si>
  <si>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</si>
  <si>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</si>
  <si>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</si>
  <si>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</si>
  <si>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</si>
  <si>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</si>
  <si>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</si>
  <si>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</si>
  <si>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</si>
  <si>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</si>
  <si>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</si>
  <si>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</si>
  <si>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</si>
  <si>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</si>
  <si>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</si>
  <si>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</si>
  <si>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</si>
  <si>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</si>
  <si>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</si>
  <si>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</si>
  <si>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</si>
  <si>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</si>
  <si>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</si>
  <si>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</si>
  <si>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</si>
  <si>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</si>
  <si>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</si>
  <si>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</si>
  <si>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</si>
  <si>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</si>
  <si>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</si>
  <si>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</si>
  <si>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</si>
  <si>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</si>
  <si>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</si>
  <si>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</si>
  <si>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</si>
  <si>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</si>
  <si>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</si>
  <si>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</si>
  <si>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</si>
  <si>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</si>
  <si>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</si>
  <si>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</si>
  <si>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</si>
  <si>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</si>
  <si>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</si>
  <si>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</si>
  <si>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</si>
  <si>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</si>
  <si>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</si>
  <si>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</si>
  <si>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</si>
  <si>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</si>
  <si>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</si>
  <si>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</si>
  <si>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</si>
  <si>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</si>
  <si>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</si>
  <si>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</si>
  <si>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</si>
  <si>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</si>
  <si>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</si>
  <si>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</si>
  <si>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</si>
  <si>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</si>
  <si>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</si>
  <si>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</si>
  <si>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</si>
  <si>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</si>
  <si>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</si>
  <si>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</si>
  <si>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</si>
  <si>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</si>
  <si>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</si>
  <si>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</si>
  <si>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</si>
  <si>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</si>
  <si>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</si>
  <si>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</si>
  <si>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</si>
  <si>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</si>
  <si>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</si>
  <si>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</si>
  <si>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</si>
  <si>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</si>
  <si>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</si>
  <si>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</si>
  <si>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</si>
  <si>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</si>
  <si>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</si>
  <si>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</si>
  <si>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</si>
  <si>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</si>
  <si>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</si>
  <si>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</si>
  <si>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</si>
  <si>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</si>
  <si>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</si>
  <si>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</si>
  <si>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</si>
  <si>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</si>
  <si>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</si>
  <si>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</si>
  <si>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</si>
  <si>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</si>
  <si>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</si>
  <si>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</si>
  <si>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</si>
  <si>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</si>
  <si>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</si>
  <si>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</si>
  <si>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</si>
  <si>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</si>
  <si>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</si>
  <si>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</si>
  <si>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</si>
  <si>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</si>
  <si>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</si>
  <si>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</si>
  <si>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</si>
  <si>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</si>
  <si>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</si>
  <si>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</si>
  <si>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</si>
  <si>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</si>
  <si>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</si>
  <si>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</si>
  <si>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</si>
  <si>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</si>
  <si>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</si>
  <si>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</si>
  <si>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</si>
  <si>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</si>
  <si>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</si>
  <si>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</si>
  <si>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</si>
  <si>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</si>
  <si>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</si>
  <si>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</si>
  <si>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</si>
  <si>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</si>
  <si>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</si>
  <si>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</si>
  <si>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</si>
  <si>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</si>
  <si>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</si>
  <si>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</si>
  <si>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</si>
  <si>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</si>
  <si>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</si>
  <si>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</si>
  <si>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</si>
  <si>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</si>
  <si>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</si>
  <si>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</si>
  <si>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</si>
  <si>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</si>
  <si>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</si>
  <si>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</si>
  <si>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</si>
  <si>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</si>
  <si>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</si>
  <si>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</si>
  <si>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</si>
  <si>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</si>
  <si>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</si>
  <si>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</si>
  <si>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</si>
  <si>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</si>
  <si>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</si>
  <si>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</si>
  <si>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</si>
  <si>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</si>
  <si>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</si>
  <si>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</si>
  <si>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</si>
  <si>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</si>
  <si>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</si>
  <si>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</si>
  <si>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</si>
  <si>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</si>
  <si>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</si>
  <si>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</si>
  <si>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</si>
  <si>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</si>
  <si>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</si>
  <si>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</si>
  <si>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</si>
  <si>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</si>
  <si>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</si>
  <si>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</si>
  <si>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</si>
  <si>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</si>
  <si>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</si>
  <si>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</si>
  <si>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</si>
  <si>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</si>
  <si>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</si>
  <si>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</si>
  <si>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</si>
  <si>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</si>
  <si>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</si>
  <si>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</si>
  <si>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</si>
  <si>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</si>
  <si>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</si>
  <si>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</si>
  <si>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</si>
  <si>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</si>
  <si>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</si>
  <si>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</si>
  <si>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</si>
  <si>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</si>
  <si>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</si>
  <si>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</si>
  <si>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</si>
  <si>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</si>
  <si>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</si>
  <si>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</si>
  <si>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</si>
  <si>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</si>
  <si>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</si>
  <si>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</si>
  <si>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</si>
  <si>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</si>
  <si>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</si>
  <si>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</si>
  <si>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</si>
  <si>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</si>
  <si>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</si>
  <si>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</si>
  <si>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</si>
  <si>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</si>
  <si>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</si>
  <si>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</si>
  <si>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</si>
  <si>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</si>
  <si>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</si>
  <si>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</si>
  <si>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</si>
  <si>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</si>
  <si>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</si>
  <si>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</si>
  <si>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</si>
  <si>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</si>
  <si>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</si>
  <si>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</si>
  <si>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</si>
  <si>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</si>
  <si>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</si>
  <si>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</si>
  <si>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</si>
  <si>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</si>
  <si>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</si>
  <si>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</si>
  <si>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</si>
  <si>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</si>
  <si>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</si>
  <si>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</si>
  <si>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</si>
  <si>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</si>
  <si>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</si>
  <si>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</si>
  <si>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</si>
  <si>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</si>
  <si>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</si>
  <si>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</si>
  <si>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</si>
  <si>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</si>
  <si>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</si>
  <si>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</si>
  <si>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</si>
  <si>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</si>
  <si>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</si>
  <si>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</si>
  <si>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</si>
  <si>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</si>
  <si>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</si>
  <si>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</si>
  <si>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</si>
  <si>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</si>
  <si>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</si>
  <si>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</si>
  <si>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</si>
  <si>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</si>
  <si>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</si>
  <si>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</si>
  <si>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</si>
  <si>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</si>
  <si>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</si>
  <si>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</si>
  <si>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</si>
  <si>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</si>
  <si>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</si>
  <si>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</si>
  <si>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</si>
  <si>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</si>
  <si>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</si>
  <si>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</si>
  <si>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</si>
  <si>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</si>
  <si>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</si>
  <si>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</si>
  <si>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</si>
  <si>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</si>
  <si>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</si>
  <si>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</si>
  <si>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</si>
  <si>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</si>
  <si>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</si>
  <si>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</si>
  <si>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</si>
  <si>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</si>
  <si>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</si>
  <si>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</si>
  <si>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</si>
  <si>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</si>
  <si>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</si>
  <si>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</si>
  <si>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</si>
  <si>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</si>
  <si>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</si>
  <si>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</si>
  <si>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</si>
  <si>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</si>
  <si>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</si>
  <si>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</si>
  <si>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</si>
  <si>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</si>
  <si>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</si>
  <si>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</si>
  <si>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</si>
  <si>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</si>
  <si>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</si>
  <si>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</si>
  <si>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</si>
  <si>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</si>
  <si>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</si>
  <si>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</si>
  <si>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</si>
  <si>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</si>
  <si>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</si>
  <si>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</si>
  <si>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</si>
  <si>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</si>
  <si>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</si>
  <si>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</si>
  <si>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</si>
  <si>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</si>
  <si>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</si>
  <si>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</si>
  <si>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</si>
  <si>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</si>
  <si>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</si>
  <si>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</si>
  <si>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</si>
  <si>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</si>
  <si>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</si>
  <si>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</si>
  <si>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</si>
  <si>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</si>
  <si>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</si>
  <si>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</si>
  <si>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</si>
  <si>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</si>
  <si>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</si>
  <si>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</si>
  <si>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</si>
  <si>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</si>
  <si>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</si>
  <si>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</si>
  <si>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</si>
  <si>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</si>
  <si>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</si>
  <si>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</si>
  <si>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</si>
  <si>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</si>
  <si>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</si>
  <si>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</si>
  <si>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</si>
  <si>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</si>
  <si>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</si>
  <si>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</si>
  <si>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</si>
  <si>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</si>
  <si>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</si>
  <si>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</si>
  <si>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</si>
  <si>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</si>
  <si>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</si>
  <si>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</si>
  <si>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</si>
  <si>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</si>
  <si>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</si>
  <si>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</si>
  <si>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</si>
  <si>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</si>
  <si>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</si>
  <si>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</si>
  <si>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</si>
  <si>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</si>
  <si>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</si>
  <si>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</si>
  <si>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</si>
  <si>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</si>
  <si>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</si>
  <si>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</si>
  <si>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</si>
  <si>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</si>
  <si>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</si>
  <si>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</si>
  <si>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</si>
  <si>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</si>
  <si>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</si>
  <si>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</si>
  <si>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</si>
  <si>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</si>
  <si>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</si>
  <si>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</si>
  <si>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</si>
  <si>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</si>
  <si>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</si>
  <si>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</si>
  <si>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</si>
  <si>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</si>
  <si>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</si>
  <si>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</si>
  <si>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</si>
  <si>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</si>
  <si>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</si>
  <si>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</si>
  <si>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</si>
  <si>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</si>
  <si>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</si>
  <si>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</si>
  <si>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</si>
  <si>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</si>
  <si>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</si>
  <si>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</si>
  <si>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</si>
  <si>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</si>
  <si>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</si>
  <si>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</si>
  <si>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</si>
  <si>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</si>
  <si>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</si>
  <si>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</si>
  <si>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</si>
  <si>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</si>
  <si>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</si>
  <si>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</si>
  <si>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</si>
  <si>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</si>
  <si>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</si>
  <si>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</si>
  <si>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</si>
  <si>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</si>
  <si>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</si>
  <si>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</si>
  <si>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</si>
  <si>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</si>
  <si>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</si>
  <si>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</si>
  <si>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</si>
  <si>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</si>
  <si>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</si>
  <si>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</si>
  <si>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</si>
  <si>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</si>
  <si>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</si>
  <si>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</si>
  <si>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</si>
  <si>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</si>
  <si>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</si>
  <si>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</si>
  <si>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</si>
  <si>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</si>
  <si>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</si>
  <si>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</si>
  <si>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</si>
  <si>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</si>
  <si>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</si>
  <si>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</si>
  <si>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</si>
  <si>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</si>
  <si>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</si>
  <si>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</si>
  <si>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</si>
  <si>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</si>
  <si>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</si>
  <si>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</si>
  <si>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</si>
  <si>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</si>
  <si>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</si>
  <si>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</si>
  <si>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</si>
  <si>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</si>
  <si>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</si>
  <si>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</si>
  <si>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</si>
  <si>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</si>
  <si>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</si>
  <si>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</si>
  <si>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</si>
  <si>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</si>
  <si>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</si>
  <si>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</si>
  <si>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</si>
  <si>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</si>
  <si>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</si>
  <si>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</si>
  <si>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</si>
  <si>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</si>
  <si>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</si>
  <si>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</si>
  <si>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</si>
  <si>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</si>
  <si>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</si>
  <si>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</si>
  <si>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</si>
  <si>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</si>
  <si>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</si>
  <si>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</si>
  <si>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</si>
  <si>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</si>
  <si>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</si>
  <si>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</si>
  <si>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</si>
  <si>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</si>
  <si>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</si>
  <si>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</si>
  <si>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</si>
  <si>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</si>
  <si>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</si>
  <si>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</si>
  <si>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</si>
  <si>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</si>
  <si>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</si>
  <si>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</si>
  <si>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</si>
  <si>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</si>
  <si>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</si>
  <si>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</si>
  <si>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</si>
  <si>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</si>
  <si>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</si>
  <si>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</si>
  <si>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</si>
  <si>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</si>
  <si>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</si>
  <si>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</si>
  <si>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</si>
  <si>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</si>
  <si>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</si>
  <si>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</si>
  <si>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</si>
  <si>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</si>
  <si>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</si>
  <si>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</si>
  <si>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</si>
  <si>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</si>
  <si>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</si>
  <si>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</si>
  <si>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</si>
  <si>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</si>
  <si>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</si>
  <si>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</si>
  <si>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</si>
  <si>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</si>
  <si>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</si>
  <si>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</si>
  <si>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</si>
  <si>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</si>
  <si>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</si>
  <si>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</si>
  <si>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</si>
  <si>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</si>
  <si>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</si>
  <si>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</si>
  <si>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</si>
  <si>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</si>
  <si>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</si>
  <si>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</si>
  <si>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</si>
  <si>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</si>
  <si>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</si>
  <si>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</si>
  <si>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</si>
  <si>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</si>
  <si>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</si>
  <si>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</si>
  <si>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</si>
  <si>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</si>
  <si>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</si>
  <si>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</si>
  <si>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</si>
  <si>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</si>
  <si>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</si>
  <si>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</si>
  <si>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</si>
  <si>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</si>
  <si>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</si>
  <si>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</si>
  <si>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</si>
  <si>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</si>
  <si>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</si>
  <si>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</si>
  <si>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</si>
  <si>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</si>
  <si>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</si>
  <si>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</si>
  <si>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</si>
  <si>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</si>
  <si>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</si>
  <si>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</si>
  <si>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</si>
  <si>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</si>
  <si>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</si>
  <si>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</si>
  <si>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</si>
  <si>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</si>
  <si>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</si>
  <si>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</si>
  <si>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</si>
  <si>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</si>
  <si>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</si>
  <si>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</si>
  <si>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</si>
  <si>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</si>
  <si>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</si>
  <si>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</si>
  <si>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</si>
  <si>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</si>
  <si>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</si>
  <si>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</si>
  <si>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</si>
  <si>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</si>
  <si>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</si>
  <si>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</si>
  <si>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</si>
  <si>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</si>
  <si>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</si>
  <si>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</si>
  <si>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</si>
  <si>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</si>
  <si>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</si>
  <si>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</si>
  <si>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</si>
  <si>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</si>
  <si>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</si>
  <si>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</si>
  <si>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</si>
  <si>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</si>
  <si>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</si>
  <si>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</si>
  <si>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</si>
  <si>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</si>
  <si>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</si>
  <si>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</si>
  <si>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</si>
  <si>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</si>
  <si>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</si>
  <si>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</si>
  <si>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</si>
  <si>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</si>
  <si>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</si>
  <si>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</si>
  <si>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</si>
  <si>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</si>
  <si>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</si>
  <si>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</si>
  <si>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</si>
  <si>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</si>
  <si>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</si>
  <si>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</si>
  <si>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</si>
  <si>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</si>
  <si>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</si>
  <si>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</si>
  <si>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</si>
  <si>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</si>
  <si>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</si>
  <si>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</si>
  <si>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</si>
  <si>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</si>
  <si>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</si>
  <si>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</si>
  <si>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</si>
  <si>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</si>
  <si>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</si>
  <si>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</si>
  <si>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</si>
  <si>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</si>
  <si>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</si>
  <si>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</si>
  <si>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</si>
  <si>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</si>
  <si>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</si>
  <si>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</si>
  <si>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</si>
  <si>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</si>
  <si>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</si>
  <si>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</si>
  <si>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</si>
  <si>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</si>
  <si>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</si>
  <si>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</si>
  <si>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</si>
  <si>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</si>
  <si>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</si>
  <si>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</si>
  <si>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</si>
  <si>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</si>
  <si>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</si>
  <si>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</si>
  <si>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</si>
  <si>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</si>
  <si>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</si>
  <si>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</si>
  <si>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</si>
  <si>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</si>
  <si>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</si>
  <si>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</si>
  <si>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</si>
  <si>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</si>
  <si>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</si>
  <si>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</si>
  <si>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</si>
  <si>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</si>
  <si>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</si>
  <si>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</si>
  <si>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</si>
  <si>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</si>
  <si>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</si>
  <si>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</si>
  <si>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</si>
  <si>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</si>
  <si>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</si>
  <si>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</si>
  <si>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</si>
  <si>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</si>
  <si>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</si>
  <si>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</si>
  <si>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</si>
  <si>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</si>
  <si>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</si>
  <si>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</si>
  <si>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</si>
  <si>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</si>
  <si>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</si>
  <si>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</si>
  <si>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</si>
  <si>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</si>
  <si>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</si>
  <si>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</si>
  <si>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</si>
  <si>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</si>
  <si>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</si>
  <si>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</si>
  <si>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</si>
  <si>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</si>
  <si>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</si>
  <si>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</si>
  <si>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</si>
  <si>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</si>
  <si>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</si>
  <si>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</si>
  <si>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</si>
  <si>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</si>
  <si>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</si>
  <si>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</si>
  <si>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</si>
  <si>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</si>
  <si>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</si>
  <si>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</si>
  <si>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</si>
  <si>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</si>
  <si>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</si>
  <si>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</si>
  <si>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</si>
  <si>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</si>
  <si>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</si>
  <si>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</si>
  <si>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</si>
  <si>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</si>
  <si>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</si>
  <si>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</si>
  <si>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</si>
  <si>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</si>
  <si>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</si>
  <si>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</si>
  <si>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</si>
  <si>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</si>
  <si>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</si>
  <si>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</si>
  <si>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</si>
  <si>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</si>
  <si>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</si>
  <si>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</si>
  <si>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</si>
  <si>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</si>
  <si>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</si>
  <si>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</si>
  <si>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</si>
  <si>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</si>
  <si>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</si>
  <si>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</si>
  <si>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</si>
  <si>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</si>
  <si>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</si>
  <si>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</si>
  <si>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</si>
  <si>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</si>
  <si>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</si>
  <si>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</si>
  <si>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</si>
  <si>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</si>
  <si>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</si>
  <si>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</si>
  <si>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</si>
  <si>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</si>
  <si>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</si>
  <si>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</si>
  <si>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</si>
  <si>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</si>
  <si>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</si>
  <si>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</si>
  <si>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</si>
  <si>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</si>
  <si>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</si>
  <si>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</si>
  <si>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</si>
  <si>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</si>
  <si>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</si>
  <si>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</si>
  <si>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</si>
  <si>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</si>
  <si>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</si>
  <si>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</si>
  <si>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</si>
  <si>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</si>
  <si>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</si>
  <si>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</si>
  <si>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</si>
  <si>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</si>
  <si>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</si>
  <si>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</si>
  <si>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</si>
  <si>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</si>
  <si>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</si>
  <si>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</si>
  <si>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</si>
  <si>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</si>
  <si>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</si>
  <si>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</si>
  <si>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</si>
  <si>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</si>
  <si>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</si>
  <si>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</si>
  <si>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</si>
  <si>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</si>
  <si>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</si>
  <si>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</si>
  <si>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</si>
  <si>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</si>
  <si>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</si>
  <si>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</si>
  <si>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</si>
  <si>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</si>
  <si>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</si>
  <si>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</si>
  <si>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</si>
  <si>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</si>
  <si>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</si>
  <si>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</si>
  <si>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</si>
  <si>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</si>
  <si>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</si>
  <si>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</si>
  <si>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</si>
  <si>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</si>
  <si>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</si>
  <si>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</si>
  <si>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</si>
  <si>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</si>
  <si>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</si>
  <si>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</si>
  <si>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</si>
  <si>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</si>
  <si>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</si>
  <si>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</si>
  <si>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</si>
  <si>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</si>
  <si>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</si>
  <si>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</si>
  <si>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</si>
  <si>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</si>
  <si>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</si>
  <si>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</si>
  <si>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</si>
  <si>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</si>
  <si>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</si>
  <si>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</si>
  <si>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</si>
  <si>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</si>
  <si>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</si>
  <si>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</si>
  <si>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</si>
  <si>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</si>
  <si>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</si>
  <si>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</si>
  <si>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</si>
  <si>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</si>
  <si>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</si>
  <si>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</si>
  <si>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</si>
  <si>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</si>
  <si>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</si>
  <si>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</si>
  <si>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</si>
  <si>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</si>
  <si>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</si>
  <si>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</si>
  <si>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</si>
  <si>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</si>
  <si>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</si>
  <si>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</si>
  <si>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</si>
  <si>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</si>
  <si>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</si>
  <si>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</si>
  <si>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</si>
  <si>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</si>
  <si>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</si>
  <si>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</si>
  <si>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</si>
  <si>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</si>
  <si>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</si>
  <si>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</si>
  <si>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</si>
  <si>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</si>
  <si>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</si>
  <si>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</si>
  <si>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</si>
  <si>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</si>
  <si>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</si>
  <si>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</si>
  <si>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</si>
  <si>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</si>
  <si>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</si>
  <si>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</si>
  <si>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</si>
  <si>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</si>
  <si>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</si>
  <si>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</si>
  <si>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</si>
  <si>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</si>
  <si>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</si>
  <si>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</si>
  <si>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</si>
  <si>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</si>
  <si>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</si>
  <si>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</si>
  <si>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</si>
  <si>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</si>
  <si>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</si>
  <si>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</si>
  <si>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</si>
  <si>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</si>
  <si>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</si>
  <si>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</si>
  <si>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</si>
  <si>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</si>
  <si>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</si>
  <si>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</si>
  <si>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</si>
  <si>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</si>
  <si>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</si>
  <si>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</si>
  <si>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</si>
  <si>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</si>
  <si>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</si>
  <si>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</si>
  <si>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</si>
  <si>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</si>
  <si>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</si>
  <si>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</si>
  <si>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</si>
  <si>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</si>
  <si>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</si>
  <si>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</si>
  <si>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</si>
  <si>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</si>
  <si>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</si>
  <si>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</si>
  <si>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</si>
  <si>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</si>
  <si>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</si>
  <si>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</si>
  <si>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</si>
  <si>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</si>
  <si>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</si>
  <si>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</si>
  <si>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</si>
  <si>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</si>
  <si>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</si>
  <si>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</si>
  <si>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</si>
  <si>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</si>
  <si>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</si>
  <si>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</si>
  <si>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</si>
  <si>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</si>
  <si>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</si>
  <si>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</si>
  <si>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</si>
  <si>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</si>
  <si>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</si>
  <si>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</si>
  <si>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</si>
  <si>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</si>
  <si>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</si>
  <si>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</si>
  <si>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</si>
  <si>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</si>
  <si>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</si>
  <si>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</si>
  <si>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</si>
  <si>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</si>
  <si>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</si>
  <si>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</si>
  <si>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</si>
  <si>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</si>
  <si>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</si>
  <si>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</si>
  <si>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</si>
  <si>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</si>
  <si>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</si>
  <si>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</si>
  <si>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</si>
  <si>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</si>
  <si>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</si>
  <si>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</si>
  <si>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</si>
  <si>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</si>
  <si>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</si>
  <si>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</si>
  <si>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</si>
  <si>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</si>
  <si>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</si>
  <si>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</si>
  <si>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</si>
  <si>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</si>
  <si>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</si>
  <si>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</si>
  <si>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</si>
  <si>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</si>
  <si>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</si>
  <si>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</si>
  <si>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</si>
  <si>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</si>
  <si>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</si>
  <si>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</si>
  <si>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</si>
  <si>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</si>
  <si>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</si>
  <si>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</si>
  <si>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</si>
  <si>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</si>
  <si>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</si>
  <si>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</si>
  <si>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</si>
  <si>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</si>
  <si>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</si>
  <si>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</si>
  <si>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</si>
  <si>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</si>
  <si>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</si>
  <si>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</si>
  <si>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</si>
  <si>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</si>
  <si>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</si>
  <si>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</si>
  <si>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</si>
  <si>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</si>
  <si>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</si>
  <si>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</si>
  <si>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</si>
  <si>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</si>
  <si>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</si>
  <si>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</si>
  <si>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</si>
  <si>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</si>
  <si>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</si>
  <si>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</si>
  <si>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</si>
  <si>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</si>
  <si>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</si>
  <si>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</si>
  <si>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</si>
  <si>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</si>
  <si>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</si>
  <si>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</si>
  <si>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</si>
  <si>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</si>
  <si>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</si>
  <si>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</si>
  <si>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</si>
  <si>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</si>
  <si>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</si>
  <si>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</si>
  <si>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</si>
  <si>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</si>
  <si>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</si>
  <si>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</si>
  <si>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</si>
  <si>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</si>
  <si>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</si>
  <si>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</si>
  <si>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</si>
  <si>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</si>
  <si>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</si>
  <si>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</si>
  <si>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</si>
  <si>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</si>
  <si>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</si>
  <si>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</si>
  <si>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</si>
  <si>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</si>
  <si>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</si>
  <si>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</si>
  <si>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</si>
  <si>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</si>
  <si>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</si>
  <si>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</si>
  <si>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</si>
  <si>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</si>
  <si>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</si>
  <si>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</si>
  <si>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</si>
  <si>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</si>
  <si>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</si>
  <si>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</si>
  <si>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</si>
  <si>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</si>
  <si>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</si>
  <si>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</si>
  <si>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</si>
  <si>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</si>
  <si>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</si>
  <si>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</si>
  <si>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</si>
  <si>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</si>
  <si>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</si>
  <si>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</si>
  <si>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</si>
  <si>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</si>
  <si>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</si>
  <si>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</si>
  <si>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</si>
  <si>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</si>
  <si>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</si>
  <si>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</si>
  <si>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</si>
  <si>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</si>
  <si>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</si>
  <si>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</si>
  <si>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</si>
  <si>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</si>
  <si>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</si>
  <si>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</si>
  <si>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</si>
  <si>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</si>
  <si>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</si>
  <si>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</si>
  <si>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</si>
  <si>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</si>
  <si>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</si>
  <si>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</si>
  <si>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</si>
  <si>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</si>
  <si>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</si>
  <si>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</si>
  <si>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</si>
  <si>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</si>
  <si>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</si>
  <si>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</si>
  <si>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</si>
  <si>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</si>
  <si>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</si>
  <si>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</si>
  <si>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</si>
  <si>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</si>
  <si>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</si>
  <si>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</si>
  <si>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</si>
  <si>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</si>
  <si>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</si>
  <si>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</si>
  <si>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</si>
  <si>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</si>
  <si>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</si>
  <si>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</si>
  <si>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</si>
  <si>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</si>
  <si>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</si>
  <si>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</si>
  <si>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</si>
  <si>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</si>
  <si>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</si>
  <si>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</si>
  <si>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</si>
  <si>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</si>
  <si>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</si>
  <si>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</si>
  <si>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</si>
  <si>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</si>
  <si>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</si>
  <si>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</si>
  <si>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</si>
  <si>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</si>
  <si>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</si>
  <si>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</si>
  <si>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</si>
  <si>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</si>
  <si>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</si>
  <si>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</si>
  <si>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</si>
  <si>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</si>
  <si>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</si>
  <si>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</si>
  <si>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</si>
  <si>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</si>
  <si>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</si>
  <si>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</si>
  <si>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</si>
  <si>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</si>
  <si>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</si>
  <si>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</si>
  <si>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</si>
  <si>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</si>
  <si>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</si>
  <si>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</si>
  <si>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</si>
  <si>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</si>
  <si>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</si>
  <si>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</si>
  <si>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</si>
  <si>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</si>
  <si>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</si>
  <si>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</si>
  <si>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</si>
  <si>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</si>
  <si>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</si>
  <si>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</si>
  <si>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</si>
  <si>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</si>
  <si>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</si>
  <si>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</si>
  <si>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</si>
  <si>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</si>
  <si>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</si>
  <si>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</si>
  <si>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</si>
  <si>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</si>
  <si>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</si>
  <si>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</si>
  <si>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</si>
  <si>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</si>
  <si>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</si>
  <si>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</si>
  <si>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</si>
  <si>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</si>
  <si>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</si>
  <si>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</si>
  <si>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</si>
  <si>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</si>
  <si>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</si>
  <si>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</si>
  <si>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</si>
  <si>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</si>
  <si>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</si>
  <si>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</si>
  <si>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</si>
  <si>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</si>
  <si>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</si>
  <si>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</si>
  <si>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</si>
  <si>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</si>
  <si>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</si>
  <si>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</si>
  <si>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</si>
  <si>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</si>
  <si>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</si>
  <si>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</si>
  <si>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</si>
  <si>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</si>
  <si>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</si>
  <si>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</si>
  <si>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</si>
  <si>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</si>
  <si>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</si>
  <si>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</si>
  <si>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</si>
  <si>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</si>
  <si>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</si>
  <si>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</si>
  <si>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</si>
  <si>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</si>
  <si>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</si>
  <si>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</si>
  <si>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</si>
  <si>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</si>
  <si>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</si>
  <si>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</si>
  <si>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</si>
  <si>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</si>
  <si>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</si>
  <si>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</si>
  <si>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</si>
  <si>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</si>
  <si>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</si>
  <si>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</si>
  <si>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</si>
  <si>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</si>
  <si>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</si>
  <si>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</si>
  <si>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</si>
  <si>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</si>
  <si>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</si>
  <si>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</si>
  <si>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</si>
  <si>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</si>
  <si>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</si>
  <si>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</si>
  <si>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</si>
  <si>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</si>
  <si>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</si>
  <si>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</si>
  <si>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</si>
  <si>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</si>
  <si>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</si>
  <si>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</si>
  <si>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</si>
  <si>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</si>
  <si>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</si>
  <si>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</si>
  <si>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</si>
  <si>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</si>
  <si>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</si>
  <si>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</si>
  <si>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</si>
  <si>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</si>
  <si>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</si>
  <si>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</si>
  <si>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</si>
  <si>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</si>
  <si>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</si>
  <si>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</si>
  <si>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</si>
  <si>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</si>
  <si>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</si>
  <si>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</si>
  <si>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</si>
  <si>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</si>
  <si>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</si>
  <si>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</si>
  <si>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</si>
  <si>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</si>
  <si>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</si>
  <si>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</si>
  <si>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</si>
  <si>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</si>
  <si>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</si>
  <si>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</si>
  <si>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</si>
  <si>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</si>
  <si>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</si>
  <si>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</si>
  <si>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</si>
  <si>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</si>
  <si>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</si>
  <si>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</si>
  <si>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</si>
  <si>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</si>
  <si>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</si>
  <si>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</si>
  <si>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</si>
  <si>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</si>
  <si>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</si>
  <si>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</si>
  <si>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</si>
  <si>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</si>
  <si>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</si>
  <si>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</si>
  <si>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</si>
  <si>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</si>
  <si>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</si>
  <si>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</si>
  <si>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</si>
  <si>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</si>
  <si>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</si>
  <si>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</si>
  <si>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</si>
  <si>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</si>
  <si>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</si>
  <si>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</si>
  <si>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</si>
  <si>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</si>
  <si>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</si>
  <si>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</si>
  <si>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</si>
  <si>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</si>
  <si>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</si>
  <si>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</si>
  <si>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</si>
  <si>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</si>
  <si>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</si>
  <si>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</si>
  <si>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</si>
  <si>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</si>
  <si>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</si>
  <si>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</si>
  <si>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</si>
  <si>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</si>
  <si>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</si>
  <si>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</si>
  <si>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</si>
  <si>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</si>
  <si>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</si>
  <si>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</si>
  <si>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</si>
  <si>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</si>
  <si>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</si>
  <si>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</si>
  <si>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</si>
  <si>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</si>
  <si>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</si>
  <si>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</si>
  <si>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</si>
  <si>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</si>
  <si>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</si>
  <si>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</si>
  <si>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</si>
  <si>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</si>
  <si>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</si>
  <si>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</si>
  <si>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</si>
  <si>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</si>
  <si>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</si>
  <si>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</si>
  <si>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</si>
  <si>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</si>
  <si>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</si>
  <si>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</si>
  <si>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</si>
  <si>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</si>
  <si>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</si>
  <si>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</si>
  <si>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</si>
  <si>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</si>
  <si>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</si>
  <si>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</si>
  <si>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</si>
  <si>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</si>
  <si>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</si>
  <si>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</si>
  <si>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</si>
  <si>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</si>
  <si>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</si>
  <si>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</si>
  <si>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</si>
  <si>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</si>
  <si>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</si>
  <si>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</si>
  <si>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</si>
  <si>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</si>
  <si>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</si>
  <si>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</si>
  <si>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</si>
  <si>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</si>
  <si>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</si>
  <si>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</si>
  <si>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</si>
  <si>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</si>
  <si>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</si>
  <si>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</si>
  <si>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</si>
  <si>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</si>
  <si>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</si>
  <si>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</si>
  <si>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</si>
  <si>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</si>
  <si>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</si>
  <si>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</si>
  <si>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</si>
  <si>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</si>
  <si>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</si>
  <si>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</si>
  <si>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</si>
  <si>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</si>
  <si>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</si>
  <si>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</si>
  <si>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</si>
  <si>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</si>
  <si>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</si>
  <si>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</si>
  <si>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</si>
  <si>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</si>
  <si>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</si>
  <si>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</si>
  <si>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</si>
  <si>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</si>
  <si>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</si>
  <si>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</si>
  <si>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</si>
  <si>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</si>
  <si>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</si>
  <si>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</si>
  <si>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</si>
  <si>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</si>
  <si>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</si>
  <si>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</si>
  <si>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</si>
  <si>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</si>
  <si>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</si>
  <si>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</si>
  <si>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</si>
  <si>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</si>
  <si>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</si>
  <si>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</si>
  <si>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</si>
  <si>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</si>
  <si>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</si>
  <si>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</si>
  <si>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</si>
  <si>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</si>
  <si>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</si>
  <si>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</si>
  <si>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</si>
  <si>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</si>
  <si>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</si>
  <si>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</si>
  <si>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</si>
  <si>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</si>
  <si>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</si>
  <si>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</si>
  <si>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</si>
  <si>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</si>
  <si>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</si>
  <si>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</si>
  <si>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</si>
  <si>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</si>
  <si>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</si>
  <si>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</si>
  <si>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</si>
  <si>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</si>
  <si>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</si>
  <si>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</si>
  <si>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</si>
  <si>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</si>
  <si>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</si>
  <si>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</si>
  <si>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</si>
  <si>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</si>
  <si>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</si>
  <si>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</si>
  <si>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</si>
  <si>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</si>
  <si>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</si>
  <si>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</si>
  <si>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</si>
  <si>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</si>
  <si>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</si>
  <si>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</si>
  <si>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</si>
  <si>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</si>
  <si>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</si>
  <si>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</si>
  <si>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</si>
  <si>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</si>
  <si>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</si>
  <si>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</si>
  <si>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</si>
  <si>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</si>
  <si>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</si>
  <si>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</si>
  <si>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</si>
  <si>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</si>
  <si>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</si>
  <si>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</si>
  <si>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</si>
  <si>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</si>
  <si>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</si>
  <si>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</si>
  <si>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</si>
  <si>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</si>
  <si>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</si>
  <si>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</si>
  <si>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</si>
  <si>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</si>
  <si>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</si>
  <si>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</si>
  <si>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</si>
  <si>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</si>
  <si>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</si>
  <si>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</si>
  <si>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</si>
  <si>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</si>
  <si>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</si>
  <si>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</si>
  <si>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</si>
  <si>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</si>
  <si>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</si>
  <si>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</si>
  <si>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</si>
  <si>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</si>
  <si>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</si>
  <si>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</si>
  <si>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</si>
  <si>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</si>
  <si>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</si>
  <si>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</si>
  <si>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</si>
  <si>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</si>
  <si>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</si>
  <si>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</si>
  <si>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</si>
  <si>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</si>
  <si>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</si>
  <si>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</si>
  <si>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</si>
  <si>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</si>
  <si>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</si>
  <si>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</si>
  <si>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</si>
  <si>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</si>
  <si>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</si>
  <si>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</si>
  <si>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</si>
  <si>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</si>
  <si>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</si>
  <si>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</si>
  <si>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</si>
  <si>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</si>
  <si>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</si>
  <si>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</si>
  <si>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</si>
  <si>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</si>
  <si>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</si>
  <si>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</si>
  <si>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</si>
  <si>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</si>
  <si>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</si>
  <si>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</si>
  <si>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</si>
  <si>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</si>
  <si>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</si>
  <si>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</si>
  <si>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</si>
  <si>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</si>
  <si>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</si>
  <si>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</si>
  <si>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</si>
  <si>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</si>
  <si>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</si>
  <si>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</si>
  <si>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</si>
  <si>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</si>
  <si>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</si>
  <si>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</si>
  <si>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</si>
  <si>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</si>
  <si>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</si>
  <si>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</si>
  <si>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</si>
  <si>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</si>
  <si>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</si>
  <si>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</si>
  <si>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</si>
  <si>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</si>
  <si>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</si>
  <si>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</si>
  <si>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</si>
  <si>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</si>
  <si>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</si>
  <si>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</si>
  <si>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</si>
  <si>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</si>
  <si>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</si>
  <si>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</si>
  <si>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</si>
  <si>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</si>
  <si>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</si>
  <si>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</si>
  <si>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</si>
  <si>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</si>
  <si>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</si>
  <si>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</si>
  <si>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</si>
  <si>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</si>
  <si>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</si>
  <si>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</si>
  <si>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</si>
  <si>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</si>
  <si>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</si>
  <si>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</si>
  <si>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</si>
  <si>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</si>
  <si>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</si>
  <si>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</si>
  <si>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</si>
  <si>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</si>
  <si>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</si>
  <si>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</si>
  <si>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</si>
  <si>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</si>
  <si>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</si>
  <si>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</si>
  <si>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</si>
  <si>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</si>
  <si>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</si>
  <si>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</si>
  <si>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</si>
  <si>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</si>
  <si>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</si>
  <si>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</si>
  <si>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</si>
  <si>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</si>
  <si>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</si>
  <si>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</si>
  <si>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</si>
  <si>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</si>
  <si>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</si>
  <si>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</si>
  <si>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</si>
  <si>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</si>
  <si>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</si>
  <si>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</si>
  <si>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</si>
  <si>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</si>
  <si>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</si>
  <si>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</si>
  <si>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</si>
  <si>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</si>
  <si>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</si>
  <si>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</si>
  <si>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</si>
  <si>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</si>
  <si>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</si>
  <si>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</si>
  <si>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</si>
  <si>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</si>
  <si>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</si>
  <si>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</si>
  <si>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</si>
  <si>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</si>
  <si>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</si>
  <si>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</si>
  <si>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</si>
  <si>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</si>
  <si>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</si>
  <si>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</si>
  <si>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</si>
  <si>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</si>
  <si>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</si>
  <si>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</si>
  <si>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</si>
  <si>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</si>
  <si>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</si>
  <si>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</si>
  <si>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</si>
  <si>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</si>
  <si>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</si>
  <si>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</si>
  <si>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</si>
  <si>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</si>
  <si>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</si>
  <si>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</si>
  <si>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</si>
  <si>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</si>
  <si>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</si>
  <si>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</si>
  <si>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</si>
  <si>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</si>
  <si>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</si>
  <si>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</si>
  <si>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</si>
  <si>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</si>
  <si>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</si>
  <si>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</si>
  <si>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</si>
  <si>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</si>
  <si>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</si>
  <si>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</si>
  <si>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</si>
  <si>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</si>
  <si>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</si>
  <si>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</si>
  <si>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</si>
  <si>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</si>
  <si>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</si>
  <si>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</si>
  <si>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</si>
  <si>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</si>
  <si>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</si>
  <si>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</si>
  <si>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</si>
  <si>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</si>
  <si>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</si>
  <si>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</si>
  <si>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</si>
  <si>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</si>
  <si>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</si>
  <si>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</si>
  <si>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</si>
  <si>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</si>
  <si>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</si>
  <si>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</si>
  <si>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</si>
  <si>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</si>
  <si>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</si>
  <si>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</si>
  <si>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</si>
  <si>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</si>
  <si>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</si>
  <si>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</si>
  <si>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</si>
  <si>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</si>
  <si>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</si>
  <si>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</si>
  <si>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</si>
  <si>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</si>
  <si>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</si>
  <si>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</si>
  <si>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</si>
  <si>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</si>
  <si>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</si>
  <si>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</si>
  <si>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</si>
  <si>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</si>
  <si>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</si>
  <si>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</si>
  <si>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</si>
  <si>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</si>
  <si>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</si>
  <si>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</si>
  <si>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</si>
  <si>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</si>
  <si>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</si>
  <si>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</si>
  <si>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</si>
  <si>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</si>
  <si>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</si>
  <si>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</si>
  <si>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</si>
  <si>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</si>
  <si>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</si>
  <si>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</si>
  <si>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</si>
  <si>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</si>
  <si>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</si>
  <si>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</si>
  <si>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</si>
  <si>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</si>
  <si>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</si>
  <si>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</si>
  <si>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</si>
  <si>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</si>
  <si>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</si>
  <si>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</si>
  <si>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</si>
  <si>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</si>
  <si>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</si>
  <si>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</si>
  <si>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</si>
  <si>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</si>
  <si>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</si>
  <si>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</si>
  <si>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</si>
  <si>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</si>
  <si>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</si>
  <si>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</si>
  <si>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</si>
  <si>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</si>
  <si>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</si>
  <si>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</si>
  <si>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</si>
  <si>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</si>
  <si>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</si>
  <si>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</si>
  <si>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</si>
  <si>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</si>
  <si>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</si>
  <si>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</si>
  <si>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</si>
  <si>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</si>
  <si>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</si>
  <si>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</si>
  <si>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</si>
  <si>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</si>
  <si>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</si>
  <si>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</si>
  <si>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</si>
  <si>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</si>
  <si>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</si>
  <si>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</si>
  <si>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</si>
  <si>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</si>
  <si>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</si>
  <si>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</si>
  <si>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</si>
  <si>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</si>
  <si>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</si>
  <si>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</si>
  <si>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</si>
  <si>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</si>
  <si>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</si>
  <si>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</si>
  <si>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</si>
  <si>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</si>
  <si>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</si>
  <si>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</si>
  <si>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</si>
  <si>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</si>
  <si>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</si>
  <si>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</si>
  <si>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</si>
  <si>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</si>
  <si>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</si>
  <si>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</si>
  <si>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</si>
  <si>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</si>
  <si>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</si>
  <si>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</si>
  <si>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</si>
  <si>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</si>
  <si>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</si>
  <si>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</si>
  <si>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</si>
  <si>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</si>
  <si>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</si>
  <si>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</si>
  <si>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</si>
  <si>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</si>
  <si>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</si>
  <si>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</si>
  <si>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</si>
  <si>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</si>
  <si>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</si>
  <si>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</si>
  <si>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</si>
  <si>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</si>
  <si>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</si>
  <si>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</si>
  <si>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</si>
  <si>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</si>
  <si>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</si>
  <si>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</si>
  <si>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</si>
  <si>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</si>
  <si>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</si>
  <si>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</si>
  <si>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</si>
  <si>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</si>
  <si>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</si>
  <si>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</si>
  <si>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</si>
  <si>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</si>
  <si>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</si>
  <si>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</si>
  <si>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</si>
  <si>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</si>
  <si>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</si>
  <si>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</si>
  <si>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</si>
  <si>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</si>
  <si>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</si>
  <si>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</si>
  <si>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</si>
  <si>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</si>
  <si>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</si>
  <si>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</si>
  <si>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</si>
  <si>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</si>
  <si>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</si>
  <si>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</si>
  <si>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</si>
  <si>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</si>
  <si>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</si>
  <si>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</si>
  <si>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</si>
  <si>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</si>
  <si>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</si>
  <si>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</si>
  <si>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</si>
  <si>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</si>
  <si>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</si>
  <si>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</si>
  <si>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</si>
  <si>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</si>
  <si>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</si>
  <si>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</si>
  <si>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</si>
  <si>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</si>
  <si>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</si>
  <si>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</si>
  <si>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</si>
  <si>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</si>
  <si>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</si>
  <si>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</si>
  <si>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</si>
  <si>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</si>
  <si>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</si>
  <si>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</si>
  <si>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</si>
  <si>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</si>
  <si>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</si>
  <si>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</si>
  <si>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</si>
  <si>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</si>
  <si>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</si>
  <si>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</si>
  <si>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</si>
  <si>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</si>
  <si>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</si>
  <si>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</si>
  <si>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</si>
  <si>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</si>
  <si>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</si>
  <si>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</si>
  <si>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</si>
  <si>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</si>
  <si>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</si>
  <si>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</si>
  <si>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</si>
  <si>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</si>
  <si>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</si>
  <si>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</si>
  <si>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</si>
  <si>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</si>
  <si>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</si>
  <si>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</si>
  <si>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</si>
  <si>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</si>
  <si>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</si>
  <si>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</si>
  <si>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</si>
  <si>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</si>
  <si>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</si>
  <si>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</si>
  <si>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</si>
  <si>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</si>
  <si>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</si>
  <si>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</si>
  <si>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</si>
  <si>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</si>
  <si>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</si>
  <si>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</si>
  <si>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</si>
  <si>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</si>
  <si>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</si>
  <si>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</si>
  <si>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</si>
  <si>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</si>
  <si>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</si>
  <si>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</si>
  <si>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</si>
  <si>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</si>
  <si>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</si>
  <si>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</si>
  <si>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</si>
  <si>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</si>
  <si>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</si>
  <si>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</si>
  <si>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</si>
  <si>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</si>
  <si>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</si>
  <si>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</si>
  <si>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</si>
  <si>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</si>
  <si>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</si>
  <si>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</si>
  <si>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</si>
  <si>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</si>
  <si>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</si>
  <si>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</si>
  <si>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</si>
  <si>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</si>
  <si>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</si>
  <si>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</si>
  <si>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</si>
  <si>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</si>
  <si>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</si>
  <si>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</si>
  <si>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</si>
  <si>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</si>
  <si>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</si>
  <si>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</si>
  <si>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</si>
  <si>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</si>
  <si>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</si>
  <si>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</si>
  <si>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</si>
  <si>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</si>
  <si>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</si>
  <si>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</si>
  <si>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</si>
  <si>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</si>
  <si>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</si>
  <si>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</si>
  <si>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</si>
  <si>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</si>
  <si>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</si>
  <si>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</si>
  <si>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</si>
  <si>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</si>
  <si>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</si>
  <si>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</si>
  <si>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</si>
  <si>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</si>
  <si>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</si>
  <si>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</si>
  <si>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</si>
  <si>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</si>
  <si>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</si>
  <si>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</si>
  <si>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</si>
  <si>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</si>
  <si>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</si>
  <si>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</si>
  <si>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</si>
  <si>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</si>
  <si>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</si>
  <si>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</si>
  <si>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</si>
  <si>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</si>
  <si>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</si>
  <si>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</si>
  <si>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</si>
  <si>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</si>
  <si>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</si>
  <si>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</si>
  <si>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</si>
  <si>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</si>
  <si>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</si>
  <si>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</si>
  <si>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</si>
  <si>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</si>
  <si>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</si>
  <si>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</si>
  <si>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</si>
  <si>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</si>
  <si>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</si>
  <si>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</si>
  <si>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</si>
  <si>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</si>
  <si>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</si>
  <si>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</si>
  <si>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</si>
  <si>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</si>
  <si>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</si>
  <si>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</si>
  <si>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</si>
  <si>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</si>
  <si>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</si>
  <si>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</si>
  <si>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</si>
  <si>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</si>
  <si>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</si>
  <si>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</si>
  <si>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</si>
  <si>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</si>
  <si>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核定资产</t>
  </si>
  <si>
    <t>房地产市场价值</t>
  </si>
  <si>
    <t>北京市</t>
  </si>
  <si>
    <t>自然人</t>
  </si>
  <si>
    <t>是</t>
  </si>
  <si>
    <t>地上</t>
  </si>
  <si>
    <t>住宅</t>
  </si>
  <si>
    <t>城镇住宅用地</t>
  </si>
  <si>
    <t>自定义容积率</t>
  </si>
  <si>
    <t>与级别开发程度不一致</t>
  </si>
  <si>
    <t>通路</t>
  </si>
  <si>
    <t>通电</t>
  </si>
  <si>
    <t>通讯</t>
  </si>
  <si>
    <t>通上水</t>
  </si>
  <si>
    <t>通下水</t>
  </si>
  <si>
    <t>通热</t>
  </si>
  <si>
    <t>平整</t>
  </si>
  <si>
    <t>有</t>
  </si>
  <si>
    <t>住宅</t>
    <phoneticPr fontId="7" type="noConversion"/>
  </si>
  <si>
    <t>成新度</t>
  </si>
  <si>
    <t>收益法 (元)</t>
  </si>
  <si>
    <t>利息：取LPR加浮动点数</t>
  </si>
  <si>
    <t>押一</t>
  </si>
  <si>
    <t>未包含在土地购买价格中</t>
  </si>
  <si>
    <t>已包含在土地取得成本中</t>
  </si>
  <si>
    <t>不临65条商业街</t>
  </si>
  <si>
    <t>较好</t>
  </si>
  <si>
    <t>好</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</si>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</sst>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22</xdr:row>
      <xdr:rowOff>9052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3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估价对象为北京市房地产，为所有。根据《国有土地使用证》[]，估价对象（分摊）出让国有建设用地使用权面积为0平方米，建筑面积为237.41平方米。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估价对象为北京市房地产,属开发建设的，该项目尚在开发建设中。根据《国有土地使用证》[]，估价对象（分摊）出让国有建设用地使用权面积为0平方米，规划建筑面积为237.41平方米。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2024年5月16日（评估专业人员实地查勘之日）</v>
      </c>
    </row>
    <row r="13" spans="1:2" s="1203" customFormat="1">
      <c r="A13" s="1201" t="s">
        <v>529</v>
      </c>
      <c r="B13" s="120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237.41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45428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2.59</v>
      </c>
      <c r="D5" s="3025">
        <f>IF(ISERROR(ROUND(POWER(1+E5,A5-C5)*(POWER(1+E5,C5)-1)/(POWER(1+E5,A5)-1),3)),0,ROUND(POWER(1+E5,A5-C5)*(POWER(1+E5,C5)-1)/(POWER(1+E5,A5)-1),4))</f>
        <v>0.122</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v>
      </c>
      <c r="D6" s="3025">
        <f>IF(ISERROR(ROUND(POWER(1+E6,A6-C6)*(POWER(1+E6,C6)-1)/(POWER(1+E6,A6)-1),3)),0,ROUND(POWER(1+E6,A6-C6)*(POWER(1+E6,C6)-1)/(POWER(1+E6,A6)-1),4))</f>
        <v>0.45379999999999998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32.61</v>
      </c>
      <c r="D7" s="3025">
        <f>IF(ISERROR(ROUND(POWER(1+E7,A7-C7)*(POWER(1+E7,C7)-1)/(POWER(1+E7,A7)-1),3)),0,ROUND(POWER(1+E7,A7-C7)*(POWER(1+E7,C7)-1)/(POWER(1+E7,A7)-1),4))</f>
        <v>0.7712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7" sqref="G26:G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北京市房地产市场价值预评估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45428</v>
      </c>
      <c r="C3" s="2374" t="s">
        <v>2171</v>
      </c>
      <c r="D3" s="2373">
        <f>B3</f>
        <v>45428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2" t="s">
        <v>2177</v>
      </c>
      <c r="E8" s="2391"/>
      <c r="F8" s="2392"/>
      <c r="G8" s="2663"/>
      <c r="H8" s="2663"/>
      <c r="I8" s="2663"/>
      <c r="J8" s="2439"/>
      <c r="K8" s="2614"/>
      <c r="L8" s="2613"/>
      <c r="M8" s="2613"/>
      <c r="N8" s="2439"/>
      <c r="O8" s="2450"/>
      <c r="P8" s="2439"/>
      <c r="Q8" s="2439"/>
      <c r="R8" s="2439"/>
    </row>
    <row r="9" spans="1:30" ht="13.5" thickBot="1">
      <c r="A9" s="2393" t="s">
        <v>2178</v>
      </c>
      <c r="B9" s="2394" t="s">
        <v>3385</v>
      </c>
      <c r="C9" s="2395"/>
      <c r="D9" s="3503"/>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3335</v>
      </c>
      <c r="B13" s="2407" t="s">
        <v>2190</v>
      </c>
      <c r="C13" s="856">
        <v>63314</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49</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237.41</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155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237.41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237.41</v>
      </c>
      <c r="H5" s="13">
        <f t="shared" ref="H5:AT5" si="0">SUM(H13:H656)</f>
        <v>237.41</v>
      </c>
      <c r="I5" s="13">
        <f t="shared" si="0"/>
        <v>237.41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237.41</v>
      </c>
      <c r="BA5" s="15">
        <f t="shared" si="1"/>
        <v>237.41</v>
      </c>
      <c r="BB5" s="15">
        <f t="shared" si="1"/>
        <v>237.41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237.41</v>
      </c>
      <c r="H13" s="17">
        <f>SUMIF(I$12:AB$12,"总值",I13:AB13)</f>
        <v>237.41</v>
      </c>
      <c r="I13" s="1626">
        <v>237.41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237.41</v>
      </c>
      <c r="BA13" s="13">
        <f>SUM(BB13:BK13)</f>
        <v>237.41</v>
      </c>
      <c r="BB13" s="13">
        <f>IF($D13="是",I13-J13,0)</f>
        <v>237.41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237.41</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237.41</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237.41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237.41</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0</v>
      </c>
      <c r="E19" s="53">
        <f t="shared" ref="E19:E26" si="1">SUM(F19:G19)</f>
        <v>237.41</v>
      </c>
      <c r="F19" s="2795">
        <f>'数据-基础表'!I13</f>
        <v>237.41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237.41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237.41</v>
      </c>
      <c r="F27" s="1140">
        <f>IF(SUM(F19:F26)=E8,SUM(F19:F26),"地上面积有误")</f>
        <v>237.41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237.41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237.41</v>
      </c>
      <c r="F31" s="677">
        <f>F27+F30</f>
        <v>237.41</v>
      </c>
      <c r="G31" s="678">
        <f>G27+G30</f>
        <v>0</v>
      </c>
      <c r="H31" s="2659"/>
      <c r="I31" s="2659"/>
      <c r="J31" s="2659"/>
      <c r="K31" s="2659"/>
      <c r="L31" s="2659"/>
      <c r="M31" s="2659"/>
      <c r="N31" s="2659"/>
      <c r="O31" s="2659"/>
      <c r="P31" s="2659"/>
    </row>
    <row r="32" spans="1:19">
      <c r="A32" s="1643"/>
      <c r="B32" s="1643" t="s">
        <v>1159</v>
      </c>
      <c r="C32" s="1643"/>
      <c r="D32" s="1643"/>
      <c r="E32" s="1053">
        <f>SUMIF(C19:C26,"*住宅*",E19:E26)</f>
        <v>237.41</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3390</v>
      </c>
      <c r="D6" s="858">
        <f>SUMIF(项目基本情况!C$12:I$12,C6,项目基本情况!C$14:I$14)</f>
        <v>70</v>
      </c>
      <c r="E6" s="857">
        <f>IF(B6="","",SUMIF(项目基本情况!C$12:I$12,C6,项目基本情况!C$13:I$13))</f>
        <v>63314</v>
      </c>
      <c r="F6" s="64">
        <f>SUMIF(项目基本情况!C$12:I$12,C6,项目基本情况!C$15:I$15)</f>
        <v>49</v>
      </c>
      <c r="G6" s="65">
        <f>IF(ISERROR(ROUND(POWER(1+H6,D6-F6)*(POWER(1+H6,F6)-1)/(POWER(1+H6,D6)-1),3)),0,ROUND(POWER(1+H6,D6-F6)*(POWER(1+H6,F6)-1)/(POWER(1+H6,D6)-1),3))</f>
        <v>0.92700000000000005</v>
      </c>
      <c r="H6" s="732">
        <v>4.4999999999999998E-2</v>
      </c>
      <c r="I6" s="732">
        <v>0.06</v>
      </c>
      <c r="J6" s="66">
        <v>6.5000000000000002E-2</v>
      </c>
      <c r="K6" s="1030">
        <f>SUMIF('数据-汇总表'!C$19:C$33,A6,'数据-汇总表'!E$19:E$33)</f>
        <v>237.41</v>
      </c>
      <c r="L6" s="733">
        <v>5000</v>
      </c>
      <c r="M6" s="67">
        <f t="shared" ref="M6:M14" si="0">ROUND(K6*L6/10000,0)</f>
        <v>119</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0.02</v>
      </c>
      <c r="W6" s="70">
        <v>0.15</v>
      </c>
      <c r="X6" s="1040"/>
      <c r="Y6" s="71">
        <f>N6</f>
        <v>0.7</v>
      </c>
      <c r="Z6" s="72"/>
      <c r="AA6" s="66"/>
      <c r="AB6" s="66"/>
      <c r="AC6" s="1040"/>
      <c r="AD6" s="73"/>
      <c r="AE6" s="1041">
        <f ca="1">IF(AN6="",0,SUMIF(INDIRECT("'"&amp;AN6&amp;"'"&amp;"!E:E"),$AE$5,INDIRECT("'"&amp;AN6&amp;"'"&amp;"!F:F")))</f>
        <v>49</v>
      </c>
      <c r="AF6" s="1348"/>
      <c r="AG6" s="138">
        <f>IF(AF6="",0,AE6-AF6)</f>
        <v>0</v>
      </c>
      <c r="AH6" s="74">
        <f>'数据-汇总表'!F19</f>
        <v>237.41</v>
      </c>
      <c r="AI6" s="76">
        <v>365</v>
      </c>
      <c r="AJ6" s="77"/>
      <c r="AK6" s="78">
        <v>0.01</v>
      </c>
      <c r="AL6" s="79">
        <v>1.5E-3</v>
      </c>
      <c r="AM6" s="80">
        <v>0.01</v>
      </c>
      <c r="AN6" s="1715" t="s">
        <v>3404</v>
      </c>
      <c r="AO6" s="52">
        <f ca="1">SUMIF(INDIRECT("'"&amp;AN6&amp;"'"&amp;"!A:A"),"总价",INDIRECT("'"&amp;AN6&amp;"'"&amp;"!B:B"))</f>
        <v>712.26179999999999</v>
      </c>
      <c r="AP6" s="1716">
        <f>IF(C6="住宅",K6*L6,0)</f>
        <v>1187050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4.4999999999999998E-2</v>
      </c>
      <c r="I16" s="91"/>
      <c r="J16" s="91"/>
      <c r="K16" s="92">
        <f>SUM(K6:K15)</f>
        <v>237.41</v>
      </c>
      <c r="L16" s="93">
        <f>ROUND(M16*10000/SUM(K6:K14),0)</f>
        <v>5012</v>
      </c>
      <c r="M16" s="93">
        <f>SUM(M6:M14)</f>
        <v>119</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ROUND(1-(2024-2005)/60,2)</f>
        <v>0.68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3405</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237.41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1092</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237.41</v>
      </c>
      <c r="C14" s="2518"/>
      <c r="D14" s="2518">
        <f ca="1">结果表!G19</f>
        <v>1092</v>
      </c>
      <c r="E14" s="2518">
        <f ca="1">ROUND(D14*10000/B14,0)</f>
        <v>45996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3412</v>
      </c>
      <c r="D4" s="1756" t="s">
        <v>3404</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v>6</v>
      </c>
      <c r="D5" s="3575">
        <f>10-C5</f>
        <v>4</v>
      </c>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c r="D14" s="3575"/>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2" t="s">
        <v>2131</v>
      </c>
      <c r="F18" s="3563"/>
      <c r="G18" s="3563"/>
      <c r="H18" s="3563"/>
      <c r="I18" s="3563"/>
      <c r="K18" s="302" t="s">
        <v>1289</v>
      </c>
      <c r="L18" s="302">
        <f>IF(C1="",'数据-汇总表'!E3,SUMIF(项目类型,C1,'数据-汇总表'!E17:E26)+SUMIF(项目类型,C1,'数据-汇总表'!I17:I26))</f>
        <v>237.41</v>
      </c>
      <c r="M18" s="302">
        <f>IF(C1="",'数据-汇总表'!E3,SUMIF(项目类型,C1,'数据-汇总表'!E17:E26))</f>
        <v>237.41</v>
      </c>
    </row>
    <row r="19" spans="1:36" ht="15">
      <c r="A19" s="1761" t="s">
        <v>1290</v>
      </c>
      <c r="B19" s="1762" t="s">
        <v>1291</v>
      </c>
      <c r="C19" s="134">
        <f ca="1">SUMIF(INDIRECT("'"&amp;C4&amp;"'"&amp;"!A:A"),结果表!B19,INDIRECT("'"&amp;C4&amp;"'"&amp;"!B:B"))</f>
        <v>1344.6805999999999</v>
      </c>
      <c r="D19" s="135">
        <f ca="1">SUMIF(INDIRECT("'"&amp;D4&amp;"'"&amp;"!A:A"),结果表!B19,INDIRECT("'"&amp;D4&amp;"'"&amp;"!B:B"))</f>
        <v>712.26179999999999</v>
      </c>
      <c r="E19" s="1761" t="s">
        <v>1292</v>
      </c>
      <c r="F19" s="1762" t="s">
        <v>1291</v>
      </c>
      <c r="G19" s="136">
        <f ca="1">ROUND(C19*$C$18+D19*$D$18,0)</f>
        <v>1092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56640</v>
      </c>
      <c r="D20" s="138">
        <f ca="1">SUMIF(INDIRECT("'"&amp;D4&amp;"'"&amp;"!A:A"),结果表!B20,INDIRECT("'"&amp;D4&amp;"'"&amp;"!B:B"))</f>
        <v>30001</v>
      </c>
      <c r="E20" s="1764"/>
      <c r="F20" s="1026" t="s">
        <v>1295</v>
      </c>
      <c r="G20" s="139">
        <f ca="1">ROUND(C20*$C$18+D20*$D$18,0)</f>
        <v>45984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0.88790217304929153</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45984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45428</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t="e">
        <f ca="1">ROUND(D45*'数据-取费表'!B41/(1+'数据-取费表'!C42),0)</f>
        <v>#REF!</v>
      </c>
      <c r="E53" s="2334" t="s">
        <v>1354</v>
      </c>
      <c r="F53" s="2554">
        <f>'数据-取费表'!B41</f>
        <v>5.6000000000000001E-2</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5.6000000000000001E-2</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t="e">
        <f ca="1">D59</f>
        <v>#REF!</v>
      </c>
      <c r="N55" s="2040" t="str">
        <f>E59</f>
        <v>差额计税</v>
      </c>
      <c r="O55" s="2529">
        <f>F59</f>
        <v>0.01</v>
      </c>
    </row>
    <row r="56" spans="1:35" ht="24.75">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4.75">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 (元)</v>
      </c>
      <c r="D101" s="2586" t="str">
        <f>D4</f>
        <v>收益法 (元)</v>
      </c>
      <c r="E101" s="3625" t="s">
        <v>1431</v>
      </c>
      <c r="F101" s="3582"/>
      <c r="G101" s="1827" t="s">
        <v>1432</v>
      </c>
      <c r="H101" s="2595" t="e">
        <f ca="1">H118</f>
        <v>#REF!</v>
      </c>
      <c r="I101" s="129"/>
    </row>
    <row r="102" spans="1:35" ht="18.75" customHeight="1">
      <c r="A102" s="3584" t="s">
        <v>1433</v>
      </c>
      <c r="B102" s="2584" t="s">
        <v>1432</v>
      </c>
      <c r="C102" s="2585">
        <f ca="1">IF(D32="楼面单价",ROUND(C19,0),C19)</f>
        <v>1344.6805999999999</v>
      </c>
      <c r="D102" s="2586">
        <f ca="1">IF(D32="楼面单价",ROUND(D19,0),D19)</f>
        <v>712.26179999999999</v>
      </c>
      <c r="E102" s="3625"/>
      <c r="F102" s="3582"/>
      <c r="G102" s="1827" t="s">
        <v>1434</v>
      </c>
      <c r="H102" s="2555" t="e">
        <f ca="1">I118</f>
        <v>#REF!</v>
      </c>
      <c r="I102" s="129"/>
    </row>
    <row r="103" spans="1:35" ht="42.75" customHeight="1">
      <c r="A103" s="3584"/>
      <c r="B103" s="2584" t="s">
        <v>1434</v>
      </c>
      <c r="C103" s="2587">
        <f ca="1">C20</f>
        <v>56640</v>
      </c>
      <c r="D103" s="2588">
        <f ca="1">D20</f>
        <v>30001</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237.41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237.41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237.41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10</v>
      </c>
      <c r="D36" s="220"/>
      <c r="E36" s="220"/>
      <c r="F36" s="259">
        <f>'数据-取费表'!B34</f>
        <v>0.08</v>
      </c>
      <c r="G36" s="260" t="s">
        <v>1530</v>
      </c>
    </row>
    <row r="37" spans="1:7" s="258" customFormat="1" ht="13.5" customHeight="1">
      <c r="A37" s="780" t="s">
        <v>353</v>
      </c>
      <c r="B37" s="215" t="s">
        <v>1531</v>
      </c>
      <c r="C37" s="249">
        <f ca="1">ROUND(E37*D37*F34/10000,0)</f>
        <v>0</v>
      </c>
      <c r="D37" s="217">
        <f ca="1">D19</f>
        <v>237.41</v>
      </c>
      <c r="E37" s="249">
        <f>'数据-取费表'!B35</f>
        <v>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1E-3</v>
      </c>
      <c r="D44" s="238"/>
      <c r="E44" s="238"/>
      <c r="F44" s="239"/>
      <c r="G44" s="3634"/>
    </row>
    <row r="45" spans="1:7" s="214" customFormat="1" ht="13.5" customHeight="1">
      <c r="A45" s="255" t="s">
        <v>1547</v>
      </c>
      <c r="B45" s="244" t="s">
        <v>1513</v>
      </c>
      <c r="C45" s="245">
        <f ca="1">C46</f>
        <v>28</v>
      </c>
      <c r="D45" s="235">
        <f ca="1">C47</f>
        <v>4.0000000000000001E-3</v>
      </c>
      <c r="E45" s="236" t="s">
        <v>1539</v>
      </c>
      <c r="F45" s="246">
        <f ca="1">F27</f>
        <v>0.2</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131</v>
      </c>
      <c r="D51" s="232"/>
      <c r="E51" s="232"/>
      <c r="F51" s="264"/>
      <c r="G51" s="234" t="s">
        <v>1560</v>
      </c>
    </row>
    <row r="52" spans="1:7" s="208" customFormat="1" ht="16.5" thickBot="1">
      <c r="A52" s="265" t="s">
        <v>1561</v>
      </c>
      <c r="B52" s="266"/>
      <c r="C52" s="267">
        <f ca="1">C31+C51</f>
        <v>138</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北京市房地产市场价值预评估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237.41</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237.41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237.41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9" sqref="E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712.26179999999999</v>
      </c>
      <c r="C2" s="1387" t="s">
        <v>879</v>
      </c>
      <c r="D2" s="1471">
        <f ca="1">C40+J29+L46</f>
        <v>7122618</v>
      </c>
      <c r="E2" s="1388" t="s">
        <v>880</v>
      </c>
      <c r="F2" s="1389"/>
      <c r="G2" s="2706"/>
      <c r="H2" s="2695"/>
      <c r="I2" s="2695"/>
      <c r="J2" s="2695"/>
      <c r="K2" s="2696"/>
      <c r="L2" s="2695"/>
      <c r="M2" s="2695"/>
    </row>
    <row r="3" spans="1:37" ht="18" customHeight="1" thickBot="1">
      <c r="A3" s="1390" t="s">
        <v>881</v>
      </c>
      <c r="B3" s="1391">
        <f ca="1">IF(ISERROR(D2/F43),0,ROUND(D2/F43,0))</f>
        <v>30001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368742</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368282</v>
      </c>
      <c r="D6" s="155" t="s">
        <v>2106</v>
      </c>
      <c r="E6" s="302" t="s">
        <v>696</v>
      </c>
      <c r="F6" s="303">
        <f ca="1">INDIRECT("'数据-取费表'!u"&amp;$G$1)</f>
        <v>5</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237.41</v>
      </c>
      <c r="G7" s="1384"/>
      <c r="H7" s="304"/>
      <c r="I7" s="3638"/>
      <c r="J7" s="306"/>
      <c r="K7" s="307"/>
      <c r="L7" s="302" t="s">
        <v>697</v>
      </c>
      <c r="M7" s="303">
        <f ca="1">F7</f>
        <v>237.41</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460</v>
      </c>
      <c r="D10" s="1366" t="s">
        <v>2116</v>
      </c>
      <c r="E10" s="313" t="s">
        <v>701</v>
      </c>
      <c r="F10" s="1116" t="s">
        <v>3406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1290539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1187050</v>
      </c>
      <c r="D14" s="1345" t="s">
        <v>708</v>
      </c>
      <c r="E14" s="1342"/>
      <c r="F14" s="319"/>
      <c r="G14" s="1384"/>
      <c r="H14" s="982" t="s">
        <v>398</v>
      </c>
      <c r="I14" s="302" t="s">
        <v>709</v>
      </c>
      <c r="J14" s="21">
        <f ca="1">C29</f>
        <v>1843627</v>
      </c>
      <c r="K14" s="12"/>
      <c r="L14" s="807"/>
      <c r="M14" s="808"/>
    </row>
    <row r="15" spans="1:37" s="1397" customFormat="1" ht="18" customHeight="1" thickBot="1">
      <c r="A15" s="982" t="s">
        <v>399</v>
      </c>
      <c r="B15" s="302" t="s">
        <v>710</v>
      </c>
      <c r="C15" s="21">
        <f ca="1">ROUND(C14*F15,0)</f>
        <v>35612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94964</v>
      </c>
      <c r="D16" s="302" t="s">
        <v>711</v>
      </c>
      <c r="E16" s="302" t="s">
        <v>712</v>
      </c>
      <c r="F16" s="322">
        <f ca="1">IF(INDIRECT("'数据-取费表'!c"&amp;$G$1)="住宅",'数据-取费表'!B34,0)</f>
        <v>0.08</v>
      </c>
      <c r="G16" s="1384"/>
      <c r="H16" s="1079" t="s">
        <v>393</v>
      </c>
      <c r="I16" s="1080" t="s">
        <v>714</v>
      </c>
      <c r="J16" s="310">
        <f ca="1">ROUND(J17+J22+J23+J24,0)</f>
        <v>18436</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17806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1335432</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26709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18436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64702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-18436</v>
      </c>
      <c r="K25" s="1095" t="s">
        <v>753</v>
      </c>
      <c r="L25" s="1096"/>
      <c r="M25" s="1097"/>
    </row>
    <row r="26" spans="1:37" ht="18" customHeight="1">
      <c r="A26" s="982" t="s">
        <v>397</v>
      </c>
      <c r="B26" s="302" t="s">
        <v>754</v>
      </c>
      <c r="C26" s="21">
        <f ca="1">ROUND((C19+C20)*F26,0)</f>
        <v>272428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1843627</v>
      </c>
      <c r="D29" s="1092"/>
      <c r="E29" s="1090"/>
      <c r="F29" s="1093"/>
      <c r="G29" s="1396"/>
      <c r="H29" s="334" t="s">
        <v>396</v>
      </c>
      <c r="I29" s="335" t="s">
        <v>768</v>
      </c>
      <c r="J29" s="336">
        <f ca="1">ROUND(J26/(1+F40)^F41,0)</f>
        <v>0</v>
      </c>
      <c r="K29" s="337" t="s">
        <v>769</v>
      </c>
      <c r="L29" s="338"/>
      <c r="M29" s="339">
        <f ca="1">INDIRECT("'数据-取费表'!k"&amp;$G$1)</f>
        <v>237.41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32828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8769</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18436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1936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3687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335914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7122618</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30001</v>
      </c>
      <c r="D43" s="337" t="s">
        <v>777</v>
      </c>
      <c r="E43" s="338" t="s">
        <v>778</v>
      </c>
      <c r="F43" s="339">
        <f ca="1">INDIRECT("'数据-取费表'!k"&amp;$G$1)</f>
        <v>237.41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-744.26130000000001</v>
      </c>
      <c r="D45" s="3432" t="s">
        <v>3356</v>
      </c>
      <c r="E45" s="1400"/>
      <c r="F45" s="1400"/>
      <c r="O45" s="1403" t="s">
        <v>808</v>
      </c>
      <c r="P45" s="1461"/>
      <c r="Q45" s="1461"/>
      <c r="R45" s="1461"/>
    </row>
    <row r="46" spans="1:18" s="1384" customFormat="1" ht="13.5" thickBot="1">
      <c r="A46" s="1404" t="s">
        <v>809</v>
      </c>
      <c r="C46" s="1405">
        <f ca="1">ROUND(C45,0)</f>
        <v>-744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7122618</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1843627</v>
      </c>
      <c r="R49" s="1420" t="s">
        <v>818</v>
      </c>
    </row>
    <row r="50" spans="1:18" s="1384" customFormat="1" ht="13.5" thickBot="1">
      <c r="A50" s="976"/>
      <c r="B50" s="979"/>
      <c r="C50" s="980"/>
      <c r="D50" s="953"/>
      <c r="E50" s="1056" t="s">
        <v>697</v>
      </c>
      <c r="F50" s="1057">
        <f ca="1">F7</f>
        <v>237.41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49</v>
      </c>
      <c r="K53" s="3635" t="s">
        <v>837</v>
      </c>
      <c r="L53" s="3636"/>
      <c r="O53" s="1418" t="s">
        <v>409</v>
      </c>
      <c r="P53" s="1419" t="s">
        <v>838</v>
      </c>
      <c r="Q53" s="1420">
        <f ca="1">Q47+Q48</f>
        <v>7122618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1290539</v>
      </c>
      <c r="D56" s="1447"/>
      <c r="E56" s="1448"/>
      <c r="F56" s="1440"/>
      <c r="I56" s="1449" t="s">
        <v>842</v>
      </c>
      <c r="J56" s="1450"/>
      <c r="K56" s="1421" t="s">
        <v>843</v>
      </c>
      <c r="L56" s="1424">
        <f ca="1">IF(L48&lt;J51,"——",L48-J51)</f>
        <v>49</v>
      </c>
      <c r="O56" s="1418" t="s">
        <v>403</v>
      </c>
      <c r="P56" s="1419" t="s">
        <v>817</v>
      </c>
      <c r="Q56" s="1420">
        <f ca="1">C40+J29</f>
        <v>7122618</v>
      </c>
      <c r="R56" s="1420" t="s">
        <v>818</v>
      </c>
    </row>
    <row r="57" spans="1:18" s="1384" customFormat="1" ht="24.75" thickBot="1">
      <c r="A57" s="1451"/>
      <c r="B57" s="950" t="s">
        <v>767</v>
      </c>
      <c r="C57" s="238">
        <f ca="1">C29</f>
        <v>1843627</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20372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7122618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18436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1936</v>
      </c>
      <c r="D65" s="964" t="s">
        <v>743</v>
      </c>
      <c r="E65" s="950" t="s">
        <v>744</v>
      </c>
      <c r="F65" s="330">
        <f t="shared" ca="1" si="0"/>
        <v>1.5E-3</v>
      </c>
      <c r="I65" s="1462" t="s">
        <v>867</v>
      </c>
      <c r="J65" s="1463">
        <v>40</v>
      </c>
      <c r="K65" s="1463">
        <v>30</v>
      </c>
      <c r="L65" s="1463">
        <v>50</v>
      </c>
      <c r="M65" s="1465">
        <v>0.02</v>
      </c>
      <c r="O65" s="1418" t="s">
        <v>403</v>
      </c>
      <c r="P65" s="1419" t="s">
        <v>868</v>
      </c>
      <c r="Q65" s="1420">
        <f ca="1">C40+J29</f>
        <v>7122618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-20372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-319995</v>
      </c>
      <c r="D68" s="965" t="s">
        <v>758</v>
      </c>
      <c r="E68" s="950" t="s">
        <v>759</v>
      </c>
      <c r="F68" s="312">
        <f ca="1">F40</f>
        <v>0.06</v>
      </c>
      <c r="O68" s="1428" t="s">
        <v>406</v>
      </c>
      <c r="P68" s="1467" t="s">
        <v>871</v>
      </c>
      <c r="Q68" s="1420">
        <f ca="1">ROUND(Q69-Q70*Q71,0)</f>
        <v>252029</v>
      </c>
      <c r="R68" s="1420" t="s">
        <v>414</v>
      </c>
    </row>
    <row r="69" spans="1:18" s="1384" customFormat="1" ht="13.5" thickBot="1">
      <c r="A69" s="951"/>
      <c r="B69" s="952"/>
      <c r="C69" s="306"/>
      <c r="D69" s="970" t="s">
        <v>762</v>
      </c>
      <c r="E69" s="950" t="s">
        <v>763</v>
      </c>
      <c r="F69" s="333">
        <f ca="1">F41</f>
        <v>49</v>
      </c>
      <c r="O69" s="1428" t="s">
        <v>411</v>
      </c>
      <c r="P69" s="1467" t="s">
        <v>872</v>
      </c>
      <c r="Q69" s="1420">
        <f ca="1">C39</f>
        <v>335914</v>
      </c>
      <c r="R69" s="1420" t="s">
        <v>818</v>
      </c>
    </row>
    <row r="70" spans="1:18" s="1384" customFormat="1" ht="13.5" thickBot="1">
      <c r="A70" s="954"/>
      <c r="B70" s="955"/>
      <c r="C70" s="310"/>
      <c r="D70" s="966"/>
      <c r="E70" s="950" t="s">
        <v>766</v>
      </c>
      <c r="F70" s="1054"/>
      <c r="O70" s="1428" t="s">
        <v>412</v>
      </c>
      <c r="P70" s="1467" t="s">
        <v>873</v>
      </c>
      <c r="Q70" s="1420">
        <f ca="1">C13</f>
        <v>1290539</v>
      </c>
      <c r="R70" s="1420" t="s">
        <v>818</v>
      </c>
    </row>
    <row r="71" spans="1:18" s="1384" customFormat="1" ht="13.5" thickBot="1">
      <c r="A71" s="971" t="s">
        <v>396</v>
      </c>
      <c r="B71" s="972" t="s">
        <v>776</v>
      </c>
      <c r="C71" s="336">
        <f ca="1">ROUND(C68/F71,0)</f>
        <v>-1348</v>
      </c>
      <c r="D71" s="973" t="s">
        <v>777</v>
      </c>
      <c r="E71" s="974" t="s">
        <v>778</v>
      </c>
      <c r="F71" s="339">
        <f ca="1">F43</f>
        <v>237.41</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83885</v>
      </c>
      <c r="D75" s="1384"/>
      <c r="E75" s="1384"/>
      <c r="F75" s="1384"/>
      <c r="K75" s="1402"/>
      <c r="L75" s="1384"/>
      <c r="O75" s="1418" t="s">
        <v>409</v>
      </c>
      <c r="P75" s="1419" t="s">
        <v>838</v>
      </c>
      <c r="Q75" s="1420">
        <f ca="1">Q65+Q66</f>
        <v>7122618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0.81899999999999995</v>
      </c>
    </row>
    <row r="83" spans="2:3">
      <c r="B83" s="273" t="s">
        <v>803</v>
      </c>
      <c r="C83" s="274">
        <f ca="1">ROUND(C13/C40,3)</f>
        <v>0.18099999999999999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6" t="s">
        <v>2320</v>
      </c>
      <c r="K2" s="364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8" t="s">
        <v>2330</v>
      </c>
      <c r="K3" s="364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8" t="s">
        <v>2332</v>
      </c>
      <c r="K4" s="364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4" t="s">
        <v>2336</v>
      </c>
      <c r="B6" s="3655"/>
      <c r="C6" s="3656"/>
      <c r="D6" s="2870"/>
      <c r="E6" s="2871"/>
      <c r="F6" s="2872"/>
      <c r="G6" s="2873"/>
      <c r="H6" s="2848"/>
      <c r="I6" s="2849"/>
      <c r="J6" s="3640">
        <v>1</v>
      </c>
      <c r="K6" s="364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0"/>
      <c r="K7" s="364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7" t="s">
        <v>2350</v>
      </c>
      <c r="C8" s="3658"/>
      <c r="D8" s="2889" t="s">
        <v>2351</v>
      </c>
      <c r="E8" s="2890" t="s">
        <v>2352</v>
      </c>
      <c r="F8" s="2891" t="s">
        <v>2353</v>
      </c>
      <c r="G8" s="2892"/>
      <c r="H8" s="2848"/>
      <c r="I8" s="2849"/>
      <c r="J8" s="3640"/>
      <c r="K8" s="364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7" t="s">
        <v>2356</v>
      </c>
      <c r="C9" s="3658"/>
      <c r="D9" s="2889">
        <f>ROUND(D6*E9,0)</f>
        <v>0</v>
      </c>
      <c r="E9" s="2893"/>
      <c r="F9" s="2894" t="s">
        <v>2357</v>
      </c>
      <c r="G9" s="2873"/>
      <c r="H9" s="2848"/>
      <c r="I9" s="2849"/>
      <c r="J9" s="3640"/>
      <c r="K9" s="3642"/>
      <c r="L9" s="2883" t="s">
        <v>2358</v>
      </c>
      <c r="M9" s="2884"/>
      <c r="N9" s="2860"/>
      <c r="O9" s="2885"/>
      <c r="P9" s="2885"/>
      <c r="Q9" s="2886">
        <v>365</v>
      </c>
      <c r="R9" s="2887">
        <f t="shared" si="0"/>
        <v>0</v>
      </c>
      <c r="S9" s="2841"/>
      <c r="T9" s="2841"/>
      <c r="U9" s="2841"/>
      <c r="V9" s="2849"/>
    </row>
    <row r="10" spans="1:22" s="2853" customFormat="1" ht="13.15" customHeight="1">
      <c r="A10" s="2888">
        <v>2</v>
      </c>
      <c r="B10" s="3657" t="s">
        <v>2359</v>
      </c>
      <c r="C10" s="3658"/>
      <c r="D10" s="2889">
        <f>ROUND(D6*E10,0)</f>
        <v>0</v>
      </c>
      <c r="E10" s="2893"/>
      <c r="F10" s="2894" t="s">
        <v>2360</v>
      </c>
      <c r="G10" s="2873"/>
      <c r="H10" s="2848"/>
      <c r="I10" s="2849"/>
      <c r="J10" s="3640"/>
      <c r="K10" s="3642"/>
      <c r="L10" s="2883" t="s">
        <v>2361</v>
      </c>
      <c r="M10" s="2884"/>
      <c r="N10" s="2860"/>
      <c r="O10" s="2885"/>
      <c r="P10" s="2885"/>
      <c r="Q10" s="2886">
        <v>365</v>
      </c>
      <c r="R10" s="2887">
        <f t="shared" si="0"/>
        <v>0</v>
      </c>
      <c r="S10" s="2841"/>
      <c r="T10" s="2841"/>
      <c r="U10" s="2841"/>
      <c r="V10" s="2849"/>
    </row>
    <row r="11" spans="1:22" s="2853" customFormat="1" ht="13.15" customHeight="1">
      <c r="A11" s="2888">
        <v>3</v>
      </c>
      <c r="B11" s="3657" t="s">
        <v>2362</v>
      </c>
      <c r="C11" s="3658"/>
      <c r="D11" s="2889">
        <f>D12+D14+D15+D16</f>
        <v>0</v>
      </c>
      <c r="E11" s="2895" t="e">
        <f>D11/D6</f>
        <v>#DIV/0!</v>
      </c>
      <c r="F11" s="2891"/>
      <c r="G11" s="2892"/>
      <c r="H11" s="2848"/>
      <c r="I11" s="2849"/>
      <c r="J11" s="3640"/>
      <c r="K11" s="364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0" t="s">
        <v>2365</v>
      </c>
      <c r="C12" s="3651"/>
      <c r="D12" s="2897">
        <f>ROUND(D13*1.2%*(1-30%),0)</f>
        <v>0</v>
      </c>
      <c r="E12" s="2898">
        <v>1.2E-2</v>
      </c>
      <c r="F12" s="2891" t="s">
        <v>2366</v>
      </c>
      <c r="G12" s="2892"/>
      <c r="H12" s="2848"/>
      <c r="I12" s="2849"/>
      <c r="J12" s="3640"/>
      <c r="K12" s="364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0"/>
      <c r="K13" s="364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0" t="s">
        <v>2371</v>
      </c>
      <c r="C14" s="3651"/>
      <c r="D14" s="2897">
        <f>ROUND(E14*B5/10000,0)</f>
        <v>0</v>
      </c>
      <c r="E14" s="2886"/>
      <c r="F14" s="2891" t="s">
        <v>2372</v>
      </c>
      <c r="G14" s="2892"/>
      <c r="H14" s="2848"/>
      <c r="I14" s="2849"/>
      <c r="J14" s="3640"/>
      <c r="K14" s="364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0" t="s">
        <v>2375</v>
      </c>
      <c r="C15" s="3651"/>
      <c r="D15" s="2897">
        <f>ROUND(D6*E15,0)</f>
        <v>0</v>
      </c>
      <c r="E15" s="2898">
        <v>5.5E-2</v>
      </c>
      <c r="F15" s="2891" t="s">
        <v>2376</v>
      </c>
      <c r="G15" s="2873"/>
      <c r="H15" s="2848"/>
      <c r="I15" s="2849"/>
      <c r="J15" s="3640">
        <v>2</v>
      </c>
      <c r="K15" s="364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0" t="s">
        <v>2384</v>
      </c>
      <c r="C16" s="3651"/>
      <c r="D16" s="2908">
        <f>D6*E16</f>
        <v>0</v>
      </c>
      <c r="E16" s="2909"/>
      <c r="F16" s="2894" t="s">
        <v>2385</v>
      </c>
      <c r="G16" s="2873"/>
      <c r="H16" s="2848"/>
      <c r="I16" s="2849"/>
      <c r="J16" s="3640"/>
      <c r="K16" s="364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2387</v>
      </c>
      <c r="C17" s="3653"/>
      <c r="D17" s="2911">
        <f>ROUND(D6*E17,0)</f>
        <v>0</v>
      </c>
      <c r="E17" s="2912"/>
      <c r="F17" s="2913" t="s">
        <v>2388</v>
      </c>
      <c r="G17" s="2873"/>
      <c r="H17" s="2848"/>
      <c r="I17" s="2849"/>
      <c r="J17" s="3640"/>
      <c r="K17" s="364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0"/>
      <c r="K18" s="364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0"/>
      <c r="K19" s="364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0"/>
      <c r="K21" s="364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0"/>
      <c r="K22" s="364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0"/>
      <c r="K23" s="364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0"/>
      <c r="K24" s="364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6" t="s">
        <v>2320</v>
      </c>
      <c r="K32" s="364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8" t="s">
        <v>2330</v>
      </c>
      <c r="K33" s="364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8" t="s">
        <v>2332</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0">
        <v>1</v>
      </c>
      <c r="K36" s="364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0"/>
      <c r="K40" s="364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712.26179999999999</v>
      </c>
      <c r="C2" s="1872" t="s">
        <v>1651</v>
      </c>
      <c r="D2" s="1873" t="s">
        <v>1652</v>
      </c>
      <c r="E2" s="2607">
        <f>SUM(E6:E13)</f>
        <v>237.41</v>
      </c>
      <c r="F2" s="2707"/>
      <c r="G2" s="1489"/>
      <c r="H2" s="1489"/>
      <c r="I2" s="1489"/>
      <c r="J2" s="1489"/>
      <c r="K2" s="1489"/>
      <c r="L2" s="1489"/>
      <c r="M2" s="1489"/>
      <c r="N2" s="1489"/>
      <c r="O2" s="1489"/>
      <c r="P2" s="1489"/>
      <c r="Q2" s="1489"/>
      <c r="R2" s="1489"/>
      <c r="S2" s="1489"/>
    </row>
    <row r="3" spans="1:22" ht="15.75">
      <c r="A3" s="1870" t="s">
        <v>686</v>
      </c>
      <c r="B3" s="2601">
        <f ca="1">ROUND(B2*10000/E2,0)</f>
        <v>30001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712.26179999999999</v>
      </c>
      <c r="C6" s="1872" t="s">
        <v>1651</v>
      </c>
      <c r="D6" s="2709"/>
      <c r="E6" s="2606">
        <f>IF(OR(A6=0,F6="否"),0,'数据-取费表'!K6+'数据-取费表'!S6)</f>
        <v>237.41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237.41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237.41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45428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237.41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45428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237.41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45428</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估价对象为北京市房地产，为所有。根据《国有土地使用证》[]，估价对象（分摊）出让国有建设用地使用权面积为0平方米，建筑面积为237.41平方米。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45428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664"/>
      <c r="Q10" s="1343" t="str">
        <f t="shared" si="6"/>
        <v>土地使用年限（年）</v>
      </c>
      <c r="R10" s="701" t="s">
        <v>14</v>
      </c>
      <c r="S10" s="702">
        <f t="shared" si="0"/>
        <v>108</v>
      </c>
      <c r="T10" s="701" t="s">
        <v>14</v>
      </c>
      <c r="U10" s="702">
        <f t="shared" si="1"/>
        <v>108</v>
      </c>
      <c r="V10" s="701" t="s">
        <v>14</v>
      </c>
      <c r="W10" s="702">
        <f t="shared" si="2"/>
        <v>108</v>
      </c>
      <c r="X10" s="703"/>
      <c r="Y10" s="3539"/>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237.41</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237.41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664"/>
      <c r="Q10" s="1343" t="str">
        <f t="shared" si="6"/>
        <v>土地使用年限（年）</v>
      </c>
      <c r="R10" s="701" t="s">
        <v>14</v>
      </c>
      <c r="S10" s="702">
        <f t="shared" si="0"/>
        <v>108</v>
      </c>
      <c r="T10" s="701" t="s">
        <v>14</v>
      </c>
      <c r="U10" s="702">
        <f t="shared" si="1"/>
        <v>108</v>
      </c>
      <c r="V10" s="701" t="s">
        <v>14</v>
      </c>
      <c r="W10" s="702">
        <f t="shared" si="2"/>
        <v>108</v>
      </c>
      <c r="X10" s="703"/>
      <c r="Y10" s="3539"/>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237.41</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1344.6805999999999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56640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8474041.620000001</v>
      </c>
      <c r="D5" s="211" t="s">
        <v>1469</v>
      </c>
      <c r="E5" s="212" t="s">
        <v>1470</v>
      </c>
      <c r="F5" s="212" t="s">
        <v>1471</v>
      </c>
      <c r="G5" s="213"/>
    </row>
    <row r="6" spans="1:8" s="214" customFormat="1" ht="13.5" customHeight="1">
      <c r="A6" s="778" t="s">
        <v>1472</v>
      </c>
      <c r="B6" s="215" t="s">
        <v>1473</v>
      </c>
      <c r="C6" s="216">
        <f>基准地价修正!C33*'数据-基础表'!I13</f>
        <v>8186371.6200000001</v>
      </c>
      <c r="D6" s="217"/>
      <c r="E6" s="218"/>
      <c r="F6" s="218"/>
      <c r="G6" s="219"/>
    </row>
    <row r="7" spans="1:8" s="214" customFormat="1" ht="13.5" customHeight="1">
      <c r="A7" s="778" t="s">
        <v>1474</v>
      </c>
      <c r="B7" s="215" t="s">
        <v>1475</v>
      </c>
      <c r="C7" s="220">
        <f>ROUND(C6*F7,0)</f>
        <v>249684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37986</v>
      </c>
      <c r="D8" s="222"/>
      <c r="E8" s="220"/>
      <c r="F8" s="221"/>
      <c r="G8" s="1856" t="s">
        <v>3407</v>
      </c>
    </row>
    <row r="9" spans="1:8" s="214" customFormat="1" ht="13.5" customHeight="1">
      <c r="A9" s="779" t="s">
        <v>355</v>
      </c>
      <c r="B9" s="224" t="s">
        <v>1478</v>
      </c>
      <c r="C9" s="225">
        <f ca="1">ROUND(D9*E9,0)</f>
        <v>37986</v>
      </c>
      <c r="D9" s="845">
        <f ca="1">IF(B1="",'数据-汇总表'!E5,IF(INDIRECT("'数据-取费表'!c"&amp;$G$1)="住宅",INDIRECT("'数据-取费表'!k"&amp;$G$1),0))</f>
        <v>237.41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237.41</v>
      </c>
      <c r="E19" s="211">
        <f>'数据-取费表'!B31</f>
        <v>200</v>
      </c>
      <c r="F19" s="231"/>
      <c r="G19" s="1856" t="s">
        <v>3408</v>
      </c>
    </row>
    <row r="20" spans="1:7" s="214" customFormat="1" ht="13.5" customHeight="1">
      <c r="A20" s="255" t="s">
        <v>1574</v>
      </c>
      <c r="B20" s="210" t="s">
        <v>1575</v>
      </c>
      <c r="C20" s="232">
        <f ca="1">ROUND((C5+C19)*F20,0)</f>
        <v>169481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832204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824154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8050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1728705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1728705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12156267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1335432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1187050</v>
      </c>
      <c r="D34" s="217"/>
      <c r="E34" s="220"/>
      <c r="F34" s="257"/>
      <c r="G34" s="219"/>
    </row>
    <row r="35" spans="1:7" ht="13.5" customHeight="1">
      <c r="A35" s="780" t="s">
        <v>351</v>
      </c>
      <c r="B35" s="215" t="s">
        <v>1527</v>
      </c>
      <c r="C35" s="220">
        <f ca="1">ROUND(C34*F35,0)</f>
        <v>35612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94964</v>
      </c>
      <c r="D36" s="220"/>
      <c r="E36" s="220"/>
      <c r="F36" s="259">
        <f>'数据-取费表'!B34</f>
        <v>0.08</v>
      </c>
      <c r="G36" s="260" t="s">
        <v>1530</v>
      </c>
    </row>
    <row r="37" spans="1:7" s="258" customFormat="1" ht="13.5" customHeight="1">
      <c r="A37" s="780" t="s">
        <v>353</v>
      </c>
      <c r="B37" s="215" t="s">
        <v>1531</v>
      </c>
      <c r="C37" s="249">
        <f ca="1">ROUND(E37*D37,0)</f>
        <v>0</v>
      </c>
      <c r="D37" s="217">
        <f ca="1">D19</f>
        <v>237.41</v>
      </c>
      <c r="E37" s="249">
        <f>'数据-取费表'!B35</f>
        <v>0</v>
      </c>
      <c r="F37" s="259"/>
      <c r="G37" s="261"/>
    </row>
    <row r="38" spans="1:7" ht="13.5" customHeight="1">
      <c r="A38" s="780" t="s">
        <v>354</v>
      </c>
      <c r="B38" s="215" t="s">
        <v>1533</v>
      </c>
      <c r="C38" s="220">
        <f ca="1">ROUND(C34*F38,0)</f>
        <v>17806</v>
      </c>
      <c r="D38" s="220"/>
      <c r="E38" s="220"/>
      <c r="F38" s="259">
        <f>'数据-取费表'!B36</f>
        <v>1.4999999999999999E-2</v>
      </c>
      <c r="G38" s="219" t="s">
        <v>1528</v>
      </c>
    </row>
    <row r="39" spans="1:7" s="214" customFormat="1" ht="13.5" customHeight="1">
      <c r="A39" s="255" t="s">
        <v>1534</v>
      </c>
      <c r="B39" s="210" t="s">
        <v>1535</v>
      </c>
      <c r="C39" s="232">
        <f ca="1">ROUND(C33*F20,0)</f>
        <v>26709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64702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63433</v>
      </c>
      <c r="D42" s="238"/>
      <c r="E42" s="238"/>
      <c r="F42" s="239"/>
      <c r="G42" s="3632" t="s">
        <v>1591</v>
      </c>
    </row>
    <row r="43" spans="1:7" ht="13.5" customHeight="1">
      <c r="A43" s="780" t="s">
        <v>347</v>
      </c>
      <c r="B43" s="215" t="s">
        <v>1545</v>
      </c>
      <c r="C43" s="238">
        <f ca="1">ROUND(IF('数据-取费表'!B22&lt;=1,C39*F22*'数据-取费表'!B20/2,C39*(POWER((1+F22),'数据-取费表'!B20/2)-1)),0)</f>
        <v>1269</v>
      </c>
      <c r="D43" s="238"/>
      <c r="E43" s="238"/>
      <c r="F43" s="239"/>
      <c r="G43" s="3633"/>
    </row>
    <row r="44" spans="1:7" ht="13.5" customHeight="1">
      <c r="A44" s="780" t="s">
        <v>348</v>
      </c>
      <c r="B44" s="215" t="s">
        <v>1546</v>
      </c>
      <c r="C44" s="238">
        <f ca="1">ROUND(IF('数据-取费表'!B22&lt;=1,C40*F22*'数据-取费表'!B20/2,C40*(POWER((1+F22),'数据-取费表'!B20/2)-1)),4)</f>
        <v>1E-3</v>
      </c>
      <c r="D44" s="238"/>
      <c r="E44" s="238"/>
      <c r="F44" s="239"/>
      <c r="G44" s="3634"/>
    </row>
    <row r="45" spans="1:7" s="214" customFormat="1" ht="13.5" customHeight="1">
      <c r="A45" s="255" t="s">
        <v>1547</v>
      </c>
      <c r="B45" s="244" t="s">
        <v>1513</v>
      </c>
      <c r="C45" s="245">
        <f ca="1">C46</f>
        <v>272428</v>
      </c>
      <c r="D45" s="235">
        <f ca="1">C47</f>
        <v>4.0000000000000001E-3</v>
      </c>
      <c r="E45" s="236" t="s">
        <v>1539</v>
      </c>
      <c r="F45" s="246">
        <f ca="1">F27</f>
        <v>0.2</v>
      </c>
      <c r="G45" s="247" t="s">
        <v>1548</v>
      </c>
    </row>
    <row r="46" spans="1:7" s="214" customFormat="1" ht="13.5" customHeight="1">
      <c r="A46" s="780" t="s">
        <v>346</v>
      </c>
      <c r="B46" s="248" t="s">
        <v>1549</v>
      </c>
      <c r="C46" s="249">
        <f ca="1">ROUND((C33+C39)*F27,0)</f>
        <v>272428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1843627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1290539</v>
      </c>
      <c r="D51" s="232"/>
      <c r="E51" s="232"/>
      <c r="F51" s="264"/>
      <c r="G51" s="234" t="s">
        <v>1560</v>
      </c>
    </row>
    <row r="52" spans="1:7" s="208" customFormat="1" ht="16.5" thickBot="1">
      <c r="A52" s="265" t="s">
        <v>1561</v>
      </c>
      <c r="B52" s="266"/>
      <c r="C52" s="267">
        <f ca="1">C31+C51</f>
        <v>13446806</v>
      </c>
      <c r="D52" s="266"/>
      <c r="E52" s="266"/>
      <c r="F52" s="266"/>
      <c r="G52" s="268"/>
    </row>
    <row r="55" spans="1:7" ht="15">
      <c r="B55" s="270" t="s">
        <v>1562</v>
      </c>
      <c r="C55" s="271"/>
    </row>
    <row r="56" spans="1:7">
      <c r="B56" s="273" t="s">
        <v>802</v>
      </c>
      <c r="C56" s="275">
        <f ca="1">1-C57</f>
        <v>0.90400000000000003</v>
      </c>
    </row>
    <row r="57" spans="1:7">
      <c r="B57" s="273" t="s">
        <v>803</v>
      </c>
      <c r="C57" s="274">
        <f ca="1">ROUND(C51/C52,3)</f>
        <v>9.6000000000000002E-2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74" sqref="F7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3390</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Ⅱ—05</v>
      </c>
      <c r="J2" s="2002"/>
      <c r="K2" s="1119"/>
      <c r="L2" s="2003" t="s">
        <v>1939</v>
      </c>
      <c r="M2" s="864">
        <f>SUMPRODUCT((区片价!B10:B29=I2)*(区片价!C3:G3=E2)*(区片价!C10:G29))</f>
        <v>29400</v>
      </c>
      <c r="N2" s="866">
        <f>SUMPRODUCT((因素修正幅度!B10:B29=I2)*(因素修正幅度!C3:G3=E2)*(因素修正幅度!C10:G29))</f>
        <v>9.7000000000000003E-2</v>
      </c>
      <c r="O2" s="1119"/>
      <c r="P2" s="1119"/>
      <c r="Q2" s="1119"/>
      <c r="R2" s="1212">
        <v>1</v>
      </c>
      <c r="S2" s="3361">
        <f>ROUND(SUMPRODUCT((B106:B110=R2)*(C105:N105=G2)*(C106:N110)),4)</f>
        <v>1.5206</v>
      </c>
      <c r="T2" s="3361">
        <f t="shared" ref="T2:T16" si="0">ROUND($C$5*$C$22*$C$23*$C$24*S2*$C$28,0)</f>
        <v>52433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41627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35968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32320</v>
      </c>
      <c r="D5" s="1339">
        <f>ROUND(C6*C17+C20,0)</f>
        <v>29380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32548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29400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31020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25.5">
      <c r="A8" s="3299"/>
      <c r="B8" s="170" t="s">
        <v>1957</v>
      </c>
      <c r="C8" s="2026" t="s">
        <v>3409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1.05</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1.1000000000000001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3401</v>
      </c>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1.1000000000000001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3257</v>
      </c>
      <c r="B20" s="167" t="s">
        <v>1994</v>
      </c>
      <c r="C20" s="3325">
        <f>ROUND(IF(F21="与级别开发程度一致",0,(G21-E21)/C21),0)</f>
        <v>-20</v>
      </c>
      <c r="D20" s="3341" t="s">
        <v>1998</v>
      </c>
      <c r="E20" s="3342"/>
      <c r="F20" s="3754" t="s">
        <v>1995</v>
      </c>
      <c r="G20" s="3755"/>
      <c r="H20" s="3326" t="s">
        <v>3394</v>
      </c>
      <c r="I20" s="3326" t="s">
        <v>3395</v>
      </c>
      <c r="J20" s="3327" t="s">
        <v>3396</v>
      </c>
      <c r="K20" s="2047" t="s">
        <v>3397</v>
      </c>
      <c r="L20" s="2047" t="s">
        <v>3398</v>
      </c>
      <c r="M20" s="2047" t="s">
        <v>3399</v>
      </c>
      <c r="N20" s="2047"/>
      <c r="O20" s="2048" t="s">
        <v>3400</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3393</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2054" t="s">
        <v>2002</v>
      </c>
      <c r="E23" s="761">
        <v>44197</v>
      </c>
      <c r="F23" s="2054" t="s">
        <v>2003</v>
      </c>
      <c r="G23" s="762">
        <f>'数据-取费表'!B2</f>
        <v>45428</v>
      </c>
      <c r="H23" s="3343" t="s">
        <v>3259</v>
      </c>
      <c r="I23" s="3344" t="str">
        <f>IF(H23="季度增幅（自定义）",SUMIF(N25:N28,E2,O25:O28),"")</f>
        <v/>
      </c>
      <c r="J23" s="3446" t="s">
        <v>3258</v>
      </c>
      <c r="K23" s="1125"/>
      <c r="L23" s="2055" t="s">
        <v>2004</v>
      </c>
      <c r="M23" s="1328">
        <f>ROUND(SUMIF(地价!B2:G2,E2,地价!B16:G16),0)</f>
        <v>687</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49</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1.0563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34482</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8621</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21942</v>
      </c>
      <c r="D37" s="2098"/>
      <c r="E37" s="171">
        <f>ROUND(C37*D37/10000,0)</f>
        <v>0</v>
      </c>
      <c r="F37" s="171">
        <f>SUMIF(修正!A57:A68,G2,修正!B57:B68)</f>
        <v>0.7</v>
      </c>
      <c r="G37" s="171">
        <f>ROUND(IF(E2="工业",C37*$M$42,C37*$M$41),0)</f>
        <v>5486</v>
      </c>
      <c r="H37" s="171">
        <f>D37</f>
        <v>0</v>
      </c>
      <c r="I37" s="171">
        <f>ROUND(G37*H37/10000,0)</f>
        <v>0</v>
      </c>
      <c r="J37" s="3012"/>
      <c r="K37" s="3359" t="s">
        <v>3269</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12538</v>
      </c>
      <c r="D38" s="2098"/>
      <c r="E38" s="171">
        <f t="shared" ref="E38:E42" si="4">ROUND(C38*D38/10000,0)</f>
        <v>0</v>
      </c>
      <c r="F38" s="171">
        <f>SUMIF(修正!A57:A68,G2,修正!C57:C68)</f>
        <v>0.4</v>
      </c>
      <c r="G38" s="171">
        <f>ROUND(IF(E2="工业",C38*$M$42,C38*$M$41),0)</f>
        <v>3135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9404</v>
      </c>
      <c r="D39" s="2098"/>
      <c r="E39" s="171">
        <f t="shared" si="4"/>
        <v>0</v>
      </c>
      <c r="F39" s="171">
        <f>SUMIF(修正!A57:A68,G2,修正!D57:D68)</f>
        <v>0.3</v>
      </c>
      <c r="G39" s="171">
        <f>ROUND(IF(E2="工业",C39*$M$42,C39*$M$41),0)</f>
        <v>2351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9404</v>
      </c>
      <c r="D40" s="2098"/>
      <c r="E40" s="171">
        <f t="shared" si="4"/>
        <v>0</v>
      </c>
      <c r="F40" s="175">
        <f>SUMIF(修正!A57:A68,G2,修正!E57:E68)</f>
        <v>0.3</v>
      </c>
      <c r="G40" s="171">
        <f>ROUND(IF(E2="工业",C40*$M$42,C40*$M$41),0)</f>
        <v>2351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1.0563</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3410</v>
      </c>
      <c r="D72" s="1065">
        <f t="shared" ref="D72:D80" si="17">SUMIF($J$71:$N$71,C72,J72:N72)</f>
        <v>9.7000000000000003E-3</v>
      </c>
      <c r="E72" s="744">
        <f>ROUND(SUM(D72:D80),4)</f>
        <v>5.6300000000000003E-2</v>
      </c>
      <c r="F72" s="1814">
        <f>IF(E2="住宅",SUMIF(L1:L12,G2,N1:N12),"——")</f>
        <v>9.7000000000000003E-2</v>
      </c>
      <c r="G72" s="1063">
        <v>9.7000000000000003E-3</v>
      </c>
      <c r="H72" s="1066">
        <f t="shared" ref="G72:H80" si="18">IFERROR(ROUNDDOWN($F$72*I72/2,4),"——")</f>
        <v>9.7000000000000003E-3</v>
      </c>
      <c r="I72" s="3367">
        <v>0.2</v>
      </c>
      <c r="J72" s="1064">
        <f t="shared" ref="J72:J80" si="19">K72+$G72</f>
        <v>1.9400000000000001E-2</v>
      </c>
      <c r="K72" s="1064">
        <f t="shared" ref="K72:K80" si="20">$L72+$G72</f>
        <v>9.7000000000000003E-3</v>
      </c>
      <c r="L72" s="1064">
        <v>0</v>
      </c>
      <c r="M72" s="1064">
        <f t="shared" ref="M72:N80" si="21">L72-$G72</f>
        <v>-9.7000000000000003E-3</v>
      </c>
      <c r="N72" s="1064">
        <f t="shared" si="21"/>
        <v>-1.9400000000000001E-2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3410</v>
      </c>
      <c r="D73" s="1065">
        <f t="shared" si="17"/>
        <v>1.26E-2</v>
      </c>
      <c r="E73" s="747"/>
      <c r="F73" s="1814"/>
      <c r="G73" s="1063">
        <v>1.26E-2</v>
      </c>
      <c r="H73" s="1066">
        <f t="shared" si="18"/>
        <v>1.26E-2</v>
      </c>
      <c r="I73" s="3367">
        <v>0.26</v>
      </c>
      <c r="J73" s="1064">
        <f t="shared" si="19"/>
        <v>2.52E-2</v>
      </c>
      <c r="K73" s="1064">
        <f t="shared" si="20"/>
        <v>1.26E-2</v>
      </c>
      <c r="L73" s="1064">
        <v>0</v>
      </c>
      <c r="M73" s="1064">
        <f t="shared" si="21"/>
        <v>-1.26E-2</v>
      </c>
      <c r="N73" s="1064">
        <f t="shared" si="21"/>
        <v>-2.52E-2</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t="s">
        <v>3410</v>
      </c>
      <c r="D74" s="1065">
        <f t="shared" si="17"/>
        <v>4.7999999999999996E-3</v>
      </c>
      <c r="E74" s="747"/>
      <c r="F74" s="1814"/>
      <c r="G74" s="1063">
        <v>4.7999999999999996E-3</v>
      </c>
      <c r="H74" s="1066">
        <f t="shared" si="18"/>
        <v>4.7999999999999996E-3</v>
      </c>
      <c r="I74" s="3367">
        <v>0.1</v>
      </c>
      <c r="J74" s="1064">
        <f t="shared" si="19"/>
        <v>9.5999999999999992E-3</v>
      </c>
      <c r="K74" s="1064">
        <f t="shared" si="20"/>
        <v>4.7999999999999996E-3</v>
      </c>
      <c r="L74" s="1064">
        <v>0</v>
      </c>
      <c r="M74" s="1064">
        <f t="shared" si="21"/>
        <v>-4.7999999999999996E-3</v>
      </c>
      <c r="N74" s="1064">
        <f t="shared" si="21"/>
        <v>-9.5999999999999992E-3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3410</v>
      </c>
      <c r="D75" s="1065">
        <f t="shared" si="17"/>
        <v>2.3999999999999998E-3</v>
      </c>
      <c r="E75" s="747"/>
      <c r="F75" s="1814"/>
      <c r="G75" s="1063">
        <v>2.3999999999999998E-3</v>
      </c>
      <c r="H75" s="1066">
        <f t="shared" si="18"/>
        <v>2.3999999999999998E-3</v>
      </c>
      <c r="I75" s="3367">
        <v>0.05</v>
      </c>
      <c r="J75" s="1064">
        <f t="shared" si="19"/>
        <v>4.7999999999999996E-3</v>
      </c>
      <c r="K75" s="1064">
        <f t="shared" si="20"/>
        <v>2.3999999999999998E-3</v>
      </c>
      <c r="L75" s="1064">
        <v>0</v>
      </c>
      <c r="M75" s="1064">
        <f t="shared" si="21"/>
        <v>-2.3999999999999998E-3</v>
      </c>
      <c r="N75" s="1064">
        <f t="shared" si="21"/>
        <v>-4.7999999999999996E-3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3411</v>
      </c>
      <c r="D76" s="1065">
        <f t="shared" si="17"/>
        <v>7.6E-3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5.5">
      <c r="A77" s="2130" t="s">
        <v>2060</v>
      </c>
      <c r="B77" s="1326" t="str">
        <f>估价对象房地状况!C22</f>
        <v>估价对象所在区域基础设施水平</v>
      </c>
      <c r="C77" s="2044" t="s">
        <v>3411</v>
      </c>
      <c r="D77" s="1065">
        <f t="shared" si="17"/>
        <v>8.6E-3</v>
      </c>
      <c r="E77" s="747"/>
      <c r="F77" s="1814"/>
      <c r="G77" s="1063">
        <v>4.3E-3</v>
      </c>
      <c r="H77" s="1066">
        <f t="shared" si="18"/>
        <v>4.3E-3</v>
      </c>
      <c r="I77" s="3367">
        <v>0.09</v>
      </c>
      <c r="J77" s="1064">
        <f t="shared" si="19"/>
        <v>8.6E-3</v>
      </c>
      <c r="K77" s="1064">
        <f t="shared" si="20"/>
        <v>4.3E-3</v>
      </c>
      <c r="L77" s="1064">
        <v>0</v>
      </c>
      <c r="M77" s="1064">
        <f t="shared" si="21"/>
        <v>-4.3E-3</v>
      </c>
      <c r="N77" s="1064">
        <f t="shared" si="21"/>
        <v>-8.6E-3</v>
      </c>
      <c r="O77" s="1119"/>
      <c r="P77" s="1119"/>
      <c r="Z77" s="1998"/>
      <c r="AA77" s="2053"/>
      <c r="AG77" s="1121"/>
      <c r="AK77" s="2053"/>
    </row>
    <row r="78" spans="1:37" ht="24">
      <c r="A78" s="2130" t="s">
        <v>2057</v>
      </c>
      <c r="B78" s="2136" t="s">
        <v>2058</v>
      </c>
      <c r="C78" s="2044" t="s">
        <v>3410</v>
      </c>
      <c r="D78" s="1065">
        <f t="shared" si="17"/>
        <v>2.3999999999999998E-3</v>
      </c>
      <c r="E78" s="747"/>
      <c r="F78" s="1814"/>
      <c r="G78" s="1063">
        <v>2.3999999999999998E-3</v>
      </c>
      <c r="H78" s="1066">
        <f t="shared" si="18"/>
        <v>2.3999999999999998E-3</v>
      </c>
      <c r="I78" s="3367">
        <v>0.05</v>
      </c>
      <c r="J78" s="1064">
        <f t="shared" si="19"/>
        <v>4.7999999999999996E-3</v>
      </c>
      <c r="K78" s="1064">
        <f t="shared" si="20"/>
        <v>2.3999999999999998E-3</v>
      </c>
      <c r="L78" s="1064">
        <v>0</v>
      </c>
      <c r="M78" s="1064">
        <f t="shared" si="21"/>
        <v>-2.3999999999999998E-3</v>
      </c>
      <c r="N78" s="1064">
        <f t="shared" si="21"/>
        <v>-4.7999999999999996E-3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3410</v>
      </c>
      <c r="D79" s="1065">
        <f t="shared" si="17"/>
        <v>5.7999999999999996E-3</v>
      </c>
      <c r="E79" s="747"/>
      <c r="F79" s="1814"/>
      <c r="G79" s="1063">
        <v>5.7999999999999996E-3</v>
      </c>
      <c r="H79" s="1066">
        <f t="shared" si="18"/>
        <v>5.7999999999999996E-3</v>
      </c>
      <c r="I79" s="3367">
        <v>0.12</v>
      </c>
      <c r="J79" s="1064">
        <f t="shared" si="19"/>
        <v>1.1599999999999999E-2</v>
      </c>
      <c r="K79" s="1064">
        <f t="shared" si="20"/>
        <v>5.7999999999999996E-3</v>
      </c>
      <c r="L79" s="1064">
        <v>0</v>
      </c>
      <c r="M79" s="1064">
        <f t="shared" si="21"/>
        <v>-5.7999999999999996E-3</v>
      </c>
      <c r="N79" s="1064">
        <f t="shared" si="21"/>
        <v>-1.1599999999999999E-2</v>
      </c>
      <c r="Z79" s="1998"/>
      <c r="AA79" s="2053"/>
      <c r="AG79" s="1121"/>
      <c r="AK79" s="2053"/>
    </row>
    <row r="80" spans="1:37" ht="24.75" thickBot="1">
      <c r="A80" s="2138" t="s">
        <v>2068</v>
      </c>
      <c r="B80" s="2142"/>
      <c r="C80" s="2044" t="s">
        <v>3410</v>
      </c>
      <c r="D80" s="1065">
        <f t="shared" si="17"/>
        <v>2.3999999999999998E-3</v>
      </c>
      <c r="E80" s="748"/>
      <c r="F80" s="1814"/>
      <c r="G80" s="1063">
        <v>2.3999999999999998E-3</v>
      </c>
      <c r="H80" s="1066">
        <f t="shared" si="18"/>
        <v>2.3999999999999998E-3</v>
      </c>
      <c r="I80" s="3368">
        <v>0.05</v>
      </c>
      <c r="J80" s="1064">
        <f t="shared" si="19"/>
        <v>4.7999999999999996E-3</v>
      </c>
      <c r="K80" s="1064">
        <f t="shared" si="20"/>
        <v>2.3999999999999998E-3</v>
      </c>
      <c r="L80" s="1064">
        <v>0</v>
      </c>
      <c r="M80" s="1064">
        <f t="shared" si="21"/>
        <v>-2.3999999999999998E-3</v>
      </c>
      <c r="N80" s="1064">
        <f t="shared" si="21"/>
        <v>-4.7999999999999996E-3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2.5</v>
      </c>
      <c r="C116" s="3400" t="s">
        <v>3316</v>
      </c>
      <c r="D116" s="3401">
        <f>SUMPRODUCT((A118:A122=F116)*(B117:M117=H116)*B118:M122)</f>
        <v>0.91610000000000003</v>
      </c>
      <c r="E116" s="2000" t="s">
        <v>3317</v>
      </c>
      <c r="F116" s="3402" t="str">
        <f>E2</f>
        <v>住宅</v>
      </c>
      <c r="G116" s="2000" t="s">
        <v>3318</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3332</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3333</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3334</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7" sqref="I7"/>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60"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60" t="s">
        <v>2615</v>
      </c>
      <c r="C27" s="3103" t="s">
        <v>2455</v>
      </c>
      <c r="D27" s="3104"/>
      <c r="E27" s="3105">
        <v>1</v>
      </c>
      <c r="F27" s="3106" t="s">
        <v>2456</v>
      </c>
      <c r="G27" s="3106"/>
    </row>
    <row r="28" spans="1:13" ht="19.5" customHeight="1">
      <c r="A28" s="3763"/>
      <c r="B28" s="3759"/>
      <c r="C28" s="3107" t="s">
        <v>2457</v>
      </c>
      <c r="D28" s="3108"/>
      <c r="E28" s="3109">
        <v>1</v>
      </c>
      <c r="F28" s="3106" t="s">
        <v>2458</v>
      </c>
      <c r="G28" s="3106"/>
    </row>
    <row r="29" spans="1:13" ht="19.5" customHeight="1">
      <c r="A29" s="3763"/>
      <c r="B29" s="3759"/>
      <c r="C29" s="3107" t="s">
        <v>2459</v>
      </c>
      <c r="D29" s="3108"/>
      <c r="E29" s="3109">
        <v>0.8</v>
      </c>
      <c r="F29" s="3106" t="s">
        <v>2460</v>
      </c>
      <c r="G29" s="3106"/>
    </row>
    <row r="30" spans="1:13" ht="19.5" customHeight="1">
      <c r="A30" s="3763"/>
      <c r="B30" s="3759"/>
      <c r="C30" s="3107" t="s">
        <v>2461</v>
      </c>
      <c r="D30" s="3108"/>
      <c r="E30" s="3109">
        <v>0.8</v>
      </c>
      <c r="F30" s="3106" t="s">
        <v>2462</v>
      </c>
      <c r="G30" s="3106"/>
    </row>
    <row r="31" spans="1:13" ht="19.5" customHeight="1">
      <c r="A31" s="3763"/>
      <c r="B31" s="3759"/>
      <c r="C31" s="3107" t="s">
        <v>2463</v>
      </c>
      <c r="D31" s="3108"/>
      <c r="E31" s="3109">
        <v>0.8</v>
      </c>
      <c r="F31" s="3106" t="s">
        <v>2464</v>
      </c>
      <c r="G31" s="3106"/>
    </row>
    <row r="32" spans="1:13" ht="19.5" customHeight="1">
      <c r="A32" s="3763"/>
      <c r="B32" s="3759"/>
      <c r="C32" s="3107" t="s">
        <v>2465</v>
      </c>
      <c r="D32" s="3108"/>
      <c r="E32" s="3109">
        <v>0.7</v>
      </c>
      <c r="F32" s="3106" t="s">
        <v>2466</v>
      </c>
      <c r="G32" s="3106"/>
    </row>
    <row r="33" spans="1:7" ht="19.5" customHeight="1">
      <c r="A33" s="3763"/>
      <c r="B33" s="3759"/>
      <c r="C33" s="3107" t="s">
        <v>2467</v>
      </c>
      <c r="D33" s="3108"/>
      <c r="E33" s="3109">
        <v>0.8</v>
      </c>
      <c r="F33" s="3106" t="s">
        <v>2468</v>
      </c>
      <c r="G33" s="3106"/>
    </row>
    <row r="34" spans="1:7" ht="19.5" customHeight="1">
      <c r="A34" s="3763"/>
      <c r="B34" s="3759"/>
      <c r="C34" s="3107" t="s">
        <v>2469</v>
      </c>
      <c r="D34" s="3108"/>
      <c r="E34" s="3109">
        <v>0.6</v>
      </c>
      <c r="F34" s="3106" t="s">
        <v>2470</v>
      </c>
      <c r="G34" s="3106"/>
    </row>
    <row r="35" spans="1:7" ht="19.5" customHeight="1">
      <c r="A35" s="3763"/>
      <c r="B35" s="3759"/>
      <c r="C35" s="3107" t="s">
        <v>2471</v>
      </c>
      <c r="D35" s="3108"/>
      <c r="E35" s="3109">
        <v>0.2</v>
      </c>
      <c r="F35" s="3106" t="s">
        <v>2472</v>
      </c>
      <c r="G35" s="3106"/>
    </row>
    <row r="36" spans="1:7" ht="19.5" customHeight="1">
      <c r="A36" s="3763"/>
      <c r="B36" s="3759"/>
      <c r="C36" s="3107" t="s">
        <v>2473</v>
      </c>
      <c r="D36" s="3108"/>
      <c r="E36" s="3109">
        <v>0.2</v>
      </c>
      <c r="F36" s="3106" t="s">
        <v>2474</v>
      </c>
      <c r="G36" s="3106"/>
    </row>
    <row r="37" spans="1:7" ht="19.5" customHeight="1">
      <c r="A37" s="3763"/>
      <c r="B37" s="3757" t="s">
        <v>2635</v>
      </c>
      <c r="C37" s="3107" t="s">
        <v>2475</v>
      </c>
      <c r="D37" s="3108"/>
      <c r="E37" s="3109">
        <v>0.6</v>
      </c>
      <c r="F37" s="3106" t="s">
        <v>2476</v>
      </c>
      <c r="G37" s="3106"/>
    </row>
    <row r="38" spans="1:7" ht="19.5" customHeight="1">
      <c r="A38" s="3763"/>
      <c r="B38" s="3759"/>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60"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5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57"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7"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58"/>
      <c r="C89" s="3092" t="s">
        <v>2687</v>
      </c>
      <c r="D89" s="3092" t="s">
        <v>2688</v>
      </c>
      <c r="E89" s="3118">
        <v>0.1</v>
      </c>
      <c r="F89" s="3118">
        <v>15</v>
      </c>
    </row>
    <row r="90" spans="1:6" ht="13.5">
      <c r="A90" s="3118">
        <v>18</v>
      </c>
      <c r="B90" s="3757"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58"/>
      <c r="C106" s="3092" t="s">
        <v>2722</v>
      </c>
      <c r="D106" s="3092" t="s">
        <v>2723</v>
      </c>
      <c r="E106" s="3118">
        <v>0.1</v>
      </c>
      <c r="F106" s="3118">
        <v>15</v>
      </c>
    </row>
    <row r="107" spans="1:6" ht="24">
      <c r="A107" s="3118">
        <v>35</v>
      </c>
      <c r="B107" s="3757"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58"/>
      <c r="C112" s="3118" t="s">
        <v>2735</v>
      </c>
      <c r="D112" s="3092" t="s">
        <v>2736</v>
      </c>
      <c r="E112" s="3118">
        <v>0.1</v>
      </c>
      <c r="F112" s="3118">
        <v>15</v>
      </c>
    </row>
    <row r="113" spans="1:6" ht="13.5">
      <c r="A113" s="3118">
        <v>41</v>
      </c>
      <c r="B113" s="3756" t="s">
        <v>2737</v>
      </c>
      <c r="C113" s="3118" t="s">
        <v>2738</v>
      </c>
      <c r="D113" s="3092" t="s">
        <v>2739</v>
      </c>
      <c r="E113" s="3118">
        <v>0.1</v>
      </c>
      <c r="F113" s="3118">
        <v>15</v>
      </c>
    </row>
    <row r="114" spans="1:6" ht="13.5">
      <c r="A114" s="3118">
        <v>42</v>
      </c>
      <c r="B114" s="3756"/>
      <c r="C114" s="3118" t="s">
        <v>2740</v>
      </c>
      <c r="D114" s="3092" t="s">
        <v>2741</v>
      </c>
      <c r="E114" s="3118">
        <v>0.1</v>
      </c>
      <c r="F114" s="3118">
        <v>15</v>
      </c>
    </row>
    <row r="115" spans="1:6" ht="24">
      <c r="A115" s="3118">
        <v>43</v>
      </c>
      <c r="B115" s="3756"/>
      <c r="C115" s="3118" t="s">
        <v>2742</v>
      </c>
      <c r="D115" s="3092" t="s">
        <v>2743</v>
      </c>
      <c r="E115" s="3118">
        <v>0.1</v>
      </c>
      <c r="F115" s="3118">
        <v>15</v>
      </c>
    </row>
    <row r="116" spans="1:6" ht="13.5">
      <c r="A116" s="3118">
        <v>44</v>
      </c>
      <c r="B116" s="3757" t="s">
        <v>2744</v>
      </c>
      <c r="C116" s="3118" t="s">
        <v>2745</v>
      </c>
      <c r="D116" s="3092" t="s">
        <v>2746</v>
      </c>
      <c r="E116" s="3118">
        <v>0.1</v>
      </c>
      <c r="F116" s="3118">
        <v>15</v>
      </c>
    </row>
    <row r="117" spans="1:6" ht="24">
      <c r="A117" s="3118">
        <v>45</v>
      </c>
      <c r="B117" s="3758"/>
      <c r="C117" s="3092" t="s">
        <v>2747</v>
      </c>
      <c r="D117" s="3092" t="s">
        <v>2748</v>
      </c>
      <c r="E117" s="3118">
        <v>0.1</v>
      </c>
      <c r="F117" s="3118">
        <v>15</v>
      </c>
    </row>
    <row r="118" spans="1:6" ht="24">
      <c r="A118" s="3118">
        <v>46</v>
      </c>
      <c r="B118" s="3757" t="s">
        <v>2749</v>
      </c>
      <c r="C118" s="3118" t="s">
        <v>2750</v>
      </c>
      <c r="D118" s="3092" t="s">
        <v>2751</v>
      </c>
      <c r="E118" s="3118">
        <v>0.1</v>
      </c>
      <c r="F118" s="3118">
        <v>15</v>
      </c>
    </row>
    <row r="119" spans="1:6" ht="24">
      <c r="A119" s="3118">
        <v>47</v>
      </c>
      <c r="B119" s="3758"/>
      <c r="C119" s="3118" t="s">
        <v>2752</v>
      </c>
      <c r="D119" s="3092" t="s">
        <v>2753</v>
      </c>
      <c r="E119" s="3118">
        <v>0.1</v>
      </c>
      <c r="F119" s="3118">
        <v>15</v>
      </c>
    </row>
    <row r="120" spans="1:6" ht="13.5">
      <c r="A120" s="3118">
        <v>48</v>
      </c>
      <c r="B120" s="3757" t="s">
        <v>2754</v>
      </c>
      <c r="C120" s="3118" t="s">
        <v>2755</v>
      </c>
      <c r="D120" s="3092" t="s">
        <v>2756</v>
      </c>
      <c r="E120" s="3118">
        <v>0.1</v>
      </c>
      <c r="F120" s="3118">
        <v>15</v>
      </c>
    </row>
    <row r="121" spans="1:6" ht="13.5">
      <c r="A121" s="3118">
        <v>49</v>
      </c>
      <c r="B121" s="3758"/>
      <c r="C121" s="3118" t="s">
        <v>2757</v>
      </c>
      <c r="D121" s="3092" t="s">
        <v>2758</v>
      </c>
      <c r="E121" s="3118">
        <v>0.1</v>
      </c>
      <c r="F121" s="3118">
        <v>15</v>
      </c>
    </row>
    <row r="122" spans="1:6" ht="24">
      <c r="A122" s="3118">
        <v>50</v>
      </c>
      <c r="B122" s="3756" t="s">
        <v>2759</v>
      </c>
      <c r="C122" s="3118" t="s">
        <v>2760</v>
      </c>
      <c r="D122" s="3092" t="s">
        <v>2761</v>
      </c>
      <c r="E122" s="3118">
        <v>0.1</v>
      </c>
      <c r="F122" s="3118">
        <v>15</v>
      </c>
    </row>
    <row r="123" spans="1:6" ht="24">
      <c r="A123" s="3118">
        <v>51</v>
      </c>
      <c r="B123" s="3756"/>
      <c r="C123" s="3118" t="s">
        <v>2762</v>
      </c>
      <c r="D123" s="3092" t="s">
        <v>2763</v>
      </c>
      <c r="E123" s="3118">
        <v>0.1</v>
      </c>
      <c r="F123" s="3118">
        <v>15</v>
      </c>
    </row>
    <row r="124" spans="1:6" ht="24">
      <c r="A124" s="3118">
        <v>52</v>
      </c>
      <c r="B124" s="3756" t="s">
        <v>2764</v>
      </c>
      <c r="C124" s="3118" t="s">
        <v>2765</v>
      </c>
      <c r="D124" s="3092" t="s">
        <v>2766</v>
      </c>
      <c r="E124" s="3118">
        <v>0.1</v>
      </c>
      <c r="F124" s="3118">
        <v>15</v>
      </c>
    </row>
    <row r="125" spans="1:6" ht="24">
      <c r="A125" s="3118">
        <v>53</v>
      </c>
      <c r="B125" s="375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6" t="s">
        <v>2772</v>
      </c>
      <c r="C127" s="3118" t="s">
        <v>2773</v>
      </c>
      <c r="D127" s="3092" t="s">
        <v>2774</v>
      </c>
      <c r="E127" s="3118">
        <v>0.1</v>
      </c>
      <c r="F127" s="3118">
        <v>15</v>
      </c>
    </row>
    <row r="128" spans="1:6" ht="13.5">
      <c r="A128" s="3118">
        <v>56</v>
      </c>
      <c r="B128" s="3756"/>
      <c r="C128" s="3118" t="s">
        <v>2775</v>
      </c>
      <c r="D128" s="3092" t="s">
        <v>2776</v>
      </c>
      <c r="E128" s="3118">
        <v>0.1</v>
      </c>
      <c r="F128" s="3118">
        <v>15</v>
      </c>
    </row>
    <row r="129" spans="1:6" ht="24">
      <c r="A129" s="3118">
        <v>57</v>
      </c>
      <c r="B129" s="3756"/>
      <c r="C129" s="3118" t="s">
        <v>2777</v>
      </c>
      <c r="D129" s="3092" t="s">
        <v>2778</v>
      </c>
      <c r="E129" s="3118">
        <v>0.1</v>
      </c>
      <c r="F129" s="3118">
        <v>15</v>
      </c>
    </row>
    <row r="130" spans="1:6" ht="24">
      <c r="A130" s="3118">
        <v>58</v>
      </c>
      <c r="B130" s="3756" t="s">
        <v>2779</v>
      </c>
      <c r="C130" s="3118" t="s">
        <v>2780</v>
      </c>
      <c r="D130" s="3092" t="s">
        <v>2781</v>
      </c>
      <c r="E130" s="3118">
        <v>0.1</v>
      </c>
      <c r="F130" s="3118">
        <v>15</v>
      </c>
    </row>
    <row r="131" spans="1:6" ht="13.5">
      <c r="A131" s="3118">
        <v>59</v>
      </c>
      <c r="B131" s="3756"/>
      <c r="C131" s="3118" t="s">
        <v>2782</v>
      </c>
      <c r="D131" s="3092" t="s">
        <v>2783</v>
      </c>
      <c r="E131" s="3118">
        <v>0.1</v>
      </c>
      <c r="F131" s="3118">
        <v>15</v>
      </c>
    </row>
    <row r="132" spans="1:6" ht="13.5">
      <c r="A132" s="3118">
        <v>60</v>
      </c>
      <c r="B132" s="3757" t="s">
        <v>2784</v>
      </c>
      <c r="C132" s="3118" t="s">
        <v>2785</v>
      </c>
      <c r="D132" s="3092" t="s">
        <v>2786</v>
      </c>
      <c r="E132" s="3118">
        <v>0.1</v>
      </c>
      <c r="F132" s="3118">
        <v>15</v>
      </c>
    </row>
    <row r="133" spans="1:6" ht="13.5">
      <c r="A133" s="3118">
        <v>61</v>
      </c>
      <c r="B133" s="375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6" t="s">
        <v>2792</v>
      </c>
      <c r="C135" s="3118" t="s">
        <v>2793</v>
      </c>
      <c r="D135" s="3092" t="s">
        <v>2794</v>
      </c>
      <c r="E135" s="3118">
        <v>0.1</v>
      </c>
      <c r="F135" s="3118">
        <v>15</v>
      </c>
    </row>
    <row r="136" spans="1:6" ht="13.5">
      <c r="A136" s="3118">
        <v>64</v>
      </c>
      <c r="B136" s="375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1.0558000000000001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估价结果一览表（市场价值不需“结果表-1”）</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29704</v>
      </c>
      <c r="C2" s="2" t="s">
        <v>106</v>
      </c>
      <c r="D2" s="199"/>
      <c r="E2" s="199"/>
      <c r="F2" s="199"/>
      <c r="G2" s="199"/>
    </row>
    <row r="3" spans="1:7" s="200" customFormat="1" ht="18" customHeight="1" thickBot="1">
      <c r="A3" s="203" t="s">
        <v>58</v>
      </c>
      <c r="B3" s="204">
        <f ca="1">ROUND(B2*10000/'数据-汇总表'!E3,0)</f>
        <v>1251169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237.41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237.41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10</v>
      </c>
      <c r="D36" s="220"/>
      <c r="E36" s="220"/>
      <c r="F36" s="259">
        <f>'数据-取费表'!B34</f>
        <v>0.08</v>
      </c>
      <c r="G36" s="260" t="s">
        <v>35</v>
      </c>
    </row>
    <row r="37" spans="1:7" s="258" customFormat="1" ht="13.5" customHeight="1">
      <c r="A37" s="780" t="s">
        <v>353</v>
      </c>
      <c r="B37" s="215" t="s">
        <v>91</v>
      </c>
      <c r="C37" s="249">
        <f>ROUND(E37*D37*F34/10000,0)</f>
        <v>0</v>
      </c>
      <c r="D37" s="217">
        <f>'数据-汇总表'!E3</f>
        <v>237.41</v>
      </c>
      <c r="E37" s="249">
        <f>'数据-取费表'!B35</f>
        <v>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1E-3</v>
      </c>
      <c r="D44" s="238"/>
      <c r="E44" s="238"/>
      <c r="F44" s="239"/>
      <c r="G44" s="3634"/>
    </row>
    <row r="45" spans="1:7" s="214" customFormat="1" ht="13.5" customHeight="1">
      <c r="A45" s="777" t="s">
        <v>341</v>
      </c>
      <c r="B45" s="244" t="s">
        <v>85</v>
      </c>
      <c r="C45" s="245">
        <f>C46</f>
        <v>28</v>
      </c>
      <c r="D45" s="235">
        <f>C47</f>
        <v>4.0000000000000001E-3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131</v>
      </c>
      <c r="D51" s="232"/>
      <c r="E51" s="232"/>
      <c r="F51" s="264"/>
      <c r="G51" s="234" t="s">
        <v>37</v>
      </c>
    </row>
    <row r="52" spans="1:7" s="208" customFormat="1" ht="16.5" thickBot="1">
      <c r="A52" s="265" t="s">
        <v>38</v>
      </c>
      <c r="B52" s="266"/>
      <c r="C52" s="267">
        <f ca="1">C31+C51</f>
        <v>29704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45428</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3381</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3383</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3378</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3377</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3373</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3372</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3371</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3367</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3358</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2823</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2824</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2825</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2826</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2827</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3369</v>
      </c>
    </row>
    <row r="22" spans="1:30" s="3009" customFormat="1">
      <c r="I22" s="3208" t="s">
        <v>2828</v>
      </c>
    </row>
    <row r="23" spans="1:30" s="3009" customFormat="1"/>
    <row r="24" spans="1:30" s="3209" customFormat="1" ht="12.75">
      <c r="B24" s="3210" t="s">
        <v>3375</v>
      </c>
      <c r="C24" s="3211"/>
      <c r="D24" s="3211"/>
      <c r="E24" s="3211"/>
      <c r="F24" s="3211"/>
      <c r="G24" s="3211"/>
      <c r="H24" s="3211"/>
      <c r="I24" s="3211"/>
      <c r="J24" s="3165"/>
      <c r="K24" s="3211" t="s">
        <v>2829</v>
      </c>
      <c r="L24" s="3211"/>
      <c r="M24" s="3211"/>
      <c r="N24" s="3211"/>
      <c r="O24" s="3211"/>
      <c r="P24" s="3211"/>
      <c r="Q24" s="3165"/>
      <c r="R24" s="3775" t="s">
        <v>2830</v>
      </c>
      <c r="S24" s="3776"/>
      <c r="T24" s="3776"/>
      <c r="U24" s="3776"/>
      <c r="V24" s="3776"/>
      <c r="W24" s="3776"/>
      <c r="X24" s="3165"/>
      <c r="Y24" s="3775" t="s">
        <v>2831</v>
      </c>
      <c r="Z24" s="3776"/>
      <c r="AA24" s="3776"/>
      <c r="AB24" s="3776"/>
      <c r="AC24" s="3776"/>
      <c r="AD24" s="3776"/>
    </row>
    <row r="25" spans="1:30" s="3143" customFormat="1" ht="14.25" thickBot="1">
      <c r="B25" s="3144"/>
      <c r="C25" s="3145"/>
      <c r="D25" s="3146" t="s">
        <v>2832</v>
      </c>
      <c r="E25" s="3147" t="s">
        <v>2833</v>
      </c>
      <c r="F25" s="3147" t="s">
        <v>2834</v>
      </c>
      <c r="G25" s="3147" t="s">
        <v>2835</v>
      </c>
      <c r="H25" s="3147"/>
      <c r="I25" s="3147" t="s">
        <v>2836</v>
      </c>
      <c r="J25" s="3148"/>
      <c r="K25" s="3146" t="s">
        <v>2832</v>
      </c>
      <c r="L25" s="3147" t="s">
        <v>2833</v>
      </c>
      <c r="M25" s="3147" t="s">
        <v>2834</v>
      </c>
      <c r="N25" s="3147" t="s">
        <v>2835</v>
      </c>
      <c r="O25" s="3147"/>
      <c r="P25" s="3147" t="s">
        <v>2836</v>
      </c>
      <c r="Q25" s="3148"/>
      <c r="R25" s="3146" t="s">
        <v>2832</v>
      </c>
      <c r="S25" s="3147" t="s">
        <v>2833</v>
      </c>
      <c r="T25" s="3147" t="s">
        <v>2834</v>
      </c>
      <c r="U25" s="3147" t="s">
        <v>2835</v>
      </c>
      <c r="V25" s="3147"/>
      <c r="W25" s="3147" t="s">
        <v>2836</v>
      </c>
      <c r="X25" s="3148"/>
      <c r="Y25" s="3146" t="s">
        <v>2832</v>
      </c>
      <c r="Z25" s="3147" t="s">
        <v>2833</v>
      </c>
      <c r="AA25" s="3147" t="s">
        <v>2834</v>
      </c>
      <c r="AB25" s="3147" t="s">
        <v>2835</v>
      </c>
      <c r="AC25" s="3147"/>
      <c r="AD25" s="3147" t="s">
        <v>2836</v>
      </c>
    </row>
    <row r="26" spans="1:30" s="3161" customFormat="1" ht="12.75">
      <c r="A26" s="3149" t="s">
        <v>2837</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3380</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3381</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3382</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3379</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3377</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3376</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3372</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3371</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3368</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3358</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2838</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2839</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2840</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2841</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2827</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估价结果一览表</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房地产市场价值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237.41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2" t="str">
        <f>结果表!A120</f>
        <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69" t="str">
        <f>IF(项目基本情况!B8="抵押","3.抵押双方在办理抵押登记手续时，应使用本公司出具的正式《房地产评估报告》，特提醒报告使用者注意。","——")</f>
        <v>——</v>
      </c>
      <c r="B13" s="3474"/>
      <c r="C13" s="3474"/>
      <c r="D13" s="3474"/>
    </row>
    <row r="14" spans="1:4" ht="15.75" customHeight="1">
      <c r="A14" s="3469" t="str">
        <f>IF(项目基本情况!B8="抵押","4.本次评估估价师所知悉的法定优先受偿款情况说明如下：","——")</f>
        <v>——</v>
      </c>
      <c r="B14" s="3474"/>
      <c r="C14" s="3474"/>
      <c r="D14" s="3474"/>
    </row>
    <row r="15" spans="1:4" ht="42" customHeight="1">
      <c r="A15" s="3469" t="str">
        <f>IF(项目基本情况!B8="抵押","（1）"&amp;CONCATENATE(项目基本情况!L20,项目基本情况!L21,项目基本情况!L22),"——")</f>
        <v>——</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2024-07-22T07:07:30Z</dcterms:modified>
</cp:coreProperties>
</file>