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1\Desktop\2025-1-0253-F01-门麒建行石龙高科大厦11套\F01DYGJ2\过程\"/>
    </mc:Choice>
  </mc:AlternateContent>
  <xr:revisionPtr revIDLastSave="0" documentId="13_ncr:1_{A51B80FB-3DC8-450E-A3CD-E3970B321403}" xr6:coauthVersionLast="47" xr6:coauthVersionMax="47" xr10:uidLastSave="{00000000-0000-0000-0000-000000000000}"/>
  <bookViews>
    <workbookView xWindow="-120" yWindow="-120" windowWidth="29040" windowHeight="15840"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Sheet1" sheetId="81"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清单"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B26" i="31"/>
  <c r="B27" i="31"/>
  <c r="B28" i="31"/>
  <c r="B29" i="31"/>
  <c r="B31" i="31"/>
  <c r="B32" i="31"/>
  <c r="B33" i="31"/>
  <c r="B34" i="31"/>
  <c r="B35" i="31"/>
  <c r="B25" i="31"/>
  <c r="D18" i="31"/>
  <c r="E18" i="31"/>
  <c r="C18" i="31"/>
  <c r="D17" i="31"/>
  <c r="E17" i="31"/>
  <c r="C17" i="31"/>
  <c r="D4" i="31"/>
  <c r="E4" i="31"/>
  <c r="F4" i="31"/>
  <c r="G4" i="31"/>
  <c r="C4" i="31"/>
  <c r="D3" i="31"/>
  <c r="E3" i="31"/>
  <c r="F3" i="31"/>
  <c r="G3" i="31"/>
  <c r="C3" i="31"/>
  <c r="B24" i="31"/>
  <c r="E67" i="34"/>
  <c r="F67" i="34" s="1"/>
  <c r="D67" i="34"/>
  <c r="C34" i="34"/>
  <c r="I7" i="34"/>
  <c r="G7" i="34"/>
  <c r="E7" i="34"/>
  <c r="J52" i="67"/>
  <c r="J49" i="67"/>
  <c r="Y6" i="1"/>
  <c r="N6" i="1"/>
  <c r="N19" i="1"/>
  <c r="F19" i="6"/>
  <c r="I13" i="3"/>
  <c r="F13" i="80"/>
  <c r="D60" i="78"/>
  <c r="C60" i="78"/>
  <c r="D53" i="78"/>
  <c r="D52" i="78"/>
  <c r="B51" i="78"/>
  <c r="B56" i="78" s="1"/>
  <c r="B55" i="78" l="1"/>
  <c r="D55" i="78" s="1"/>
  <c r="D51" i="78"/>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X38" i="71" s="1"/>
  <c r="Q37" i="71"/>
  <c r="AB37" i="71" s="1"/>
  <c r="P37" i="7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P28" i="71"/>
  <c r="E28" i="71" s="1"/>
  <c r="U68" i="71"/>
  <c r="E67" i="71"/>
  <c r="Q28" i="71"/>
  <c r="C59" i="71"/>
  <c r="D58" i="71"/>
  <c r="D62" i="71"/>
  <c r="B66" i="71"/>
  <c r="N65" i="71" s="1"/>
  <c r="T68" i="71"/>
  <c r="D68" i="71"/>
  <c r="Q68" i="71"/>
  <c r="E71" i="71"/>
  <c r="E70" i="71" s="1"/>
  <c r="D72" i="71"/>
  <c r="C75" i="71"/>
  <c r="D76" i="71"/>
  <c r="E79" i="71"/>
  <c r="E78" i="71" s="1"/>
  <c r="D80" i="71"/>
  <c r="C87" i="71"/>
  <c r="C86" i="71" s="1"/>
  <c r="D86" i="71" s="1"/>
  <c r="S28" i="71"/>
  <c r="F28" i="71"/>
  <c r="F27" i="71" s="1"/>
  <c r="F26" i="71" s="1"/>
  <c r="AA3" i="71"/>
  <c r="D75" i="71"/>
  <c r="C74" i="71"/>
  <c r="D74" i="71" s="1"/>
  <c r="N66" i="71"/>
  <c r="C60" i="71"/>
  <c r="D60" i="71" s="1"/>
  <c r="D59" i="71"/>
  <c r="P67" i="71"/>
  <c r="E66" i="71"/>
  <c r="P65" i="71" s="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F68" i="35"/>
  <c r="H18" i="35"/>
  <c r="AB18" i="35" s="1"/>
  <c r="G68" i="35"/>
  <c r="J18" i="35"/>
  <c r="W18" i="35" s="1"/>
  <c r="H21" i="37"/>
  <c r="AB21" i="37" s="1"/>
  <c r="F21" i="37"/>
  <c r="AA21" i="37" s="1"/>
  <c r="H21" i="34"/>
  <c r="AB21" i="34" s="1"/>
  <c r="H21" i="33"/>
  <c r="U21" i="33" s="1"/>
  <c r="F21" i="33"/>
  <c r="AA21" i="33" s="1"/>
  <c r="E83" i="21"/>
  <c r="F83" i="21" s="1"/>
  <c r="H1" i="69"/>
  <c r="AC25" i="40"/>
  <c r="W25" i="40"/>
  <c r="U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0" i="31"/>
  <c r="R41" i="31"/>
  <c r="R42" i="31"/>
  <c r="S42" i="31" s="1"/>
  <c r="R43" i="31"/>
  <c r="S43" i="31" s="1"/>
  <c r="R44" i="31"/>
  <c r="S44" i="31" s="1"/>
  <c r="R45" i="31"/>
  <c r="R46" i="31"/>
  <c r="S46" i="31" s="1"/>
  <c r="R47" i="31"/>
  <c r="S47" i="31" s="1"/>
  <c r="R48" i="31"/>
  <c r="R49" i="31"/>
  <c r="R50" i="31"/>
  <c r="S50" i="31" s="1"/>
  <c r="R51" i="31"/>
  <c r="S51" i="31" s="1"/>
  <c r="R52" i="31"/>
  <c r="S52" i="31" s="1"/>
  <c r="R53" i="31"/>
  <c r="R54" i="31"/>
  <c r="S54" i="31" s="1"/>
  <c r="R55" i="31"/>
  <c r="S55" i="31" s="1"/>
  <c r="R56" i="31"/>
  <c r="S56" i="31" s="1"/>
  <c r="R57" i="31"/>
  <c r="R58" i="31"/>
  <c r="S58" i="31" s="1"/>
  <c r="R59" i="31"/>
  <c r="S59" i="31" s="1"/>
  <c r="R60" i="31"/>
  <c r="R61" i="31"/>
  <c r="R62" i="31"/>
  <c r="S62" i="31" s="1"/>
  <c r="R63" i="31"/>
  <c r="S63" i="31" s="1"/>
  <c r="R64" i="31"/>
  <c r="S64" i="31" s="1"/>
  <c r="R65" i="31"/>
  <c r="R66" i="31"/>
  <c r="S66" i="31" s="1"/>
  <c r="R67" i="31"/>
  <c r="S67" i="31" s="1"/>
  <c r="R68" i="31"/>
  <c r="R69" i="31"/>
  <c r="R70" i="31"/>
  <c r="S70" i="31" s="1"/>
  <c r="R71" i="31"/>
  <c r="S71" i="31" s="1"/>
  <c r="R72" i="31"/>
  <c r="S72" i="31" s="1"/>
  <c r="R73" i="31"/>
  <c r="R74" i="31"/>
  <c r="R75" i="31"/>
  <c r="S75" i="31" s="1"/>
  <c r="R76" i="31"/>
  <c r="S76" i="31" s="1"/>
  <c r="R77" i="31"/>
  <c r="R78" i="31"/>
  <c r="R79" i="31"/>
  <c r="S79" i="31" s="1"/>
  <c r="R80" i="31"/>
  <c r="R81" i="31"/>
  <c r="R82" i="31"/>
  <c r="S82" i="31" s="1"/>
  <c r="R83" i="31"/>
  <c r="S83" i="31" s="1"/>
  <c r="R84" i="31"/>
  <c r="S84" i="31" s="1"/>
  <c r="R85" i="31"/>
  <c r="R86" i="31"/>
  <c r="S86" i="31" s="1"/>
  <c r="R87" i="31"/>
  <c r="S87" i="31" s="1"/>
  <c r="R88" i="31"/>
  <c r="R89" i="31"/>
  <c r="R90" i="31"/>
  <c r="S90" i="31" s="1"/>
  <c r="R91" i="31"/>
  <c r="S91" i="31" s="1"/>
  <c r="R92" i="31"/>
  <c r="S92" i="31" s="1"/>
  <c r="R93" i="31"/>
  <c r="R94" i="31"/>
  <c r="S94" i="31" s="1"/>
  <c r="R95" i="31"/>
  <c r="S95" i="31" s="1"/>
  <c r="R96" i="3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R145" i="31"/>
  <c r="R146" i="3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R209" i="31"/>
  <c r="R210" i="3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R239" i="31"/>
  <c r="S239" i="31" s="1"/>
  <c r="R240" i="31"/>
  <c r="S240" i="31" s="1"/>
  <c r="R241" i="31"/>
  <c r="R242" i="31"/>
  <c r="S242" i="31" s="1"/>
  <c r="R243" i="31"/>
  <c r="S243" i="31" s="1"/>
  <c r="R244" i="31"/>
  <c r="R245" i="31"/>
  <c r="R246" i="31"/>
  <c r="S246" i="31" s="1"/>
  <c r="R247" i="31"/>
  <c r="S247" i="31" s="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R431" i="31"/>
  <c r="S431" i="31" s="1"/>
  <c r="R432" i="31"/>
  <c r="R433" i="31"/>
  <c r="R434" i="31"/>
  <c r="S434" i="31" s="1"/>
  <c r="R435" i="31"/>
  <c r="S435" i="31" s="1"/>
  <c r="R436" i="31"/>
  <c r="S436" i="31" s="1"/>
  <c r="R437" i="31"/>
  <c r="R438" i="31"/>
  <c r="S438" i="31" s="1"/>
  <c r="R439" i="31"/>
  <c r="S439" i="31" s="1"/>
  <c r="R440" i="31"/>
  <c r="R441" i="31"/>
  <c r="R442" i="31"/>
  <c r="S442" i="31" s="1"/>
  <c r="R443" i="31"/>
  <c r="S443" i="31" s="1"/>
  <c r="R444" i="31"/>
  <c r="S444" i="31" s="1"/>
  <c r="R445" i="31"/>
  <c r="R446" i="31"/>
  <c r="S446" i="31" s="1"/>
  <c r="R447" i="31"/>
  <c r="S447" i="31" s="1"/>
  <c r="R448" i="31"/>
  <c r="S448" i="31" s="1"/>
  <c r="R449" i="31"/>
  <c r="R450" i="31"/>
  <c r="S450" i="31" s="1"/>
  <c r="R451" i="31"/>
  <c r="S451" i="31" s="1"/>
  <c r="R452" i="31"/>
  <c r="R453" i="31"/>
  <c r="R454" i="31"/>
  <c r="R455" i="31"/>
  <c r="S455" i="31" s="1"/>
  <c r="R456" i="31"/>
  <c r="S456" i="31" s="1"/>
  <c r="R457" i="31"/>
  <c r="R458" i="31"/>
  <c r="R459" i="31"/>
  <c r="S459" i="31" s="1"/>
  <c r="R460" i="31"/>
  <c r="S460" i="31" s="1"/>
  <c r="R461" i="31"/>
  <c r="R462" i="31"/>
  <c r="S462" i="31" s="1"/>
  <c r="R463" i="31"/>
  <c r="S463" i="31" s="1"/>
  <c r="R464" i="31"/>
  <c r="R465" i="31"/>
  <c r="R466" i="31"/>
  <c r="S466" i="31" s="1"/>
  <c r="R467" i="31"/>
  <c r="S467" i="31" s="1"/>
  <c r="R468" i="31"/>
  <c r="S468" i="31" s="1"/>
  <c r="R469" i="31"/>
  <c r="R470" i="31"/>
  <c r="S470" i="31" s="1"/>
  <c r="R471" i="31"/>
  <c r="S471" i="31" s="1"/>
  <c r="R472" i="31"/>
  <c r="S472" i="31" s="1"/>
  <c r="R473" i="31"/>
  <c r="R474" i="31"/>
  <c r="R475" i="31"/>
  <c r="S475" i="31" s="1"/>
  <c r="R476" i="31"/>
  <c r="R477" i="31"/>
  <c r="R478" i="3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R509" i="31"/>
  <c r="R510" i="31"/>
  <c r="R511" i="31"/>
  <c r="S511" i="31" s="1"/>
  <c r="R512" i="31"/>
  <c r="S512" i="31" s="1"/>
  <c r="R513" i="31"/>
  <c r="R514" i="31"/>
  <c r="S514" i="31" s="1"/>
  <c r="R515" i="31"/>
  <c r="S515" i="31" s="1"/>
  <c r="R516" i="3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2" i="31"/>
  <c r="S396" i="31"/>
  <c r="S394" i="31"/>
  <c r="S386" i="31"/>
  <c r="S372" i="31"/>
  <c r="S362" i="31"/>
  <c r="S360" i="31"/>
  <c r="S354" i="31"/>
  <c r="S348" i="31"/>
  <c r="S332" i="31"/>
  <c r="S330" i="31"/>
  <c r="S322" i="31"/>
  <c r="S312" i="31"/>
  <c r="S302" i="31"/>
  <c r="S300" i="31"/>
  <c r="S294" i="31"/>
  <c r="S288" i="31"/>
  <c r="S272" i="31"/>
  <c r="S270" i="31"/>
  <c r="S262" i="31"/>
  <c r="S253" i="31"/>
  <c r="S252" i="31"/>
  <c r="S249" i="31"/>
  <c r="S245" i="31"/>
  <c r="S244" i="31"/>
  <c r="S241" i="31"/>
  <c r="S238" i="31"/>
  <c r="S237" i="31"/>
  <c r="S233" i="31"/>
  <c r="S229" i="31"/>
  <c r="S226" i="31"/>
  <c r="S225" i="31"/>
  <c r="S224" i="31"/>
  <c r="S429" i="31"/>
  <c r="S425" i="31"/>
  <c r="S221" i="31"/>
  <c r="S217" i="31"/>
  <c r="S213" i="31"/>
  <c r="S210" i="31"/>
  <c r="S209" i="31"/>
  <c r="S208" i="31"/>
  <c r="S206" i="31"/>
  <c r="S205" i="31"/>
  <c r="S201" i="31"/>
  <c r="S197" i="31"/>
  <c r="S193" i="31"/>
  <c r="S189" i="31"/>
  <c r="S185" i="31"/>
  <c r="S181" i="31"/>
  <c r="S178" i="31"/>
  <c r="S177" i="31"/>
  <c r="S174" i="31"/>
  <c r="S173" i="31"/>
  <c r="S169" i="31"/>
  <c r="S165" i="31"/>
  <c r="S161" i="31"/>
  <c r="S157" i="31"/>
  <c r="S153" i="31"/>
  <c r="S149" i="31"/>
  <c r="S146" i="31"/>
  <c r="S145" i="31"/>
  <c r="S144" i="31"/>
  <c r="S142" i="31"/>
  <c r="S141" i="31"/>
  <c r="S137" i="31"/>
  <c r="S133" i="31"/>
  <c r="S129" i="31"/>
  <c r="S125" i="31"/>
  <c r="S497" i="31"/>
  <c r="S493" i="31"/>
  <c r="S489" i="31"/>
  <c r="S485" i="31"/>
  <c r="S481" i="31"/>
  <c r="S478" i="31"/>
  <c r="S477" i="31"/>
  <c r="S476" i="31"/>
  <c r="S474" i="31"/>
  <c r="S473" i="31"/>
  <c r="S469" i="31"/>
  <c r="S441" i="31"/>
  <c r="S440" i="31"/>
  <c r="S437" i="31"/>
  <c r="S433" i="31"/>
  <c r="S432" i="31"/>
  <c r="S430" i="31"/>
  <c r="S121" i="31"/>
  <c r="S118" i="31"/>
  <c r="S117" i="31"/>
  <c r="S113" i="31"/>
  <c r="S112" i="31"/>
  <c r="S465" i="31"/>
  <c r="S464" i="31"/>
  <c r="S461" i="31"/>
  <c r="S458" i="31"/>
  <c r="S457" i="31"/>
  <c r="S454" i="31"/>
  <c r="S453" i="31"/>
  <c r="S452" i="31"/>
  <c r="S53" i="31"/>
  <c r="S49" i="31"/>
  <c r="S48" i="31"/>
  <c r="S45" i="31"/>
  <c r="S41" i="31"/>
  <c r="S40" i="31"/>
  <c r="S77" i="31"/>
  <c r="S74" i="31"/>
  <c r="S73" i="31"/>
  <c r="S69" i="31"/>
  <c r="S68" i="31"/>
  <c r="S65" i="31"/>
  <c r="S61" i="31"/>
  <c r="S60" i="31"/>
  <c r="S57" i="31"/>
  <c r="S97" i="31"/>
  <c r="S96" i="31"/>
  <c r="S93" i="31"/>
  <c r="S89" i="31"/>
  <c r="S88" i="31"/>
  <c r="S85" i="31"/>
  <c r="S81" i="31"/>
  <c r="S80" i="31"/>
  <c r="S78" i="31"/>
  <c r="S101" i="31"/>
  <c r="S105" i="31"/>
  <c r="S109" i="31"/>
  <c r="S445" i="31"/>
  <c r="S449" i="31"/>
  <c r="S508" i="31"/>
  <c r="S509" i="31"/>
  <c r="S510"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6" i="31"/>
  <c r="S517" i="31"/>
  <c r="S518" i="31"/>
  <c r="S521"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F23" i="35" s="1"/>
  <c r="B57" i="35"/>
  <c r="B61" i="35"/>
  <c r="B59" i="35"/>
  <c r="F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Q11" i="34"/>
  <c r="Z11" i="34" s="1"/>
  <c r="Q10" i="34"/>
  <c r="Z10" i="34" s="1"/>
  <c r="F10" i="34"/>
  <c r="AA10" i="34" s="1"/>
  <c r="Q9" i="34"/>
  <c r="Z9" i="34"/>
  <c r="J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B98" i="21"/>
  <c r="H31" i="21"/>
  <c r="B96" i="21"/>
  <c r="B94" i="21"/>
  <c r="J29" i="21" s="1"/>
  <c r="B92" i="21"/>
  <c r="B90" i="21"/>
  <c r="J27" i="21" s="1"/>
  <c r="B74" i="21"/>
  <c r="B72" i="21"/>
  <c r="H13" i="21" s="1"/>
  <c r="B70" i="21"/>
  <c r="F12" i="21" s="1"/>
  <c r="C19" i="21"/>
  <c r="C17" i="21"/>
  <c r="C23" i="21"/>
  <c r="Q9" i="21"/>
  <c r="Z9" i="21" s="1"/>
  <c r="Q10" i="21"/>
  <c r="Z10" i="2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c r="Q33" i="21"/>
  <c r="Z33" i="21" s="1"/>
  <c r="Q34" i="21"/>
  <c r="Z34" i="21"/>
  <c r="J35" i="21"/>
  <c r="W35" i="21" s="1"/>
  <c r="Q35" i="21"/>
  <c r="Z35" i="21"/>
  <c r="Q36" i="21"/>
  <c r="Z36" i="21" s="1"/>
  <c r="Q37" i="21"/>
  <c r="Z37" i="21" s="1"/>
  <c r="J38" i="21"/>
  <c r="W38" i="21" s="1"/>
  <c r="Q38" i="21"/>
  <c r="Z38" i="21"/>
  <c r="J39" i="21"/>
  <c r="AC39" i="21" s="1"/>
  <c r="Q39" i="21"/>
  <c r="Z39" i="21"/>
  <c r="H40" i="21"/>
  <c r="AB40" i="21" s="1"/>
  <c r="Q40" i="21"/>
  <c r="Z40" i="2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4" i="39"/>
  <c r="AC44" i="39"/>
  <c r="H36" i="39"/>
  <c r="AB36" i="39" s="1"/>
  <c r="J35" i="39"/>
  <c r="AC35" i="39" s="1"/>
  <c r="F35" i="39"/>
  <c r="AA35" i="39"/>
  <c r="J36" i="39"/>
  <c r="AC36" i="39" s="1"/>
  <c r="U9" i="39"/>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U34" i="35"/>
  <c r="F36" i="34"/>
  <c r="AA36" i="34" s="1"/>
  <c r="J35" i="34"/>
  <c r="H39" i="33"/>
  <c r="AB39" i="33"/>
  <c r="F26" i="33"/>
  <c r="S26" i="33" s="1"/>
  <c r="AA26" i="33"/>
  <c r="U35" i="33"/>
  <c r="W39" i="33"/>
  <c r="H39" i="37"/>
  <c r="AB39" i="37" s="1"/>
  <c r="S27" i="35"/>
  <c r="F11" i="40"/>
  <c r="AA11" i="40"/>
  <c r="H11" i="40"/>
  <c r="AB11" i="40"/>
  <c r="AA9" i="40"/>
  <c r="U9" i="40"/>
  <c r="U38" i="40"/>
  <c r="W31" i="40"/>
  <c r="U34"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6"/>
  <c r="W32" i="40"/>
  <c r="S44" i="39"/>
  <c r="J34" i="36"/>
  <c r="W34" i="36" s="1"/>
  <c r="U30" i="36"/>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J33" i="37"/>
  <c r="AC33" i="37" s="1"/>
  <c r="U42" i="34"/>
  <c r="H40" i="34"/>
  <c r="U40" i="34" s="1"/>
  <c r="H36" i="34"/>
  <c r="U36" i="34" s="1"/>
  <c r="F37" i="34"/>
  <c r="AA37" i="34" s="1"/>
  <c r="F28" i="34"/>
  <c r="AA28" i="34" s="1"/>
  <c r="F25" i="34"/>
  <c r="S25" i="34" s="1"/>
  <c r="H23" i="34"/>
  <c r="U23" i="34" s="1"/>
  <c r="J23" i="34"/>
  <c r="W23" i="34" s="1"/>
  <c r="F19" i="34"/>
  <c r="S19" i="34" s="1"/>
  <c r="F15" i="34"/>
  <c r="AA15" i="34" s="1"/>
  <c r="J15" i="34"/>
  <c r="AC15" i="34" s="1"/>
  <c r="H15" i="34"/>
  <c r="AB15" i="34" s="1"/>
  <c r="J28" i="34"/>
  <c r="W28" i="34"/>
  <c r="F41" i="33"/>
  <c r="AA41" i="33" s="1"/>
  <c r="S38"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C43" i="34" s="1"/>
  <c r="AB42" i="34"/>
  <c r="J40" i="34"/>
  <c r="H38" i="34"/>
  <c r="AB38" i="34" s="1"/>
  <c r="J36" i="34"/>
  <c r="AC36" i="34" s="1"/>
  <c r="H37" i="34"/>
  <c r="U37" i="34" s="1"/>
  <c r="H25" i="34"/>
  <c r="AB25" i="34" s="1"/>
  <c r="F23" i="34"/>
  <c r="S23" i="34" s="1"/>
  <c r="J19" i="34"/>
  <c r="AC19"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s="1"/>
  <c r="J44" i="34"/>
  <c r="AC44" i="34" s="1"/>
  <c r="F44" i="34"/>
  <c r="S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c r="H29" i="21"/>
  <c r="U29" i="21"/>
  <c r="J31" i="21"/>
  <c r="AC31" i="21" s="1"/>
  <c r="F31" i="21"/>
  <c r="S31" i="2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W44" i="33" s="1"/>
  <c r="AC44" i="33"/>
  <c r="F44" i="33"/>
  <c r="S44" i="33" s="1"/>
  <c r="J46" i="33"/>
  <c r="AC46" i="33"/>
  <c r="F46" i="33"/>
  <c r="AA46" i="33" s="1"/>
  <c r="H46" i="33"/>
  <c r="AB46" i="33"/>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S11" i="36"/>
  <c r="AB46"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AZ510" i="3" s="1"/>
  <c r="BA508" i="3"/>
  <c r="AZ508" i="3" s="1"/>
  <c r="BA506" i="3"/>
  <c r="BA504" i="3"/>
  <c r="AZ504" i="3" s="1"/>
  <c r="BA502" i="3"/>
  <c r="BA500" i="3"/>
  <c r="AZ500" i="3" s="1"/>
  <c r="BA498" i="3"/>
  <c r="AZ498" i="3" s="1"/>
  <c r="BA496" i="3"/>
  <c r="BA494" i="3"/>
  <c r="AZ494" i="3" s="1"/>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AC5" i="3" s="1"/>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c r="U14" i="40"/>
  <c r="U39" i="37"/>
  <c r="U26" i="37"/>
  <c r="W47" i="34"/>
  <c r="AA13" i="33"/>
  <c r="AC31" i="33"/>
  <c r="AC45" i="33"/>
  <c r="U11" i="33"/>
  <c r="U19" i="21"/>
  <c r="W44"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47" i="3"/>
  <c r="AZ144" i="3"/>
  <c r="AZ168" i="3"/>
  <c r="AZ176" i="3"/>
  <c r="AZ184"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BA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BL388" i="3"/>
  <c r="G389" i="3"/>
  <c r="BA391" i="3"/>
  <c r="BL392" i="3"/>
  <c r="G393" i="3"/>
  <c r="AZ283" i="3"/>
  <c r="AZ291" i="3"/>
  <c r="BO5" i="3"/>
  <c r="BM5" i="3"/>
  <c r="BJ5" i="3"/>
  <c r="BH5" i="3"/>
  <c r="BF5" i="3"/>
  <c r="BD5" i="3"/>
  <c r="AZ325" i="3"/>
  <c r="AZ341" i="3"/>
  <c r="AZ506" i="3"/>
  <c r="AZ496" i="3"/>
  <c r="G548" i="3"/>
  <c r="G538" i="3"/>
  <c r="G520" i="3"/>
  <c r="G502" i="3"/>
  <c r="BS5" i="3"/>
  <c r="BP5" i="3"/>
  <c r="BN5" i="3"/>
  <c r="G29" i="6" s="1"/>
  <c r="BK5" i="3"/>
  <c r="BI5" i="3"/>
  <c r="BG5" i="3"/>
  <c r="BE5" i="3"/>
  <c r="BC5" i="3"/>
  <c r="G17" i="3"/>
  <c r="BA17" i="3"/>
  <c r="BT5" i="3"/>
  <c r="AZ350" i="3"/>
  <c r="AZ356" i="3"/>
  <c r="BA15" i="3"/>
  <c r="AZ15" i="3" s="1"/>
  <c r="BR5" i="3"/>
  <c r="AZ392" i="3"/>
  <c r="AZ509" i="3"/>
  <c r="G509" i="3"/>
  <c r="BL493" i="3"/>
  <c r="AZ493" i="3"/>
  <c r="U36" i="40"/>
  <c r="F83" i="43"/>
  <c r="H85" i="43" s="1"/>
  <c r="F50" i="43"/>
  <c r="H54" i="43" s="1"/>
  <c r="F72" i="43"/>
  <c r="H75" i="43" s="1"/>
  <c r="U17" i="39"/>
  <c r="S14" i="35"/>
  <c r="U43" i="21"/>
  <c r="U35" i="21"/>
  <c r="AC35" i="21"/>
  <c r="AC11" i="39"/>
  <c r="AZ563" i="3"/>
  <c r="AZ501" i="3"/>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80" i="3"/>
  <c r="F23" i="39"/>
  <c r="AA23" i="39"/>
  <c r="H27" i="36"/>
  <c r="U27" i="36" s="1"/>
  <c r="F27" i="36"/>
  <c r="AA27" i="36" s="1"/>
  <c r="H33" i="34"/>
  <c r="U33" i="34"/>
  <c r="F32" i="37"/>
  <c r="S32" i="37" s="1"/>
  <c r="F20" i="36"/>
  <c r="AA20" i="36" s="1"/>
  <c r="J33" i="34"/>
  <c r="AC33" i="34" s="1"/>
  <c r="H23" i="39"/>
  <c r="U23" i="39" s="1"/>
  <c r="D48" i="9"/>
  <c r="M52" i="9" s="1"/>
  <c r="K9" i="1"/>
  <c r="M9" i="1" s="1"/>
  <c r="D93" i="9"/>
  <c r="K6" i="1"/>
  <c r="AP6" i="1" s="1"/>
  <c r="AC26" i="33"/>
  <c r="W26" i="33"/>
  <c r="AB34" i="36"/>
  <c r="U34" i="36"/>
  <c r="AB33" i="36"/>
  <c r="U33" i="36"/>
  <c r="AC12" i="39"/>
  <c r="W12" i="39"/>
  <c r="AZ586" i="3"/>
  <c r="W12" i="33"/>
  <c r="AC12" i="33"/>
  <c r="AA32" i="36"/>
  <c r="S32" i="36"/>
  <c r="AZ473" i="3"/>
  <c r="BL14" i="3"/>
  <c r="U30" i="33"/>
  <c r="AC13" i="34"/>
  <c r="AA47" i="34"/>
  <c r="W28" i="37"/>
  <c r="S19" i="39"/>
  <c r="F12" i="33"/>
  <c r="S12" i="33" s="1"/>
  <c r="H12" i="39"/>
  <c r="AB12" i="39"/>
  <c r="F39" i="40"/>
  <c r="AA39" i="40" s="1"/>
  <c r="BA14" i="3"/>
  <c r="AZ14" i="3" s="1"/>
  <c r="AZ254" i="3"/>
  <c r="AZ18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S28" i="40"/>
  <c r="AA27" i="40"/>
  <c r="U21" i="40"/>
  <c r="U37" i="39"/>
  <c r="S43" i="39"/>
  <c r="U35" i="39"/>
  <c r="F32" i="39"/>
  <c r="AA32" i="39" s="1"/>
  <c r="F106" i="39"/>
  <c r="G106" i="39" s="1"/>
  <c r="H106" i="39" s="1"/>
  <c r="I106" i="39" s="1"/>
  <c r="J106" i="39" s="1"/>
  <c r="K106" i="39" s="1"/>
  <c r="L106" i="39" s="1"/>
  <c r="M106" i="39" s="1"/>
  <c r="U25" i="39"/>
  <c r="AB27" i="39"/>
  <c r="J21" i="39"/>
  <c r="W21" i="39" s="1"/>
  <c r="F21" i="39"/>
  <c r="AA21" i="39" s="1"/>
  <c r="G94" i="39"/>
  <c r="H21" i="39"/>
  <c r="W19" i="39"/>
  <c r="U19" i="39"/>
  <c r="S17" i="39"/>
  <c r="S15" i="39"/>
  <c r="AA12" i="39"/>
  <c r="S9" i="39"/>
  <c r="AC13" i="39"/>
  <c r="U12" i="39"/>
  <c r="S23" i="36"/>
  <c r="U13" i="36"/>
  <c r="U26" i="36"/>
  <c r="S33" i="36"/>
  <c r="AA26" i="36"/>
  <c r="AA34" i="36"/>
  <c r="AC26" i="36"/>
  <c r="AA22" i="36"/>
  <c r="W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AA33" i="34"/>
  <c r="W41" i="34"/>
  <c r="AC42" i="34"/>
  <c r="U39" i="34"/>
  <c r="AA45" i="34"/>
  <c r="U28"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H27" i="33"/>
  <c r="F87" i="33"/>
  <c r="G87" i="33" s="1"/>
  <c r="H87" i="33" s="1"/>
  <c r="H25" i="33"/>
  <c r="F25" i="33"/>
  <c r="AA25" i="33" s="1"/>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8"/>
  <c r="E1" i="73"/>
  <c r="C6" i="43"/>
  <c r="B19" i="53"/>
  <c r="B37" i="72" s="1"/>
  <c r="C7" i="39"/>
  <c r="C67" i="39" s="1"/>
  <c r="C7" i="21"/>
  <c r="C7" i="40"/>
  <c r="C63" i="40" s="1"/>
  <c r="A4" i="51"/>
  <c r="B6" i="72" s="1"/>
  <c r="L20" i="6"/>
  <c r="B6" i="1"/>
  <c r="E6" i="1" s="1"/>
  <c r="K11" i="1"/>
  <c r="M11" i="1" s="1"/>
  <c r="O11" i="1" s="1"/>
  <c r="B9" i="1"/>
  <c r="E9" i="1" s="1"/>
  <c r="K7" i="1"/>
  <c r="M7" i="1" s="1"/>
  <c r="O7" i="1" s="1"/>
  <c r="P7" i="1" s="1"/>
  <c r="G1" i="15"/>
  <c r="W23"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AC25" i="35"/>
  <c r="U25" i="35"/>
  <c r="S24" i="35"/>
  <c r="S35" i="35"/>
  <c r="W35" i="35"/>
  <c r="AA16" i="35"/>
  <c r="AA35" i="37"/>
  <c r="W36" i="37"/>
  <c r="S27" i="37"/>
  <c r="S28" i="37"/>
  <c r="U36" i="37"/>
  <c r="S40" i="37"/>
  <c r="U38" i="37"/>
  <c r="AB37" i="37"/>
  <c r="AC34" i="37"/>
  <c r="AB35" i="37"/>
  <c r="AA31" i="37"/>
  <c r="AA29" i="37"/>
  <c r="U8" i="37"/>
  <c r="AA40" i="34"/>
  <c r="AB40" i="34"/>
  <c r="AB33" i="34"/>
  <c r="AC45" i="34"/>
  <c r="AA31" i="34"/>
  <c r="AA30" i="34"/>
  <c r="AB45" i="34"/>
  <c r="AB47" i="34"/>
  <c r="W33" i="34"/>
  <c r="AC14" i="34"/>
  <c r="AC32" i="34"/>
  <c r="AC29" i="34"/>
  <c r="W29" i="34"/>
  <c r="W46" i="34"/>
  <c r="AC46" i="34"/>
  <c r="S32" i="34"/>
  <c r="AA32" i="34"/>
  <c r="U30" i="34"/>
  <c r="AB30" i="34"/>
  <c r="S37" i="34"/>
  <c r="U38" i="34"/>
  <c r="AC40" i="34"/>
  <c r="W40" i="34"/>
  <c r="AA8" i="34"/>
  <c r="S8" i="34"/>
  <c r="S46" i="34"/>
  <c r="AA46" i="34"/>
  <c r="U32" i="34"/>
  <c r="AB32" i="34"/>
  <c r="U14" i="34"/>
  <c r="AB14"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AB15" i="21" s="1"/>
  <c r="U15" i="21"/>
  <c r="J17" i="21"/>
  <c r="AC17" i="21"/>
  <c r="AC19" i="21"/>
  <c r="W39" i="21"/>
  <c r="AC14" i="21"/>
  <c r="W30" i="21"/>
  <c r="S46" i="21"/>
  <c r="H45" i="21"/>
  <c r="F29" i="21"/>
  <c r="AA29" i="21" s="1"/>
  <c r="F13" i="21"/>
  <c r="AA13" i="21" s="1"/>
  <c r="AC38" i="21"/>
  <c r="H32" i="21"/>
  <c r="H9" i="21"/>
  <c r="J9" i="21"/>
  <c r="J32" i="21"/>
  <c r="W32" i="21" s="1"/>
  <c r="F32" i="21"/>
  <c r="AA31" i="21"/>
  <c r="U17"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AA12" i="33"/>
  <c r="J32" i="39"/>
  <c r="AC32" i="39" s="1"/>
  <c r="H32" i="39"/>
  <c r="AB32" i="39" s="1"/>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S36" i="33"/>
  <c r="W32" i="33"/>
  <c r="U27" i="33"/>
  <c r="AB27" i="33"/>
  <c r="M91" i="33"/>
  <c r="J27" i="33"/>
  <c r="U25" i="33"/>
  <c r="AB25" i="33"/>
  <c r="S25" i="33"/>
  <c r="I87" i="33"/>
  <c r="J87" i="33" s="1"/>
  <c r="K87" i="33" s="1"/>
  <c r="L87" i="33" s="1"/>
  <c r="M87" i="33" s="1"/>
  <c r="J25" i="33"/>
  <c r="AB23" i="33"/>
  <c r="U23" i="33"/>
  <c r="F23" i="33"/>
  <c r="H19" i="33"/>
  <c r="AB19" i="33" s="1"/>
  <c r="G81" i="33"/>
  <c r="H17" i="33"/>
  <c r="U17" i="33" s="1"/>
  <c r="F17" i="33"/>
  <c r="S17" i="33" s="1"/>
  <c r="W17" i="33"/>
  <c r="AC17" i="33"/>
  <c r="J23" i="21"/>
  <c r="W23" i="21" s="1"/>
  <c r="F85" i="21"/>
  <c r="G85" i="21" s="1"/>
  <c r="H23" i="21"/>
  <c r="S13" i="21"/>
  <c r="D6" i="52"/>
  <c r="AP7" i="1"/>
  <c r="AB9" i="21"/>
  <c r="U9" i="21"/>
  <c r="W9" i="21"/>
  <c r="AC9" i="21"/>
  <c r="W23" i="37"/>
  <c r="AC23" i="37"/>
  <c r="J11" i="37"/>
  <c r="AC11" i="37" s="1"/>
  <c r="H70" i="34"/>
  <c r="I70" i="34" s="1"/>
  <c r="J70" i="34" s="1"/>
  <c r="K70" i="34"/>
  <c r="L70" i="34" s="1"/>
  <c r="M70" i="34" s="1"/>
  <c r="J11" i="34"/>
  <c r="W11" i="34" s="1"/>
  <c r="W27" i="33"/>
  <c r="AC27" i="33"/>
  <c r="W25" i="33"/>
  <c r="AC25" i="33"/>
  <c r="U19" i="33"/>
  <c r="U23" i="21"/>
  <c r="AB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 i="73"/>
  <c r="E9" i="76"/>
  <c r="F8" i="15"/>
  <c r="AO13" i="1"/>
  <c r="E7" i="76"/>
  <c r="L48" i="15"/>
  <c r="F4" i="73"/>
  <c r="L47" i="15"/>
  <c r="F20" i="31"/>
  <c r="M28" i="15"/>
  <c r="F7" i="73"/>
  <c r="D6" i="73"/>
  <c r="M6" i="15"/>
  <c r="E8" i="76"/>
  <c r="M29" i="15"/>
  <c r="B12" i="76"/>
  <c r="B8" i="76"/>
  <c r="E2" i="68"/>
  <c r="F6" i="15"/>
  <c r="E11" i="76"/>
  <c r="E12" i="76"/>
  <c r="F16" i="15"/>
  <c r="B7" i="76"/>
  <c r="F6" i="73"/>
  <c r="E13" i="76"/>
  <c r="E2" i="69"/>
  <c r="M26" i="15"/>
  <c r="M22" i="15"/>
  <c r="M8" i="15"/>
  <c r="F36" i="15"/>
  <c r="F5" i="73"/>
  <c r="C76" i="15"/>
  <c r="F43" i="15"/>
  <c r="F26" i="15"/>
  <c r="F38" i="15"/>
  <c r="F37" i="15"/>
  <c r="M23" i="15"/>
  <c r="B11" i="76"/>
  <c r="M24" i="15"/>
  <c r="B10" i="76"/>
  <c r="F9" i="15"/>
  <c r="J15" i="15"/>
  <c r="F42" i="15"/>
  <c r="E10" i="76"/>
  <c r="F40" i="15"/>
  <c r="F7" i="15"/>
  <c r="M9" i="15"/>
  <c r="B9" i="76"/>
  <c r="F13" i="15"/>
  <c r="B13" i="76"/>
  <c r="J25" i="34" l="1"/>
  <c r="AC25" i="34" s="1"/>
  <c r="U25" i="34"/>
  <c r="W25" i="34"/>
  <c r="AA25" i="34"/>
  <c r="C18" i="9"/>
  <c r="D18" i="9" s="1"/>
  <c r="U27" i="34"/>
  <c r="W27" i="34"/>
  <c r="W44" i="34"/>
  <c r="AA44" i="34"/>
  <c r="S36" i="34"/>
  <c r="AB36" i="34"/>
  <c r="W36" i="34"/>
  <c r="W43" i="34"/>
  <c r="S43" i="34"/>
  <c r="U43" i="34"/>
  <c r="AB35" i="34"/>
  <c r="U34" i="34"/>
  <c r="AA23" i="34"/>
  <c r="AA19" i="34"/>
  <c r="W19" i="34"/>
  <c r="AB23" i="34"/>
  <c r="AC23" i="34"/>
  <c r="U19" i="34"/>
  <c r="F17" i="34"/>
  <c r="AA17" i="34" s="1"/>
  <c r="H17" i="34"/>
  <c r="U17" i="34" s="1"/>
  <c r="AC17" i="34"/>
  <c r="W15" i="34"/>
  <c r="AB8" i="34"/>
  <c r="F32" i="67"/>
  <c r="F60" i="67" s="1"/>
  <c r="F28" i="67"/>
  <c r="F28" i="15"/>
  <c r="C28" i="15" s="1"/>
  <c r="C21" i="68"/>
  <c r="E19" i="11"/>
  <c r="G22" i="11"/>
  <c r="G26" i="12"/>
  <c r="G22" i="68"/>
  <c r="G22" i="69"/>
  <c r="G1" i="67"/>
  <c r="G13" i="3"/>
  <c r="F29" i="6"/>
  <c r="C7" i="36"/>
  <c r="C46" i="36" s="1"/>
  <c r="D46" i="36" s="1"/>
  <c r="E46" i="36" s="1"/>
  <c r="F46" i="36" s="1"/>
  <c r="G46" i="36" s="1"/>
  <c r="H46" i="36" s="1"/>
  <c r="I46" i="36" s="1"/>
  <c r="G23" i="43"/>
  <c r="C23" i="43" s="1"/>
  <c r="C7" i="33"/>
  <c r="M47" i="9"/>
  <c r="C7" i="35"/>
  <c r="C48" i="35" s="1"/>
  <c r="D48" i="35" s="1"/>
  <c r="AC23" i="21"/>
  <c r="AA32" i="21"/>
  <c r="S32" i="21"/>
  <c r="AB32" i="21"/>
  <c r="U32" i="21"/>
  <c r="U45" i="21"/>
  <c r="AB45" i="21"/>
  <c r="AC27" i="21"/>
  <c r="W27" i="21"/>
  <c r="AA25" i="37"/>
  <c r="S25" i="37"/>
  <c r="D22" i="71"/>
  <c r="C21" i="71"/>
  <c r="D21" i="71" s="1"/>
  <c r="AC9" i="34"/>
  <c r="W9" i="34"/>
  <c r="U12" i="34"/>
  <c r="AB12" i="34"/>
  <c r="U32" i="39"/>
  <c r="U13" i="21"/>
  <c r="AB13" i="21"/>
  <c r="W29" i="21"/>
  <c r="AC29" i="21"/>
  <c r="AA23" i="35"/>
  <c r="S23" i="35"/>
  <c r="AB36" i="33"/>
  <c r="W32" i="39"/>
  <c r="S21" i="39"/>
  <c r="F54" i="9"/>
  <c r="F32" i="15"/>
  <c r="F60" i="15" s="1"/>
  <c r="F52" i="9"/>
  <c r="F30" i="68"/>
  <c r="F48" i="68" s="1"/>
  <c r="AC34" i="33"/>
  <c r="AZ391" i="3"/>
  <c r="AZ364" i="3"/>
  <c r="AZ329" i="3"/>
  <c r="AZ304" i="3"/>
  <c r="AZ306" i="3"/>
  <c r="AZ535" i="3"/>
  <c r="AZ557" i="3"/>
  <c r="AZ513" i="3"/>
  <c r="AZ575" i="3"/>
  <c r="AZ528" i="3"/>
  <c r="AZ574" i="3"/>
  <c r="AZ540" i="3"/>
  <c r="AZ502" i="3"/>
  <c r="W33" i="33"/>
  <c r="G587" i="3"/>
  <c r="B101" i="43"/>
  <c r="B79" i="43"/>
  <c r="AC8" i="34"/>
  <c r="W8" i="34"/>
  <c r="H23" i="36"/>
  <c r="J23" i="36"/>
  <c r="J25" i="37"/>
  <c r="H31" i="39"/>
  <c r="J31" i="39"/>
  <c r="M18" i="15"/>
  <c r="M18" i="67"/>
  <c r="F30" i="11"/>
  <c r="C48" i="11" s="1"/>
  <c r="AA19" i="33"/>
  <c r="AC37" i="33"/>
  <c r="S20" i="36"/>
  <c r="AA17" i="33"/>
  <c r="S37" i="21"/>
  <c r="D68" i="9"/>
  <c r="F30" i="69"/>
  <c r="F48" i="69" s="1"/>
  <c r="F31" i="12"/>
  <c r="C31" i="12" s="1"/>
  <c r="U19" i="37"/>
  <c r="W32" i="37"/>
  <c r="U24" i="35"/>
  <c r="AB20" i="35"/>
  <c r="U41" i="39"/>
  <c r="U32" i="40"/>
  <c r="AB41" i="34"/>
  <c r="S37" i="37"/>
  <c r="AB14" i="36"/>
  <c r="U14" i="39"/>
  <c r="AB19" i="40"/>
  <c r="AA19" i="40"/>
  <c r="AA32" i="37"/>
  <c r="U13" i="37"/>
  <c r="AZ357" i="3"/>
  <c r="AZ322" i="3"/>
  <c r="AZ313" i="3"/>
  <c r="AZ394" i="3"/>
  <c r="AZ340" i="3"/>
  <c r="S14" i="40"/>
  <c r="AA25" i="21"/>
  <c r="AZ519" i="3"/>
  <c r="AZ531" i="3"/>
  <c r="AZ573" i="3"/>
  <c r="AZ583" i="3"/>
  <c r="AZ568" i="3"/>
  <c r="AZ576" i="3"/>
  <c r="U36" i="39"/>
  <c r="AA14" i="34"/>
  <c r="F27" i="21"/>
  <c r="S38" i="39"/>
  <c r="W22" i="35"/>
  <c r="W31" i="37"/>
  <c r="J45" i="39"/>
  <c r="W45" i="39" s="1"/>
  <c r="BL585" i="3"/>
  <c r="F9" i="33"/>
  <c r="AA9" i="33" s="1"/>
  <c r="AB33" i="33"/>
  <c r="U33" i="33"/>
  <c r="H25" i="37"/>
  <c r="AC40" i="39"/>
  <c r="W40" i="39"/>
  <c r="AC8" i="40"/>
  <c r="W8" i="40"/>
  <c r="G558" i="3"/>
  <c r="AZ579" i="3"/>
  <c r="AA35" i="34"/>
  <c r="S35" i="34"/>
  <c r="J12" i="34"/>
  <c r="F12" i="34"/>
  <c r="S12" i="34" s="1"/>
  <c r="J39" i="40"/>
  <c r="H39" i="40"/>
  <c r="AC39" i="34"/>
  <c r="AA34" i="33"/>
  <c r="AZ387" i="3"/>
  <c r="AZ374" i="3"/>
  <c r="AZ338" i="3"/>
  <c r="AZ371" i="3"/>
  <c r="AZ305" i="3"/>
  <c r="AZ360" i="3"/>
  <c r="AZ529" i="3"/>
  <c r="AZ537" i="3"/>
  <c r="AZ546" i="3"/>
  <c r="AZ585" i="3"/>
  <c r="BL587" i="3"/>
  <c r="AZ587" i="3" s="1"/>
  <c r="F9" i="34"/>
  <c r="AA9" i="34" s="1"/>
  <c r="H9" i="34"/>
  <c r="U12" i="35"/>
  <c r="AB12" i="35"/>
  <c r="J23" i="35"/>
  <c r="H23" i="35"/>
  <c r="J37" i="39"/>
  <c r="F37" i="39"/>
  <c r="G556" i="3"/>
  <c r="BA551" i="3"/>
  <c r="AZ551" i="3" s="1"/>
  <c r="BA550" i="3"/>
  <c r="BL548" i="3"/>
  <c r="AZ548" i="3" s="1"/>
  <c r="AZ458" i="3"/>
  <c r="AZ462" i="3"/>
  <c r="AZ402" i="3"/>
  <c r="AZ406" i="3"/>
  <c r="AZ432" i="3"/>
  <c r="AZ443" i="3"/>
  <c r="AZ469" i="3"/>
  <c r="AZ476" i="3"/>
  <c r="G551" i="3"/>
  <c r="BL550" i="3"/>
  <c r="G542"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40" i="3"/>
  <c r="BL441" i="3"/>
  <c r="BL442" i="3"/>
  <c r="BL444" i="3"/>
  <c r="AZ444" i="3" s="1"/>
  <c r="G447" i="3"/>
  <c r="BL448" i="3"/>
  <c r="AZ448" i="3" s="1"/>
  <c r="G451" i="3"/>
  <c r="BA454" i="3"/>
  <c r="BA457" i="3"/>
  <c r="AZ457" i="3" s="1"/>
  <c r="BA459" i="3"/>
  <c r="BA460" i="3"/>
  <c r="AZ460" i="3" s="1"/>
  <c r="BA461" i="3"/>
  <c r="AZ461" i="3" s="1"/>
  <c r="BL464" i="3"/>
  <c r="BL467" i="3"/>
  <c r="BL468" i="3"/>
  <c r="BL471" i="3"/>
  <c r="BL475" i="3"/>
  <c r="BA477" i="3"/>
  <c r="BA478" i="3"/>
  <c r="AZ487" i="3"/>
  <c r="BL16" i="3"/>
  <c r="AZ16" i="3" s="1"/>
  <c r="BA401" i="3"/>
  <c r="BA403" i="3"/>
  <c r="AZ403" i="3" s="1"/>
  <c r="BA404" i="3"/>
  <c r="BA405" i="3"/>
  <c r="AZ405" i="3" s="1"/>
  <c r="G409" i="3"/>
  <c r="BL410" i="3"/>
  <c r="G412" i="3"/>
  <c r="G418" i="3"/>
  <c r="G419" i="3"/>
  <c r="BA422" i="3"/>
  <c r="AZ422" i="3" s="1"/>
  <c r="G430" i="3"/>
  <c r="BL431" i="3"/>
  <c r="BL434" i="3"/>
  <c r="G437" i="3"/>
  <c r="BL438" i="3"/>
  <c r="BL439" i="3"/>
  <c r="BA441" i="3"/>
  <c r="AZ441" i="3" s="1"/>
  <c r="BL445" i="3"/>
  <c r="BL446" i="3"/>
  <c r="BL449" i="3"/>
  <c r="BL450" i="3"/>
  <c r="BL452" i="3"/>
  <c r="G455" i="3"/>
  <c r="BL456" i="3"/>
  <c r="BA464" i="3"/>
  <c r="BA467" i="3"/>
  <c r="BA468" i="3"/>
  <c r="BL479" i="3"/>
  <c r="BL480" i="3"/>
  <c r="AZ480" i="3" s="1"/>
  <c r="BA483" i="3"/>
  <c r="BL483" i="3"/>
  <c r="AZ483" i="3" s="1"/>
  <c r="BA486" i="3"/>
  <c r="BA491" i="3"/>
  <c r="BL316" i="3"/>
  <c r="BL324" i="3"/>
  <c r="AZ324" i="3" s="1"/>
  <c r="BL328" i="3"/>
  <c r="AZ328" i="3" s="1"/>
  <c r="G398" i="3"/>
  <c r="BL400" i="3"/>
  <c r="AZ400" i="3" s="1"/>
  <c r="BL408" i="3"/>
  <c r="AZ408" i="3" s="1"/>
  <c r="BL411" i="3"/>
  <c r="AZ411" i="3" s="1"/>
  <c r="BL413" i="3"/>
  <c r="AZ413" i="3" s="1"/>
  <c r="G415" i="3"/>
  <c r="BL417" i="3"/>
  <c r="AZ417" i="3" s="1"/>
  <c r="BL418" i="3"/>
  <c r="BL420" i="3"/>
  <c r="G422" i="3"/>
  <c r="BL424" i="3"/>
  <c r="G426" i="3"/>
  <c r="G427" i="3"/>
  <c r="BL428" i="3"/>
  <c r="AZ428" i="3" s="1"/>
  <c r="BL429" i="3"/>
  <c r="AZ429" i="3" s="1"/>
  <c r="BL432" i="3"/>
  <c r="BL435" i="3"/>
  <c r="BL436" i="3"/>
  <c r="BA439" i="3"/>
  <c r="BA440" i="3"/>
  <c r="AZ440" i="3" s="1"/>
  <c r="BA442" i="3"/>
  <c r="BA445" i="3"/>
  <c r="BA447" i="3"/>
  <c r="AZ447" i="3" s="1"/>
  <c r="BA449" i="3"/>
  <c r="BL453" i="3"/>
  <c r="AZ453" i="3" s="1"/>
  <c r="BL454" i="3"/>
  <c r="G458" i="3"/>
  <c r="BL459" i="3"/>
  <c r="G461" i="3"/>
  <c r="G462" i="3"/>
  <c r="BA465" i="3"/>
  <c r="AZ465" i="3" s="1"/>
  <c r="BL469" i="3"/>
  <c r="BL476" i="3"/>
  <c r="BL477" i="3"/>
  <c r="BL478" i="3"/>
  <c r="G479" i="3"/>
  <c r="BA482" i="3"/>
  <c r="BA484" i="3"/>
  <c r="AZ484" i="3" s="1"/>
  <c r="BA488" i="3"/>
  <c r="AZ488" i="3" s="1"/>
  <c r="BL340" i="3"/>
  <c r="BA277" i="3"/>
  <c r="AZ277" i="3" s="1"/>
  <c r="BL277" i="3"/>
  <c r="BA282" i="3"/>
  <c r="BL282" i="3"/>
  <c r="BA284" i="3"/>
  <c r="AZ284" i="3" s="1"/>
  <c r="BA116" i="3"/>
  <c r="AZ116" i="3" s="1"/>
  <c r="BA121" i="3"/>
  <c r="BL121" i="3"/>
  <c r="BA129" i="3"/>
  <c r="BA133" i="3"/>
  <c r="AZ133" i="3" s="1"/>
  <c r="G465" i="3"/>
  <c r="BA471" i="3"/>
  <c r="AZ471" i="3" s="1"/>
  <c r="G486" i="3"/>
  <c r="G488" i="3"/>
  <c r="BL317" i="3"/>
  <c r="G318" i="3"/>
  <c r="BA349" i="3"/>
  <c r="AZ349" i="3" s="1"/>
  <c r="BA353" i="3"/>
  <c r="AZ353" i="3" s="1"/>
  <c r="BL353" i="3"/>
  <c r="BA358" i="3"/>
  <c r="AZ358" i="3" s="1"/>
  <c r="G362" i="3"/>
  <c r="BL365" i="3"/>
  <c r="AZ365" i="3" s="1"/>
  <c r="G366" i="3"/>
  <c r="BA368" i="3"/>
  <c r="BL368" i="3"/>
  <c r="BA374" i="3"/>
  <c r="BA388" i="3"/>
  <c r="AZ388" i="3" s="1"/>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L292" i="3"/>
  <c r="AZ125" i="3"/>
  <c r="AZ126" i="3"/>
  <c r="BA132" i="3"/>
  <c r="AZ132" i="3" s="1"/>
  <c r="BL491" i="3"/>
  <c r="BL492" i="3"/>
  <c r="G307"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96" i="3"/>
  <c r="BL113"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BL298" i="3"/>
  <c r="BL125" i="3"/>
  <c r="BL126" i="3"/>
  <c r="AZ201" i="3"/>
  <c r="BL141" i="3"/>
  <c r="BL143" i="3"/>
  <c r="AZ143" i="3" s="1"/>
  <c r="BL157" i="3"/>
  <c r="AZ157" i="3" s="1"/>
  <c r="BL159" i="3"/>
  <c r="AZ159" i="3" s="1"/>
  <c r="BL177" i="3"/>
  <c r="AZ177" i="3" s="1"/>
  <c r="BL183" i="3"/>
  <c r="AZ183" i="3" s="1"/>
  <c r="BA186" i="3"/>
  <c r="AZ186" i="3" s="1"/>
  <c r="BA190" i="3"/>
  <c r="AZ190" i="3" s="1"/>
  <c r="BA197" i="3"/>
  <c r="AZ197" i="3" s="1"/>
  <c r="BL201" i="3"/>
  <c r="BL203" i="3"/>
  <c r="AZ203" i="3" s="1"/>
  <c r="BA204" i="3"/>
  <c r="AZ204" i="3" s="1"/>
  <c r="BA18" i="3"/>
  <c r="BL21" i="3"/>
  <c r="G29" i="3"/>
  <c r="BL29" i="3"/>
  <c r="BA33" i="3"/>
  <c r="BA36" i="3"/>
  <c r="BL38" i="3"/>
  <c r="BA39" i="3"/>
  <c r="BA41" i="3"/>
  <c r="BA42" i="3"/>
  <c r="BL45" i="3"/>
  <c r="BA48" i="3"/>
  <c r="BA49" i="3"/>
  <c r="BL57" i="3"/>
  <c r="BL67" i="3"/>
  <c r="AZ67" i="3" s="1"/>
  <c r="BA70" i="3"/>
  <c r="AZ70" i="3" s="1"/>
  <c r="BL74" i="3"/>
  <c r="BL79" i="3"/>
  <c r="BL93" i="3"/>
  <c r="BA109" i="3"/>
  <c r="D31" i="71"/>
  <c r="C32" i="71"/>
  <c r="D50" i="71"/>
  <c r="C51" i="71"/>
  <c r="V24" i="71"/>
  <c r="E23" i="71"/>
  <c r="E22" i="71" s="1"/>
  <c r="E21" i="71" s="1"/>
  <c r="E20" i="71" s="1"/>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8" i="3"/>
  <c r="BL40" i="3"/>
  <c r="BL41" i="3"/>
  <c r="AZ52" i="3"/>
  <c r="BA53" i="3"/>
  <c r="D34" i="71"/>
  <c r="C35" i="71"/>
  <c r="F66" i="71"/>
  <c r="Q67" i="71"/>
  <c r="AZ103" i="3"/>
  <c r="C55" i="71"/>
  <c r="D54" i="71"/>
  <c r="D67" i="71"/>
  <c r="C66" i="71"/>
  <c r="O67" i="7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7" i="3"/>
  <c r="BA27" i="3"/>
  <c r="AZ27" i="3" s="1"/>
  <c r="BL30" i="3"/>
  <c r="BL31" i="3"/>
  <c r="AZ31" i="3" s="1"/>
  <c r="G47" i="3"/>
  <c r="BL48" i="3"/>
  <c r="BA51" i="3"/>
  <c r="BL62" i="3"/>
  <c r="AZ62" i="3" s="1"/>
  <c r="BL63" i="3"/>
  <c r="BA65" i="3"/>
  <c r="AZ65" i="3" s="1"/>
  <c r="BL69" i="3"/>
  <c r="BA72" i="3"/>
  <c r="AZ72" i="3" s="1"/>
  <c r="BA73" i="3"/>
  <c r="C44" i="71"/>
  <c r="D43" i="71"/>
  <c r="C64" i="71"/>
  <c r="D63" i="71"/>
  <c r="BL54" i="3"/>
  <c r="BL55" i="3"/>
  <c r="AZ55" i="3" s="1"/>
  <c r="G57" i="3"/>
  <c r="G58" i="3"/>
  <c r="BA59" i="3"/>
  <c r="AZ59" i="3" s="1"/>
  <c r="G61" i="3"/>
  <c r="BL61" i="3"/>
  <c r="AZ61" i="3" s="1"/>
  <c r="G64" i="3"/>
  <c r="BA64" i="3"/>
  <c r="AZ64" i="3" s="1"/>
  <c r="G67" i="3"/>
  <c r="BL68" i="3"/>
  <c r="BA69" i="3"/>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28" i="71"/>
  <c r="AB27" i="71"/>
  <c r="E75" i="71"/>
  <c r="E74" i="71" s="1"/>
  <c r="AB25" i="71"/>
  <c r="X26" i="71"/>
  <c r="Y25" i="71"/>
  <c r="Z25" i="71" s="1"/>
  <c r="Y29" i="71"/>
  <c r="Z29" i="71" s="1"/>
  <c r="AB32" i="71"/>
  <c r="X33" i="71"/>
  <c r="P66" i="71"/>
  <c r="AA27" i="71"/>
  <c r="AB26" i="71"/>
  <c r="C83" i="71"/>
  <c r="C79" i="71"/>
  <c r="C71" i="71"/>
  <c r="O68" i="71"/>
  <c r="D46" i="71"/>
  <c r="C39" i="71"/>
  <c r="Y28" i="71"/>
  <c r="Z28" i="71" s="1"/>
  <c r="C28" i="71"/>
  <c r="X35" i="71"/>
  <c r="AA37" i="71"/>
  <c r="Y30" i="71"/>
  <c r="Z30" i="71" s="1"/>
  <c r="X28" i="71"/>
  <c r="X32" i="71"/>
  <c r="F38" i="71"/>
  <c r="F39" i="71" s="1"/>
  <c r="F40" i="71" s="1"/>
  <c r="V40" i="71" s="1"/>
  <c r="F75" i="71"/>
  <c r="F74" i="71" s="1"/>
  <c r="B79" i="71"/>
  <c r="B78" i="71" s="1"/>
  <c r="G33" i="3"/>
  <c r="G34" i="3"/>
  <c r="BA37" i="3"/>
  <c r="G39" i="3"/>
  <c r="BL39" i="3"/>
  <c r="G43" i="3"/>
  <c r="G44" i="3"/>
  <c r="BA45" i="3"/>
  <c r="AZ45" i="3" s="1"/>
  <c r="BA46" i="3"/>
  <c r="BL49" i="3"/>
  <c r="BL50" i="3"/>
  <c r="AZ50" i="3" s="1"/>
  <c r="BL51" i="3"/>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75" i="3"/>
  <c r="BL81" i="3"/>
  <c r="BA82" i="3"/>
  <c r="AZ82" i="3" s="1"/>
  <c r="BL83" i="3"/>
  <c r="BA90" i="3"/>
  <c r="BL94" i="3"/>
  <c r="AZ94" i="3" s="1"/>
  <c r="BA100" i="3"/>
  <c r="AZ100" i="3" s="1"/>
  <c r="BA102" i="3"/>
  <c r="AZ102" i="3" s="1"/>
  <c r="BL105" i="3"/>
  <c r="AZ105" i="3" s="1"/>
  <c r="BL107" i="3"/>
  <c r="BA111" i="3"/>
  <c r="AZ111" i="3" s="1"/>
  <c r="K13" i="1"/>
  <c r="M13" i="1" s="1"/>
  <c r="O13" i="1" s="1"/>
  <c r="P13" i="1" s="1"/>
  <c r="AC21" i="37"/>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15"/>
  <c r="C36" i="68"/>
  <c r="D9" i="69"/>
  <c r="C36" i="69"/>
  <c r="D9" i="68"/>
  <c r="F42" i="67"/>
  <c r="F7" i="67"/>
  <c r="C16" i="15"/>
  <c r="M26" i="67"/>
  <c r="D7" i="73"/>
  <c r="F37" i="67"/>
  <c r="M22" i="67"/>
  <c r="F38" i="67"/>
  <c r="F43" i="67"/>
  <c r="M8" i="67"/>
  <c r="F8" i="67"/>
  <c r="F9" i="67"/>
  <c r="F16" i="67"/>
  <c r="F13" i="67"/>
  <c r="F40" i="67"/>
  <c r="D4" i="73"/>
  <c r="M23" i="67"/>
  <c r="M29" i="67"/>
  <c r="C76" i="67"/>
  <c r="L47" i="67"/>
  <c r="F6" i="67"/>
  <c r="M6" i="67"/>
  <c r="F36" i="67"/>
  <c r="D5" i="73"/>
  <c r="D3" i="73"/>
  <c r="J15" i="67"/>
  <c r="M24" i="67"/>
  <c r="M28" i="67"/>
  <c r="M9" i="67"/>
  <c r="L48" i="67"/>
  <c r="F26" i="67"/>
  <c r="S17" i="34" l="1"/>
  <c r="AB17" i="34"/>
  <c r="C30" i="68"/>
  <c r="C48" i="68"/>
  <c r="C30" i="11"/>
  <c r="Q16" i="1"/>
  <c r="F27" i="69" s="1"/>
  <c r="C47" i="69" s="1"/>
  <c r="D45" i="69" s="1"/>
  <c r="F64" i="67"/>
  <c r="C27" i="67"/>
  <c r="F68" i="67"/>
  <c r="F66" i="67"/>
  <c r="F50" i="67"/>
  <c r="M7" i="67"/>
  <c r="J6" i="67" s="1"/>
  <c r="J18" i="67" s="1"/>
  <c r="F51" i="67"/>
  <c r="N59" i="67"/>
  <c r="L59" i="67"/>
  <c r="Q61" i="67" s="1"/>
  <c r="M59" i="67"/>
  <c r="F71" i="67"/>
  <c r="J26" i="43"/>
  <c r="K16" i="1"/>
  <c r="P6" i="1"/>
  <c r="C13" i="12" s="1"/>
  <c r="N94" i="46"/>
  <c r="N370" i="46"/>
  <c r="F26" i="43"/>
  <c r="D26" i="43" s="1"/>
  <c r="C25" i="43" s="1"/>
  <c r="E26" i="43"/>
  <c r="H26" i="43"/>
  <c r="H16" i="1"/>
  <c r="F65" i="67"/>
  <c r="F31" i="67"/>
  <c r="C6" i="67"/>
  <c r="C32" i="67" s="1"/>
  <c r="Q71" i="67"/>
  <c r="L56" i="67"/>
  <c r="L58" i="67"/>
  <c r="Q60" i="67" s="1"/>
  <c r="I54" i="67"/>
  <c r="J53" i="67"/>
  <c r="Q52" i="67" s="1"/>
  <c r="J57" i="67"/>
  <c r="J55" i="67" s="1"/>
  <c r="J58" i="67" s="1"/>
  <c r="Q50" i="67" s="1"/>
  <c r="G16" i="1"/>
  <c r="F10" i="39" s="1"/>
  <c r="S10" i="39" s="1"/>
  <c r="T28" i="71"/>
  <c r="D28" i="71"/>
  <c r="U28" i="71" s="1"/>
  <c r="C27" i="71"/>
  <c r="C52" i="71"/>
  <c r="D51" i="71"/>
  <c r="AZ39" i="3"/>
  <c r="AA37" i="39"/>
  <c r="S37" i="39"/>
  <c r="AB39" i="40"/>
  <c r="U39" i="40"/>
  <c r="AC31" i="39"/>
  <c r="W31" i="39"/>
  <c r="U23" i="36"/>
  <c r="AB23" i="36"/>
  <c r="C70" i="71"/>
  <c r="D70" i="71" s="1"/>
  <c r="D71" i="71"/>
  <c r="AZ51" i="3"/>
  <c r="C56" i="71"/>
  <c r="D55" i="71"/>
  <c r="AZ53" i="3"/>
  <c r="AZ150" i="3"/>
  <c r="AZ38" i="3"/>
  <c r="AZ249" i="3"/>
  <c r="AZ243" i="3"/>
  <c r="AZ368" i="3"/>
  <c r="AZ404" i="3"/>
  <c r="AZ454" i="3"/>
  <c r="AZ550" i="3"/>
  <c r="W37" i="39"/>
  <c r="AC37" i="39"/>
  <c r="W39" i="40"/>
  <c r="AC39" i="40"/>
  <c r="AB25" i="37"/>
  <c r="U25" i="37"/>
  <c r="AB31" i="39"/>
  <c r="U31" i="39"/>
  <c r="C40" i="71"/>
  <c r="D39" i="71"/>
  <c r="D79" i="71"/>
  <c r="C78" i="71"/>
  <c r="D78" i="71" s="1"/>
  <c r="D44" i="71"/>
  <c r="T44" i="71"/>
  <c r="AZ137" i="3"/>
  <c r="AZ297" i="3"/>
  <c r="O65" i="71"/>
  <c r="D66" i="71"/>
  <c r="O66" i="71"/>
  <c r="C36" i="71"/>
  <c r="D35" i="71"/>
  <c r="AZ29" i="3"/>
  <c r="T32" i="71"/>
  <c r="D32" i="71"/>
  <c r="AZ332" i="3"/>
  <c r="AZ271" i="3"/>
  <c r="AZ238" i="3"/>
  <c r="AZ121" i="3"/>
  <c r="AZ282" i="3"/>
  <c r="AZ435" i="3"/>
  <c r="U23" i="35"/>
  <c r="AB23" i="35"/>
  <c r="AB9" i="34"/>
  <c r="U9" i="34"/>
  <c r="AA27" i="21"/>
  <c r="S27" i="21"/>
  <c r="AC25" i="37"/>
  <c r="W25" i="37"/>
  <c r="G5" i="3"/>
  <c r="B3" i="3" s="1"/>
  <c r="E255" i="3" s="1"/>
  <c r="D83" i="71"/>
  <c r="C82" i="71"/>
  <c r="D82" i="71" s="1"/>
  <c r="AZ75" i="3"/>
  <c r="AZ69" i="3"/>
  <c r="AZ302" i="3"/>
  <c r="AZ49" i="3"/>
  <c r="AZ41" i="3"/>
  <c r="AZ247" i="3"/>
  <c r="AZ491" i="3"/>
  <c r="AZ464" i="3"/>
  <c r="AZ401" i="3"/>
  <c r="AZ459" i="3"/>
  <c r="AC23" i="35"/>
  <c r="W23" i="35"/>
  <c r="W12" i="34"/>
  <c r="AC12" i="34"/>
  <c r="AC23" i="36"/>
  <c r="W23" i="36"/>
  <c r="J7" i="37"/>
  <c r="AC7" i="37" s="1"/>
  <c r="K1" i="73"/>
  <c r="E46" i="3"/>
  <c r="E96" i="3"/>
  <c r="E456" i="3"/>
  <c r="E78" i="3"/>
  <c r="E223" i="3"/>
  <c r="E401" i="3"/>
  <c r="L6" i="3"/>
  <c r="E170" i="3"/>
  <c r="AQ6" i="3"/>
  <c r="E62" i="3"/>
  <c r="E552" i="3"/>
  <c r="E65" i="3"/>
  <c r="E520" i="3"/>
  <c r="E284" i="3"/>
  <c r="E47" i="3"/>
  <c r="E66" i="3"/>
  <c r="E167" i="3"/>
  <c r="E122" i="3"/>
  <c r="E438" i="3"/>
  <c r="E257" i="3"/>
  <c r="E411" i="3"/>
  <c r="E272" i="3"/>
  <c r="E153" i="3"/>
  <c r="E523" i="3"/>
  <c r="E213" i="3"/>
  <c r="E280" i="3"/>
  <c r="E177" i="3"/>
  <c r="E55" i="3"/>
  <c r="E252" i="3"/>
  <c r="E581" i="3"/>
  <c r="E334" i="3"/>
  <c r="E282" i="3"/>
  <c r="E151" i="3"/>
  <c r="E230" i="3"/>
  <c r="E117" i="3"/>
  <c r="E518" i="3"/>
  <c r="E253" i="3"/>
  <c r="E85" i="3"/>
  <c r="E511" i="3"/>
  <c r="E193" i="3"/>
  <c r="E458" i="3"/>
  <c r="E527" i="3"/>
  <c r="E450" i="3"/>
  <c r="E433" i="3"/>
  <c r="E111" i="3"/>
  <c r="E318" i="3"/>
  <c r="E31" i="3"/>
  <c r="E269" i="3"/>
  <c r="E107" i="3"/>
  <c r="E478" i="3"/>
  <c r="E414" i="3"/>
  <c r="E476" i="3"/>
  <c r="E27" i="3"/>
  <c r="E162" i="3"/>
  <c r="E384" i="3"/>
  <c r="E44" i="3"/>
  <c r="E530" i="3"/>
  <c r="E508" i="3"/>
  <c r="E555" i="3"/>
  <c r="E337" i="3"/>
  <c r="AR6" i="3"/>
  <c r="E561" i="3"/>
  <c r="E538" i="3"/>
  <c r="E216" i="3"/>
  <c r="E261" i="3"/>
  <c r="E183" i="3"/>
  <c r="E180" i="3"/>
  <c r="E301" i="3"/>
  <c r="E350" i="3"/>
  <c r="E399" i="3"/>
  <c r="E347" i="3"/>
  <c r="E77" i="3"/>
  <c r="E545" i="3"/>
  <c r="AK6" i="3"/>
  <c r="E277" i="3"/>
  <c r="K6" i="3"/>
  <c r="E472" i="3"/>
  <c r="E406" i="3"/>
  <c r="E577" i="3"/>
  <c r="E468" i="3"/>
  <c r="E454" i="3"/>
  <c r="E171" i="3"/>
  <c r="E214" i="3"/>
  <c r="E362" i="3"/>
  <c r="E227" i="3"/>
  <c r="E89" i="3"/>
  <c r="E204" i="3"/>
  <c r="E327" i="3"/>
  <c r="AO6" i="3"/>
  <c r="E485" i="3"/>
  <c r="E400" i="3"/>
  <c r="E557" i="3"/>
  <c r="E531" i="3"/>
  <c r="E489" i="3"/>
  <c r="E70" i="3"/>
  <c r="E182" i="3"/>
  <c r="E211" i="3"/>
  <c r="E377" i="3"/>
  <c r="E572" i="3"/>
  <c r="E109" i="3"/>
  <c r="E526" i="3"/>
  <c r="E268" i="3"/>
  <c r="E322" i="3"/>
  <c r="E509" i="3"/>
  <c r="E579" i="3"/>
  <c r="E431" i="3"/>
  <c r="E201" i="3"/>
  <c r="E311" i="3"/>
  <c r="E514" i="3"/>
  <c r="M6" i="3"/>
  <c r="AB6" i="3"/>
  <c r="E387" i="3"/>
  <c r="E215" i="3"/>
  <c r="E189" i="3"/>
  <c r="E69" i="3"/>
  <c r="E563" i="3"/>
  <c r="E172" i="3"/>
  <c r="E445" i="3"/>
  <c r="E161" i="3"/>
  <c r="E135" i="3"/>
  <c r="E191" i="3"/>
  <c r="E423" i="3"/>
  <c r="AI6" i="3"/>
  <c r="E385" i="3"/>
  <c r="X6" i="3"/>
  <c r="E100" i="3"/>
  <c r="E200"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G1" i="73"/>
  <c r="C16" i="67"/>
  <c r="Q74" i="67" l="1"/>
  <c r="F45" i="69"/>
  <c r="E578" i="3"/>
  <c r="E260" i="3"/>
  <c r="E407" i="3"/>
  <c r="E229" i="3"/>
  <c r="E553" i="3"/>
  <c r="E166" i="3"/>
  <c r="E443" i="3"/>
  <c r="I6" i="3"/>
  <c r="E429" i="3"/>
  <c r="E262" i="3"/>
  <c r="E402" i="3"/>
  <c r="E169" i="3"/>
  <c r="E390" i="3"/>
  <c r="E501" i="3"/>
  <c r="E546" i="3"/>
  <c r="E145" i="3"/>
  <c r="E208" i="3"/>
  <c r="E532" i="3"/>
  <c r="E82" i="3"/>
  <c r="E87" i="3"/>
  <c r="E39" i="3"/>
  <c r="E375" i="3"/>
  <c r="E48" i="3"/>
  <c r="E312" i="3"/>
  <c r="E58" i="3"/>
  <c r="E141" i="3"/>
  <c r="E364" i="3"/>
  <c r="E392" i="3"/>
  <c r="E455" i="3"/>
  <c r="E276" i="3"/>
  <c r="E498" i="3"/>
  <c r="E16" i="3"/>
  <c r="E104" i="3"/>
  <c r="E173" i="3"/>
  <c r="E42" i="3"/>
  <c r="E292" i="3"/>
  <c r="E382" i="3"/>
  <c r="E415" i="3"/>
  <c r="V6" i="3"/>
  <c r="E569" i="3"/>
  <c r="E480" i="3"/>
  <c r="E121" i="3"/>
  <c r="P6" i="3"/>
  <c r="E274" i="3"/>
  <c r="E424" i="3"/>
  <c r="E128" i="3"/>
  <c r="E254" i="3"/>
  <c r="E298" i="3"/>
  <c r="E285" i="3"/>
  <c r="AM6" i="3"/>
  <c r="E403" i="3"/>
  <c r="E207" i="3"/>
  <c r="E471" i="3"/>
  <c r="E224" i="3"/>
  <c r="E127" i="3"/>
  <c r="E459" i="3"/>
  <c r="E374" i="3"/>
  <c r="E582" i="3"/>
  <c r="E446" i="3"/>
  <c r="E244" i="3"/>
  <c r="E155" i="3"/>
  <c r="E365" i="3"/>
  <c r="E147" i="3"/>
  <c r="E339" i="3"/>
  <c r="E473" i="3"/>
  <c r="E202" i="3"/>
  <c r="E440" i="3"/>
  <c r="E49" i="3"/>
  <c r="E420" i="3"/>
  <c r="E205" i="3"/>
  <c r="E355" i="3"/>
  <c r="E417" i="3"/>
  <c r="E74" i="3"/>
  <c r="E146" i="3"/>
  <c r="E465" i="3"/>
  <c r="E133" i="3"/>
  <c r="E181" i="3"/>
  <c r="E586" i="3"/>
  <c r="E503" i="3"/>
  <c r="E231" i="3"/>
  <c r="E143" i="3"/>
  <c r="E343" i="3"/>
  <c r="E331" i="3"/>
  <c r="E505" i="3"/>
  <c r="E271" i="3"/>
  <c r="E279" i="3"/>
  <c r="E457" i="3"/>
  <c r="E45" i="3"/>
  <c r="E583" i="3"/>
  <c r="E290" i="3"/>
  <c r="E130" i="3"/>
  <c r="E551" i="3"/>
  <c r="E239" i="3"/>
  <c r="E30" i="3"/>
  <c r="E404" i="3"/>
  <c r="E164" i="3"/>
  <c r="E256" i="3"/>
  <c r="E481" i="3"/>
  <c r="AA6" i="3"/>
  <c r="E302" i="3"/>
  <c r="E321" i="3"/>
  <c r="O6" i="3"/>
  <c r="E317" i="3"/>
  <c r="E432" i="3"/>
  <c r="E14" i="3"/>
  <c r="E537" i="3"/>
  <c r="E306" i="3"/>
  <c r="E187" i="3"/>
  <c r="Y6" i="3"/>
  <c r="E373" i="3"/>
  <c r="E149" i="3"/>
  <c r="E57" i="3"/>
  <c r="E250" i="3"/>
  <c r="E398" i="3"/>
  <c r="E218" i="3"/>
  <c r="E123" i="3"/>
  <c r="E137" i="3"/>
  <c r="E60" i="3"/>
  <c r="E178" i="3"/>
  <c r="E543" i="3"/>
  <c r="E324" i="3"/>
  <c r="E360" i="3"/>
  <c r="E34" i="3"/>
  <c r="E67" i="3"/>
  <c r="E466" i="3"/>
  <c r="E409" i="3"/>
  <c r="E81" i="3"/>
  <c r="E287" i="3"/>
  <c r="E408" i="3"/>
  <c r="E225" i="3"/>
  <c r="E326" i="3"/>
  <c r="E486" i="3"/>
  <c r="E463" i="3"/>
  <c r="E333" i="3"/>
  <c r="E15" i="3"/>
  <c r="E234" i="3"/>
  <c r="E112" i="3"/>
  <c r="E50" i="3"/>
  <c r="E524" i="3"/>
  <c r="E90" i="3"/>
  <c r="E24" i="3"/>
  <c r="E421" i="3"/>
  <c r="E209" i="3"/>
  <c r="E464" i="3"/>
  <c r="E584" i="3"/>
  <c r="E163" i="3"/>
  <c r="E488" i="3"/>
  <c r="E504" i="3"/>
  <c r="E352" i="3"/>
  <c r="E474" i="3"/>
  <c r="E475" i="3"/>
  <c r="E397" i="3"/>
  <c r="E548" i="3"/>
  <c r="E92" i="3"/>
  <c r="E319" i="3"/>
  <c r="E574" i="3"/>
  <c r="E506" i="3"/>
  <c r="E565" i="3"/>
  <c r="E303" i="3"/>
  <c r="E156" i="3"/>
  <c r="Q6" i="3"/>
  <c r="E496" i="3"/>
  <c r="E580" i="3"/>
  <c r="E448" i="3"/>
  <c r="E444" i="3"/>
  <c r="E295" i="3"/>
  <c r="E366" i="3"/>
  <c r="E516" i="3"/>
  <c r="E358" i="3"/>
  <c r="E294" i="3"/>
  <c r="E395" i="3"/>
  <c r="E61" i="3"/>
  <c r="E336" i="3"/>
  <c r="E314" i="3"/>
  <c r="E519" i="3"/>
  <c r="E571" i="3"/>
  <c r="E150" i="3"/>
  <c r="E567" i="3"/>
  <c r="E515" i="3"/>
  <c r="AS6" i="3"/>
  <c r="E186" i="3"/>
  <c r="E175" i="3"/>
  <c r="E388" i="3"/>
  <c r="E270" i="3"/>
  <c r="E380" i="3"/>
  <c r="E528" i="3"/>
  <c r="E91" i="3"/>
  <c r="E124" i="3"/>
  <c r="E568" i="3"/>
  <c r="E228" i="3"/>
  <c r="E560" i="3"/>
  <c r="E587" i="3"/>
  <c r="E106" i="3"/>
  <c r="E315" i="3"/>
  <c r="E368" i="3"/>
  <c r="Z6" i="3"/>
  <c r="E345" i="3"/>
  <c r="E28" i="3"/>
  <c r="E273" i="3"/>
  <c r="E217" i="3"/>
  <c r="AJ6" i="3"/>
  <c r="E247" i="3"/>
  <c r="E570" i="3"/>
  <c r="E335" i="3"/>
  <c r="E278" i="3"/>
  <c r="E535" i="3"/>
  <c r="E263" i="3"/>
  <c r="E246" i="3"/>
  <c r="E148" i="3"/>
  <c r="M17" i="67"/>
  <c r="F27" i="68"/>
  <c r="F45" i="68" s="1"/>
  <c r="F28" i="12"/>
  <c r="C29" i="12" s="1"/>
  <c r="D28" i="12" s="1"/>
  <c r="F27" i="11"/>
  <c r="C29" i="11" s="1"/>
  <c r="D27" i="11" s="1"/>
  <c r="C49" i="67"/>
  <c r="C29" i="69"/>
  <c r="D27" i="69" s="1"/>
  <c r="J5" i="67"/>
  <c r="J24" i="67" s="1"/>
  <c r="F59" i="67"/>
  <c r="AA10" i="39"/>
  <c r="H10" i="39"/>
  <c r="U10" i="39" s="1"/>
  <c r="F10" i="40"/>
  <c r="S10" i="40" s="1"/>
  <c r="H10" i="40"/>
  <c r="AB10" i="40" s="1"/>
  <c r="J10" i="40"/>
  <c r="AC10" i="40" s="1"/>
  <c r="J10" i="39"/>
  <c r="W10" i="39" s="1"/>
  <c r="E212" i="3"/>
  <c r="E575" i="3"/>
  <c r="E152" i="3"/>
  <c r="E249" i="3"/>
  <c r="E198" i="3"/>
  <c r="E102" i="3"/>
  <c r="E534" i="3"/>
  <c r="E13" i="3"/>
  <c r="E428" i="3"/>
  <c r="E370" i="3"/>
  <c r="E393" i="3"/>
  <c r="AH6" i="3"/>
  <c r="E108"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330" i="3"/>
  <c r="E344" i="3"/>
  <c r="E203" i="3"/>
  <c r="E32" i="3"/>
  <c r="E57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Q73" i="67"/>
  <c r="E490" i="3"/>
  <c r="E427" i="3"/>
  <c r="E105" i="3"/>
  <c r="E83" i="3"/>
  <c r="E232" i="3"/>
  <c r="E220" i="3"/>
  <c r="E243" i="3"/>
  <c r="E26" i="3"/>
  <c r="E497" i="3"/>
  <c r="E469" i="3"/>
  <c r="E525" i="3"/>
  <c r="E22" i="3"/>
  <c r="E206" i="3"/>
  <c r="E18" i="3"/>
  <c r="E513" i="3"/>
  <c r="E33" i="3"/>
  <c r="E267" i="3"/>
  <c r="E544" i="3"/>
  <c r="E479" i="3"/>
  <c r="E449" i="3"/>
  <c r="E3" i="6"/>
  <c r="E510" i="3"/>
  <c r="E536" i="3"/>
  <c r="E442" i="3"/>
  <c r="E554" i="3"/>
  <c r="E95" i="3"/>
  <c r="E389" i="3"/>
  <c r="E64" i="3"/>
  <c r="E310" i="3"/>
  <c r="E233" i="3"/>
  <c r="E309" i="3"/>
  <c r="AL6" i="3"/>
  <c r="E235" i="3"/>
  <c r="E251"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353" i="3"/>
  <c r="E238" i="3"/>
  <c r="E120" i="3"/>
  <c r="E437" i="3"/>
  <c r="AE6" i="3"/>
  <c r="E73" i="3"/>
  <c r="E394" i="3"/>
  <c r="E236" i="3"/>
  <c r="AG6" i="3"/>
  <c r="E40" i="3"/>
  <c r="J6" i="3"/>
  <c r="E422" i="3"/>
  <c r="E493" i="3"/>
  <c r="E188" i="3"/>
  <c r="E158" i="3"/>
  <c r="E342" i="3"/>
  <c r="E412" i="3"/>
  <c r="E115" i="3"/>
  <c r="E452" i="3"/>
  <c r="E451" i="3"/>
  <c r="E405" i="3"/>
  <c r="E140" i="3"/>
  <c r="E113" i="3"/>
  <c r="E383" i="3"/>
  <c r="E281" i="3"/>
  <c r="E63" i="3"/>
  <c r="E492" i="3"/>
  <c r="E484" i="3"/>
  <c r="E241" i="3"/>
  <c r="E517" i="3"/>
  <c r="E499" i="3"/>
  <c r="F1" i="67"/>
  <c r="D56" i="71"/>
  <c r="T56" i="71"/>
  <c r="AF6" i="3"/>
  <c r="E86" i="3"/>
  <c r="E174" i="3"/>
  <c r="E482" i="3"/>
  <c r="E391" i="3"/>
  <c r="E494" i="3"/>
  <c r="E283" i="3"/>
  <c r="E68" i="3"/>
  <c r="E184" i="3"/>
  <c r="E84" i="3"/>
  <c r="E371" i="3"/>
  <c r="E160" i="3"/>
  <c r="E467" i="3"/>
  <c r="E59" i="3"/>
  <c r="E349" i="3"/>
  <c r="E258" i="3"/>
  <c r="E37" i="3"/>
  <c r="E491" i="3"/>
  <c r="AP6" i="3"/>
  <c r="E430" i="3"/>
  <c r="E502" i="3"/>
  <c r="E286" i="3"/>
  <c r="E539" i="3"/>
  <c r="T40" i="71"/>
  <c r="D40" i="71"/>
  <c r="E522" i="3"/>
  <c r="E129" i="3"/>
  <c r="E75" i="3"/>
  <c r="E332" i="3"/>
  <c r="E21" i="3"/>
  <c r="E264" i="3"/>
  <c r="E381" i="3"/>
  <c r="E144" i="3"/>
  <c r="E23" i="3"/>
  <c r="E300" i="3"/>
  <c r="E103" i="3"/>
  <c r="E425" i="3"/>
  <c r="E76" i="3"/>
  <c r="E363" i="3"/>
  <c r="E192" i="3"/>
  <c r="E56" i="3"/>
  <c r="E435" i="3"/>
  <c r="I3" i="6"/>
  <c r="E541" i="3"/>
  <c r="R6" i="3"/>
  <c r="E199" i="3"/>
  <c r="D36" i="71"/>
  <c r="T36" i="71"/>
  <c r="T52" i="71"/>
  <c r="D52"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15"/>
  <c r="M27" i="67"/>
  <c r="F41" i="15"/>
  <c r="AE6" i="1"/>
  <c r="C29" i="68" l="1"/>
  <c r="D27" i="68" s="1"/>
  <c r="C47" i="68"/>
  <c r="D45" i="68" s="1"/>
  <c r="C48" i="67"/>
  <c r="C66" i="67" s="1"/>
  <c r="C47" i="11"/>
  <c r="D45" i="11" s="1"/>
  <c r="AC6" i="3"/>
  <c r="E6" i="3" s="1"/>
  <c r="F22" i="11"/>
  <c r="C44" i="11" s="1"/>
  <c r="D41" i="11" s="1"/>
  <c r="F24" i="67"/>
  <c r="C24" i="67" s="1"/>
  <c r="F24" i="15"/>
  <c r="C24" i="15" s="1"/>
  <c r="F22" i="69"/>
  <c r="F41" i="69" s="1"/>
  <c r="F22" i="68"/>
  <c r="C23" i="68" s="1"/>
  <c r="F25" i="12"/>
  <c r="C26" i="12" s="1"/>
  <c r="D25" i="12" s="1"/>
  <c r="I53" i="34"/>
  <c r="J53" i="34"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9"/>
  <c r="C34" i="69"/>
  <c r="D10" i="68"/>
  <c r="F41" i="67"/>
  <c r="C17" i="67"/>
  <c r="C14" i="67"/>
  <c r="C17" i="15"/>
  <c r="I54" i="34" l="1"/>
  <c r="J54" i="34" s="1"/>
  <c r="E53" i="34"/>
  <c r="F53" i="34" s="1"/>
  <c r="F69" i="67"/>
  <c r="C60" i="67"/>
  <c r="C44" i="68"/>
  <c r="D41" i="68" s="1"/>
  <c r="C26" i="68"/>
  <c r="D22" i="68" s="1"/>
  <c r="F41" i="68"/>
  <c r="C25" i="11"/>
  <c r="C24" i="11"/>
  <c r="C23" i="11"/>
  <c r="C26" i="11"/>
  <c r="D22" i="11" s="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D2" i="36"/>
  <c r="L51" i="1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4" i="9"/>
  <c r="AO8" i="1"/>
  <c r="AO11" i="1"/>
  <c r="AO10" i="1"/>
  <c r="D35" i="9"/>
  <c r="AO7" i="1"/>
  <c r="D20" i="9"/>
  <c r="C19" i="9"/>
  <c r="AO9" i="1"/>
  <c r="AO12" i="1"/>
  <c r="AO6"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D6" i="71"/>
  <c r="C5" i="71"/>
  <c r="D5" i="71" s="1"/>
  <c r="M24" i="43" s="1"/>
  <c r="C42" i="40"/>
  <c r="C43" i="40"/>
  <c r="E47" i="40"/>
  <c r="F47" i="40" s="1"/>
  <c r="E46" i="40"/>
  <c r="F46" i="40" s="1"/>
  <c r="I47" i="40"/>
  <c r="J47" i="40" s="1"/>
  <c r="R38" i="31" l="1"/>
  <c r="S38" i="31" s="1"/>
  <c r="R39" i="31"/>
  <c r="S39" i="31" s="1"/>
  <c r="R36" i="31"/>
  <c r="S36" i="31" s="1"/>
  <c r="R37" i="31"/>
  <c r="S37" i="31" s="1"/>
  <c r="R28" i="31"/>
  <c r="S28" i="31" s="1"/>
  <c r="R32" i="31"/>
  <c r="S32" i="31" s="1"/>
  <c r="R29" i="31"/>
  <c r="S29" i="31" s="1"/>
  <c r="R33" i="31"/>
  <c r="S33" i="31" s="1"/>
  <c r="R26" i="31"/>
  <c r="S26" i="31" s="1"/>
  <c r="R30" i="31"/>
  <c r="S30" i="31" s="1"/>
  <c r="R34" i="31"/>
  <c r="S34" i="31" s="1"/>
  <c r="R27" i="31"/>
  <c r="S27" i="31" s="1"/>
  <c r="R31" i="31"/>
  <c r="S31" i="31" s="1"/>
  <c r="R35" i="31"/>
  <c r="S35"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E14" i="74" l="1"/>
  <c r="G14" i="74"/>
  <c r="F14" i="74"/>
  <c r="B5" i="74"/>
  <c r="D5" i="74" s="1"/>
  <c r="R22" i="31"/>
  <c r="B20" i="31"/>
  <c r="B21" i="31" s="1"/>
  <c r="B6" i="74"/>
  <c r="D6" i="74" s="1"/>
  <c r="G118" i="9"/>
  <c r="G4" i="52" s="1"/>
  <c r="B52" i="72" s="1"/>
  <c r="I118" i="9"/>
  <c r="E118" i="9" l="1"/>
  <c r="D118" i="9" s="1"/>
  <c r="H102" i="9"/>
  <c r="I4" i="52"/>
  <c r="C105" i="9"/>
  <c r="F118" i="9"/>
  <c r="H118" i="9"/>
  <c r="E4" i="52" l="1"/>
  <c r="B48" i="72" s="1"/>
  <c r="F4" i="52"/>
  <c r="B51" i="72" s="1"/>
  <c r="F119" i="9"/>
  <c r="F5" i="52" s="1"/>
  <c r="B53" i="72" s="1"/>
  <c r="H119" i="9"/>
  <c r="H5" i="52" s="1"/>
  <c r="H4" i="52"/>
  <c r="C104" i="9"/>
  <c r="H101" i="9"/>
  <c r="D7" i="53"/>
  <c r="B21" i="72" s="1"/>
  <c r="C5" i="74"/>
  <c r="D119" i="9"/>
  <c r="D5" i="52" s="1"/>
  <c r="B49" i="72" s="1"/>
  <c r="D4" i="52"/>
  <c r="B47" i="72" s="1"/>
  <c r="M48" i="9" l="1"/>
  <c r="H107" i="9"/>
  <c r="D5" i="53"/>
  <c r="D45" i="9"/>
  <c r="B20" i="72" l="1"/>
  <c r="D6" i="53"/>
  <c r="B22" i="72" s="1"/>
  <c r="C93" i="9"/>
  <c r="C86" i="9" s="1"/>
  <c r="D52" i="9"/>
  <c r="C85" i="9"/>
  <c r="D53" i="9"/>
  <c r="C64" i="9"/>
  <c r="C63" i="9" s="1"/>
  <c r="C67" i="9" s="1"/>
  <c r="C78" i="9"/>
  <c r="C73" i="9" s="1"/>
  <c r="D55" i="9"/>
  <c r="M53" i="9" s="1"/>
  <c r="C72" i="9"/>
  <c r="H108" i="9"/>
  <c r="M49" i="9"/>
  <c r="D122" i="9"/>
  <c r="D13" i="53"/>
  <c r="D15" i="53" l="1"/>
  <c r="B31" i="72" s="1"/>
  <c r="C6" i="74"/>
  <c r="C68" i="9"/>
  <c r="D54" i="9" s="1"/>
  <c r="D59" i="9"/>
  <c r="M55" i="9" s="1"/>
  <c r="L67" i="9"/>
  <c r="M67" i="9" s="1"/>
  <c r="L65" i="9"/>
  <c r="M65" i="9" s="1"/>
  <c r="L66" i="9"/>
  <c r="M66" i="9" s="1"/>
  <c r="L68" i="9"/>
  <c r="M68" i="9" s="1"/>
  <c r="L64" i="9"/>
  <c r="M64" i="9" s="1"/>
  <c r="L63" i="9"/>
  <c r="M63" i="9" s="1"/>
  <c r="D14" i="53"/>
  <c r="B32" i="72" s="1"/>
  <c r="B30" i="72"/>
  <c r="C79" i="9"/>
  <c r="D8" i="52"/>
  <c r="D123" i="9"/>
  <c r="D9" i="52" s="1"/>
  <c r="C95" i="9"/>
  <c r="M69" i="9" l="1"/>
  <c r="N69" i="9" s="1"/>
  <c r="C96" i="9"/>
  <c r="E96" i="9" s="1"/>
  <c r="E97" i="9" s="1"/>
  <c r="C80" i="9"/>
  <c r="E80" i="9" s="1"/>
  <c r="E81" i="9" s="1"/>
  <c r="C97" i="9" l="1"/>
  <c r="D58" i="9" s="1"/>
  <c r="D56" i="9" s="1"/>
  <c r="M54" i="9" s="1"/>
  <c r="N57" i="9" s="1"/>
  <c r="P57" i="9" s="1"/>
  <c r="C81" i="9"/>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<sst xmlns="http://schemas.openxmlformats.org/spreadsheetml/2006/main" count="7968" uniqueCount="3496">
  <si>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</si>
  <si>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</si>
  <si>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</si>
  <si>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</si>
  <si>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</si>
  <si>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</si>
  <si>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</si>
  <si>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</si>
  <si>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</si>
  <si>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</si>
  <si>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</si>
  <si>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</si>
  <si>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</si>
  <si>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</si>
  <si>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</si>
  <si>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</si>
  <si>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</si>
  <si>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</si>
  <si>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</si>
  <si>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</si>
  <si>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</si>
  <si>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</si>
  <si>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</si>
  <si>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</si>
  <si>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</si>
  <si>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</si>
  <si>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</si>
  <si>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</si>
  <si>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</si>
  <si>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</si>
  <si>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</si>
  <si>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</si>
  <si>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</si>
  <si>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</si>
  <si>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</si>
  <si>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</si>
  <si>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</si>
  <si>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</si>
  <si>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</si>
  <si>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</si>
  <si>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</si>
  <si>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</si>
  <si>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</si>
  <si>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</si>
  <si>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</si>
  <si>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</si>
  <si>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</si>
  <si>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</si>
  <si>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</si>
  <si>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</si>
  <si>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</si>
  <si>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</si>
  <si>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</si>
  <si>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</si>
  <si>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</si>
  <si>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</si>
  <si>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</si>
  <si>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</si>
  <si>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</si>
  <si>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</si>
  <si>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</si>
  <si>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</si>
  <si>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</si>
  <si>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</si>
  <si>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</si>
  <si>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</si>
  <si>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</si>
  <si>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</si>
  <si>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</si>
  <si>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</si>
  <si>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</si>
  <si>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</si>
  <si>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</si>
  <si>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</si>
  <si>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</si>
  <si>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</si>
  <si>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</si>
  <si>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</si>
  <si>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</si>
  <si>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</si>
  <si>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</si>
  <si>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</si>
  <si>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</si>
  <si>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</si>
  <si>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</si>
  <si>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</si>
  <si>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</si>
  <si>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</si>
  <si>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</si>
  <si>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</si>
  <si>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</si>
  <si>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</si>
  <si>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</si>
  <si>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</si>
  <si>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</si>
  <si>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</si>
  <si>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</si>
  <si>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</si>
  <si>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</si>
  <si>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</si>
  <si>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</si>
  <si>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</si>
  <si>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</si>
  <si>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</si>
  <si>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</si>
  <si>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</si>
  <si>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</si>
  <si>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</si>
  <si>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</si>
  <si>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</si>
  <si>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</si>
  <si>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</si>
  <si>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</si>
  <si>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</si>
  <si>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</si>
  <si>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</si>
  <si>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</si>
  <si>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</si>
  <si>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</si>
  <si>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</si>
  <si>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</si>
  <si>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</si>
  <si>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</si>
  <si>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</si>
  <si>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</si>
  <si>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</si>
  <si>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</si>
  <si>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</si>
  <si>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</si>
  <si>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</si>
  <si>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</si>
  <si>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</si>
  <si>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</si>
  <si>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</si>
  <si>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</si>
  <si>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</si>
  <si>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</si>
  <si>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</si>
  <si>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</si>
  <si>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</si>
  <si>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</si>
  <si>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</si>
  <si>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</si>
  <si>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</si>
  <si>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</si>
  <si>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</si>
  <si>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</si>
  <si>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</si>
  <si>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</si>
  <si>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</si>
  <si>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</si>
  <si>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</si>
  <si>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</si>
  <si>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</si>
  <si>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</si>
  <si>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</si>
  <si>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</si>
  <si>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</si>
  <si>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</si>
  <si>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</si>
  <si>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</si>
  <si>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</si>
  <si>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</si>
  <si>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</si>
  <si>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</si>
  <si>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</si>
  <si>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</si>
  <si>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</si>
  <si>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</si>
  <si>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</si>
  <si>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</si>
  <si>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</si>
  <si>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</si>
  <si>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</si>
  <si>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</si>
  <si>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</si>
  <si>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</si>
  <si>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</si>
  <si>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</si>
  <si>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</si>
  <si>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</si>
  <si>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</si>
  <si>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</si>
  <si>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</si>
  <si>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</si>
  <si>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</si>
  <si>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</si>
  <si>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</si>
  <si>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</si>
  <si>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</si>
  <si>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</si>
  <si>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</si>
  <si>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</si>
  <si>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</si>
  <si>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</si>
  <si>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</si>
  <si>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</si>
  <si>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</si>
  <si>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</si>
  <si>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</si>
  <si>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</si>
  <si>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</si>
  <si>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</si>
  <si>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</si>
  <si>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</si>
  <si>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</si>
  <si>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</si>
  <si>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</si>
  <si>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</si>
  <si>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</si>
  <si>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</si>
  <si>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</si>
  <si>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</si>
  <si>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</si>
  <si>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</si>
  <si>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</si>
  <si>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</si>
  <si>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</si>
  <si>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</si>
  <si>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</si>
  <si>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</si>
  <si>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</si>
  <si>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</si>
  <si>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</si>
  <si>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</si>
  <si>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</si>
  <si>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</si>
  <si>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</si>
  <si>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</si>
  <si>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</si>
  <si>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</si>
  <si>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</si>
  <si>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</si>
  <si>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</si>
  <si>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</si>
  <si>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</si>
  <si>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</si>
  <si>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</si>
  <si>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</si>
  <si>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</si>
  <si>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</si>
  <si>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</si>
  <si>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</si>
  <si>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</si>
  <si>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</si>
  <si>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</si>
  <si>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</si>
  <si>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</si>
  <si>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</si>
  <si>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</si>
  <si>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</si>
  <si>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</si>
  <si>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</si>
  <si>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</si>
  <si>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</si>
  <si>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</si>
  <si>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</si>
  <si>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</si>
  <si>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</si>
  <si>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</si>
  <si>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</si>
  <si>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</si>
  <si>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</si>
  <si>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</si>
  <si>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</si>
  <si>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</si>
  <si>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</si>
  <si>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</si>
  <si>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</si>
  <si>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</si>
  <si>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</si>
  <si>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</si>
  <si>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</si>
  <si>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</si>
  <si>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</si>
  <si>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</si>
  <si>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</si>
  <si>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</si>
  <si>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</si>
  <si>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</si>
  <si>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</si>
  <si>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</si>
  <si>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</si>
  <si>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</si>
  <si>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</si>
  <si>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</si>
  <si>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</si>
  <si>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</si>
  <si>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</si>
  <si>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</si>
  <si>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</si>
  <si>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</si>
  <si>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</si>
  <si>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</si>
  <si>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</si>
  <si>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</si>
  <si>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</si>
  <si>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</si>
  <si>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</si>
  <si>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</si>
  <si>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</si>
  <si>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</si>
  <si>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</si>
  <si>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</si>
  <si>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</si>
  <si>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</si>
  <si>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</si>
  <si>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</si>
  <si>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</si>
  <si>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</si>
  <si>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</si>
  <si>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</si>
  <si>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</si>
  <si>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</si>
  <si>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</si>
  <si>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</si>
  <si>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</si>
  <si>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</si>
  <si>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</si>
  <si>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</si>
  <si>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</si>
  <si>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</si>
  <si>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</si>
  <si>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</si>
  <si>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</si>
  <si>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</si>
  <si>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</si>
  <si>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</si>
  <si>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</si>
  <si>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</si>
  <si>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</si>
  <si>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</si>
  <si>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</si>
  <si>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</si>
  <si>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</si>
  <si>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</si>
  <si>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</si>
  <si>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</si>
  <si>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</si>
  <si>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</si>
  <si>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</si>
  <si>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</si>
  <si>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</si>
  <si>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</si>
  <si>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</si>
  <si>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</si>
  <si>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</si>
  <si>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</si>
  <si>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</si>
  <si>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</si>
  <si>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</si>
  <si>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</si>
  <si>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</si>
  <si>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</si>
  <si>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</si>
  <si>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</si>
  <si>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</si>
  <si>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</si>
  <si>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</si>
  <si>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</si>
  <si>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</si>
  <si>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</si>
  <si>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</si>
  <si>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</si>
  <si>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</si>
  <si>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</si>
  <si>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</si>
  <si>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</si>
  <si>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</si>
  <si>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</si>
  <si>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</si>
  <si>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</si>
  <si>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</si>
  <si>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</si>
  <si>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</si>
  <si>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</si>
  <si>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</si>
  <si>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</si>
  <si>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</si>
  <si>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</si>
  <si>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</si>
  <si>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</si>
  <si>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</si>
  <si>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</si>
  <si>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</si>
  <si>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</si>
  <si>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</si>
  <si>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</si>
  <si>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</si>
  <si>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</si>
  <si>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</si>
  <si>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</si>
  <si>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</si>
  <si>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</si>
  <si>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</si>
  <si>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</si>
  <si>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</si>
  <si>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</si>
  <si>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</si>
  <si>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</si>
  <si>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</si>
  <si>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</si>
  <si>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</si>
  <si>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</si>
  <si>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</si>
  <si>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</si>
  <si>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</si>
  <si>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</si>
  <si>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</si>
  <si>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</si>
  <si>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</si>
  <si>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</si>
  <si>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</si>
  <si>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</si>
  <si>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</si>
  <si>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</si>
  <si>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</si>
  <si>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</si>
  <si>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</si>
  <si>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</si>
  <si>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</si>
  <si>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</si>
  <si>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</si>
  <si>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</si>
  <si>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</si>
  <si>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</si>
  <si>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</si>
  <si>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</si>
  <si>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</si>
  <si>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</si>
  <si>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</si>
  <si>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</si>
  <si>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</si>
  <si>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</si>
  <si>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</si>
  <si>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</si>
  <si>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</si>
  <si>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</si>
  <si>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</si>
  <si>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</si>
  <si>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</si>
  <si>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</si>
  <si>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</si>
  <si>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</si>
  <si>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</si>
  <si>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</si>
  <si>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</si>
  <si>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</si>
  <si>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</si>
  <si>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</si>
  <si>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</si>
  <si>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</si>
  <si>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</si>
  <si>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</si>
  <si>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</si>
  <si>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</si>
  <si>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</si>
  <si>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</si>
  <si>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</si>
  <si>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</si>
  <si>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</si>
  <si>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</si>
  <si>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</si>
  <si>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</si>
  <si>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</si>
  <si>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</si>
  <si>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</si>
  <si>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</si>
  <si>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</si>
  <si>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</si>
  <si>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</si>
  <si>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</si>
  <si>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</si>
  <si>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</si>
  <si>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</si>
  <si>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</si>
  <si>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</si>
  <si>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</si>
  <si>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</si>
  <si>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</si>
  <si>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</si>
  <si>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</si>
  <si>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</si>
  <si>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</si>
  <si>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</si>
  <si>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</si>
  <si>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</si>
  <si>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</si>
  <si>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</si>
  <si>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</si>
  <si>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</si>
  <si>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</si>
  <si>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</si>
  <si>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</si>
  <si>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</si>
  <si>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</si>
  <si>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</si>
  <si>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</si>
  <si>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</si>
  <si>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</si>
  <si>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</si>
  <si>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</si>
  <si>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</si>
  <si>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</si>
  <si>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</si>
  <si>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</si>
  <si>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</si>
  <si>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</si>
  <si>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</si>
  <si>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</si>
  <si>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</si>
  <si>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</si>
  <si>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</si>
  <si>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</si>
  <si>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</si>
  <si>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</si>
  <si>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</si>
  <si>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</si>
  <si>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</si>
  <si>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</si>
  <si>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</si>
  <si>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</si>
  <si>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</si>
  <si>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</si>
  <si>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</si>
  <si>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</si>
  <si>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</si>
  <si>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</si>
  <si>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</si>
  <si>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</si>
  <si>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</si>
  <si>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</si>
  <si>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</si>
  <si>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</si>
  <si>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</si>
  <si>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</si>
  <si>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</si>
  <si>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</si>
  <si>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</si>
  <si>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</si>
  <si>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</si>
  <si>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</si>
  <si>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</si>
  <si>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</si>
  <si>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</si>
  <si>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</si>
  <si>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</si>
  <si>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</si>
  <si>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</si>
  <si>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</si>
  <si>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</si>
  <si>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</si>
  <si>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</si>
  <si>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</si>
  <si>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</si>
  <si>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</si>
  <si>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</si>
  <si>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</si>
  <si>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</si>
  <si>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</si>
  <si>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</si>
  <si>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</si>
  <si>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</si>
  <si>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</si>
  <si>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</si>
  <si>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</si>
  <si>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</si>
  <si>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</si>
  <si>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</si>
  <si>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</si>
  <si>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</si>
  <si>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</si>
  <si>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</si>
  <si>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</si>
  <si>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</si>
  <si>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</si>
  <si>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</si>
  <si>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</si>
  <si>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</si>
  <si>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</si>
  <si>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</si>
  <si>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</si>
  <si>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</si>
  <si>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</si>
  <si>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</si>
  <si>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</si>
  <si>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</si>
  <si>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</si>
  <si>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</si>
  <si>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</si>
  <si>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</si>
  <si>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</si>
  <si>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</si>
  <si>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</si>
  <si>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</si>
  <si>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</si>
  <si>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</si>
  <si>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</si>
  <si>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</si>
  <si>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</si>
  <si>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</si>
  <si>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</si>
  <si>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</si>
  <si>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</si>
  <si>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</si>
  <si>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</si>
  <si>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</si>
  <si>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</si>
  <si>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</si>
  <si>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</si>
  <si>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</si>
  <si>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</si>
  <si>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</si>
  <si>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</si>
  <si>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</si>
  <si>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</si>
  <si>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</si>
  <si>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</si>
  <si>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</si>
  <si>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</si>
  <si>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</si>
  <si>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</si>
  <si>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</si>
  <si>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</si>
  <si>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</si>
  <si>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</si>
  <si>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</si>
  <si>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</si>
  <si>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</si>
  <si>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</si>
  <si>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</si>
  <si>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</si>
  <si>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</si>
  <si>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</si>
  <si>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</si>
  <si>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</si>
  <si>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</si>
  <si>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</si>
  <si>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</si>
  <si>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</si>
  <si>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</si>
  <si>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</si>
  <si>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</si>
  <si>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</si>
  <si>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</si>
  <si>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</si>
  <si>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</si>
  <si>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</si>
  <si>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</si>
  <si>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</si>
  <si>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</si>
  <si>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</si>
  <si>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</si>
  <si>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</si>
  <si>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</si>
  <si>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</si>
  <si>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</si>
  <si>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</si>
  <si>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</si>
  <si>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</si>
  <si>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</si>
  <si>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</si>
  <si>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</si>
  <si>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</si>
  <si>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</si>
  <si>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</si>
  <si>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</si>
  <si>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</si>
  <si>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</si>
  <si>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</si>
  <si>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</si>
  <si>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</si>
  <si>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</si>
  <si>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</si>
  <si>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</si>
  <si>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</si>
  <si>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</si>
  <si>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</si>
  <si>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</si>
  <si>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</si>
  <si>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</si>
  <si>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</si>
  <si>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</si>
  <si>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</si>
  <si>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</si>
  <si>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</si>
  <si>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</si>
  <si>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</si>
  <si>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</si>
  <si>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</si>
  <si>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</si>
  <si>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</si>
  <si>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</si>
  <si>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</si>
  <si>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</si>
  <si>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</si>
  <si>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</si>
  <si>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</si>
  <si>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</si>
  <si>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</si>
  <si>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</si>
  <si>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</si>
  <si>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</si>
  <si>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</si>
  <si>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</si>
  <si>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</si>
  <si>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</si>
  <si>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</si>
  <si>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</si>
  <si>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</si>
  <si>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</si>
  <si>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</si>
  <si>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</si>
  <si>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</si>
  <si>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</si>
  <si>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</si>
  <si>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</si>
  <si>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</si>
  <si>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</si>
  <si>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</si>
  <si>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</si>
  <si>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</si>
  <si>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</si>
  <si>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</si>
  <si>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</si>
  <si>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</si>
  <si>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</si>
  <si>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</si>
  <si>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</si>
  <si>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</si>
  <si>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</si>
  <si>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</si>
  <si>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</si>
  <si>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</si>
  <si>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</si>
  <si>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</si>
  <si>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</si>
  <si>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</si>
  <si>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</si>
  <si>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</si>
  <si>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</si>
  <si>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</si>
  <si>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</si>
  <si>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</si>
  <si>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</si>
  <si>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</si>
  <si>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</si>
  <si>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</si>
  <si>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</si>
  <si>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</si>
  <si>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</si>
  <si>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</si>
  <si>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</si>
  <si>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</si>
  <si>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</si>
  <si>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</si>
  <si>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</si>
  <si>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</si>
  <si>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</si>
  <si>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</si>
  <si>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</si>
  <si>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</si>
  <si>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</si>
  <si>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</si>
  <si>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</si>
  <si>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</si>
  <si>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</si>
  <si>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</si>
  <si>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</si>
  <si>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</si>
  <si>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</si>
  <si>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</si>
  <si>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</si>
  <si>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</si>
  <si>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</si>
  <si>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</si>
  <si>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</si>
  <si>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</si>
  <si>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</si>
  <si>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</si>
  <si>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</si>
  <si>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</si>
  <si>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</si>
  <si>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</si>
  <si>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</si>
  <si>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</si>
  <si>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</si>
  <si>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</si>
  <si>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</si>
  <si>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</si>
  <si>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</si>
  <si>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</si>
  <si>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</si>
  <si>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</si>
  <si>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</si>
  <si>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</si>
  <si>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</si>
  <si>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</si>
  <si>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</si>
  <si>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</si>
  <si>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</si>
  <si>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</si>
  <si>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</si>
  <si>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</si>
  <si>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</si>
  <si>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</si>
  <si>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</si>
  <si>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</si>
  <si>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</si>
  <si>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</si>
  <si>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</si>
  <si>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</si>
  <si>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</si>
  <si>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</si>
  <si>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</si>
  <si>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</si>
  <si>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</si>
  <si>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</si>
  <si>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</si>
  <si>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</si>
  <si>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</si>
  <si>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</si>
  <si>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</si>
  <si>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</si>
  <si>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</si>
  <si>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</si>
  <si>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</si>
  <si>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</si>
  <si>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</si>
  <si>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</si>
  <si>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</si>
  <si>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</si>
  <si>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</si>
  <si>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</si>
  <si>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</si>
  <si>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</si>
  <si>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</si>
  <si>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</si>
  <si>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</si>
  <si>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</si>
  <si>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</si>
  <si>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</si>
  <si>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</si>
  <si>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</si>
  <si>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</si>
  <si>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</si>
  <si>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</si>
  <si>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</si>
  <si>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</si>
  <si>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</si>
  <si>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</si>
  <si>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</si>
  <si>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</si>
  <si>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</si>
  <si>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</si>
  <si>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</si>
  <si>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</si>
  <si>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</si>
  <si>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</si>
  <si>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</si>
  <si>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</si>
  <si>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</si>
  <si>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</si>
  <si>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</si>
  <si>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</si>
  <si>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</si>
  <si>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</si>
  <si>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</si>
  <si>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</si>
  <si>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</si>
  <si>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</si>
  <si>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</si>
  <si>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</si>
  <si>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</si>
  <si>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</si>
  <si>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</si>
  <si>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</si>
  <si>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</si>
  <si>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</si>
  <si>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</si>
  <si>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</si>
  <si>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</si>
  <si>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</si>
  <si>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</si>
  <si>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</si>
  <si>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</si>
  <si>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</si>
  <si>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</si>
  <si>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</si>
  <si>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</si>
  <si>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</si>
  <si>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</si>
  <si>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</si>
  <si>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</si>
  <si>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</si>
  <si>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</si>
  <si>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</si>
  <si>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</si>
  <si>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</si>
  <si>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</si>
  <si>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</si>
  <si>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</si>
  <si>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</si>
  <si>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</si>
  <si>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</si>
  <si>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</si>
  <si>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</si>
  <si>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</si>
  <si>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</si>
  <si>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</si>
  <si>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</si>
  <si>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</si>
  <si>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</si>
  <si>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</si>
  <si>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</si>
  <si>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</si>
  <si>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</si>
  <si>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</si>
  <si>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</si>
  <si>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</si>
  <si>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</si>
  <si>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</si>
  <si>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</si>
  <si>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</si>
  <si>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</si>
  <si>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</si>
  <si>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</si>
  <si>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</si>
  <si>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</si>
  <si>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</si>
  <si>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</si>
  <si>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</si>
  <si>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</si>
  <si>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</si>
  <si>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</si>
  <si>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</si>
  <si>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</si>
  <si>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</si>
  <si>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</si>
  <si>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</si>
  <si>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</si>
  <si>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</si>
  <si>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</si>
  <si>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</si>
  <si>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</si>
  <si>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</si>
  <si>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</si>
  <si>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</si>
  <si>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</si>
  <si>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</si>
  <si>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</si>
  <si>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</si>
  <si>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</si>
  <si>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</si>
  <si>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</si>
  <si>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</si>
  <si>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</si>
  <si>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</si>
  <si>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</si>
  <si>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</si>
  <si>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</si>
  <si>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</si>
  <si>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</si>
  <si>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</si>
  <si>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</si>
  <si>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</si>
  <si>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</si>
  <si>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</si>
  <si>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</si>
  <si>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</si>
  <si>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</si>
  <si>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</si>
  <si>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</si>
  <si>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</si>
  <si>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</si>
  <si>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</si>
  <si>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</si>
  <si>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</si>
  <si>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</si>
  <si>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</si>
  <si>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</si>
  <si>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</si>
  <si>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</si>
  <si>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</si>
  <si>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</si>
  <si>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</si>
  <si>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</si>
  <si>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</si>
  <si>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</si>
  <si>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</si>
  <si>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</si>
  <si>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</si>
  <si>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</si>
  <si>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</si>
  <si>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</si>
  <si>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</si>
  <si>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</si>
  <si>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</si>
  <si>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</si>
  <si>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</si>
  <si>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</si>
  <si>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</si>
  <si>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</si>
  <si>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</si>
  <si>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</si>
  <si>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</si>
  <si>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</si>
  <si>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</si>
  <si>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</si>
  <si>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</si>
  <si>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</si>
  <si>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</si>
  <si>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</si>
  <si>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</si>
  <si>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</si>
  <si>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</si>
  <si>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</si>
  <si>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</si>
  <si>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</si>
  <si>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</si>
  <si>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</si>
  <si>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</si>
  <si>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</si>
  <si>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</si>
  <si>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</si>
  <si>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</si>
  <si>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</si>
  <si>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</si>
  <si>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</si>
  <si>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</si>
  <si>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</si>
  <si>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</si>
  <si>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</si>
  <si>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</si>
  <si>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</si>
  <si>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</si>
  <si>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</si>
  <si>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</si>
  <si>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</si>
  <si>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</si>
  <si>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</si>
  <si>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</si>
  <si>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</si>
  <si>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</si>
  <si>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</si>
  <si>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</si>
  <si>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</si>
  <si>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</si>
  <si>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</si>
  <si>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</si>
  <si>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</si>
  <si>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</si>
  <si>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</si>
  <si>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</si>
  <si>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</si>
  <si>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</si>
  <si>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</si>
  <si>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</si>
  <si>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</si>
  <si>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</si>
  <si>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</si>
  <si>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</si>
  <si>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</si>
  <si>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</si>
  <si>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</si>
  <si>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</si>
  <si>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</si>
  <si>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</si>
  <si>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</si>
  <si>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</si>
  <si>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</si>
  <si>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</si>
  <si>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</si>
  <si>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</si>
  <si>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</si>
  <si>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</si>
  <si>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</si>
  <si>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</si>
  <si>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</si>
  <si>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</si>
  <si>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</si>
  <si>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</si>
  <si>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</si>
  <si>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</si>
  <si>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</si>
  <si>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</si>
  <si>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</si>
  <si>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</si>
  <si>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</si>
  <si>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</si>
  <si>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</si>
  <si>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</si>
  <si>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</si>
  <si>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</si>
  <si>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</si>
  <si>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</si>
  <si>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</si>
  <si>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</si>
  <si>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</si>
  <si>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</si>
  <si>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</si>
  <si>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</si>
  <si>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</si>
  <si>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</si>
  <si>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</si>
  <si>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</si>
  <si>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</si>
  <si>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</si>
  <si>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</si>
  <si>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</si>
  <si>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</si>
  <si>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</si>
  <si>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</si>
  <si>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</si>
  <si>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</si>
  <si>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</si>
  <si>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</si>
  <si>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</si>
  <si>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</si>
  <si>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</si>
  <si>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</si>
  <si>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</si>
  <si>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</si>
  <si>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</si>
  <si>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</si>
  <si>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</si>
  <si>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</si>
  <si>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</si>
  <si>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</si>
  <si>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</si>
  <si>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</si>
  <si>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</si>
  <si>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</si>
  <si>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</si>
  <si>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</si>
  <si>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</si>
  <si>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</si>
  <si>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</si>
  <si>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</si>
  <si>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</si>
  <si>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</si>
  <si>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</si>
  <si>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</si>
  <si>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</si>
  <si>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</si>
  <si>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</si>
  <si>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</si>
  <si>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</si>
  <si>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</si>
  <si>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</si>
  <si>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</si>
  <si>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</si>
  <si>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</si>
  <si>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</si>
  <si>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</si>
  <si>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</si>
  <si>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</si>
  <si>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</si>
  <si>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</si>
  <si>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</si>
  <si>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</si>
  <si>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</si>
  <si>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</si>
  <si>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</si>
  <si>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</si>
  <si>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</si>
  <si>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</si>
  <si>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</si>
  <si>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</si>
  <si>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</si>
  <si>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</si>
  <si>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</si>
  <si>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</si>
  <si>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</si>
  <si>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</si>
  <si>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</si>
  <si>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</si>
  <si>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</si>
  <si>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</si>
  <si>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</si>
  <si>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</si>
  <si>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</si>
  <si>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</si>
  <si>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</si>
  <si>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</si>
  <si>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</si>
  <si>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</si>
  <si>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</si>
  <si>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</si>
  <si>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</si>
  <si>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</si>
  <si>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</si>
  <si>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</si>
  <si>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</si>
  <si>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</si>
  <si>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</si>
  <si>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</si>
  <si>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</si>
  <si>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</si>
  <si>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</si>
  <si>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</si>
  <si>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</si>
  <si>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</si>
  <si>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</si>
  <si>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</si>
  <si>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</si>
  <si>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</si>
  <si>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</si>
  <si>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</si>
  <si>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</si>
  <si>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</si>
  <si>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</si>
  <si>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</si>
  <si>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</si>
  <si>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</si>
  <si>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</si>
  <si>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</si>
  <si>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</si>
  <si>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</si>
  <si>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</si>
  <si>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</si>
  <si>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</si>
  <si>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</si>
  <si>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</si>
  <si>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</si>
  <si>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</si>
  <si>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</si>
  <si>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</si>
  <si>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</si>
  <si>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</si>
  <si>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</si>
  <si>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</si>
  <si>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</si>
  <si>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</si>
  <si>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</si>
  <si>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</si>
  <si>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</si>
  <si>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</si>
  <si>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</si>
  <si>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</si>
  <si>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</si>
  <si>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</si>
  <si>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</si>
  <si>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</si>
  <si>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</si>
  <si>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</si>
  <si>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</si>
  <si>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</si>
  <si>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</si>
  <si>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</si>
  <si>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</si>
  <si>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</si>
  <si>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</si>
  <si>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</si>
  <si>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</si>
  <si>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</si>
  <si>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</si>
  <si>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</si>
  <si>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</si>
  <si>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</si>
  <si>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</si>
  <si>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</si>
  <si>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</si>
  <si>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</si>
  <si>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</si>
  <si>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</si>
  <si>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</si>
  <si>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</si>
  <si>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</si>
  <si>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</si>
  <si>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</si>
  <si>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</si>
  <si>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</si>
  <si>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</si>
  <si>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</si>
  <si>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</si>
  <si>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</si>
  <si>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</si>
  <si>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</si>
  <si>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</si>
  <si>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</si>
  <si>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</si>
  <si>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</si>
  <si>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</si>
  <si>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</si>
  <si>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</si>
  <si>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</si>
  <si>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</si>
  <si>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</si>
  <si>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</si>
  <si>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</si>
  <si>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</si>
  <si>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</si>
  <si>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</si>
  <si>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</si>
  <si>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</si>
  <si>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</si>
  <si>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</si>
  <si>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</si>
  <si>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</si>
  <si>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</si>
  <si>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</si>
  <si>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</si>
  <si>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</si>
  <si>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</si>
  <si>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</si>
  <si>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</si>
  <si>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</si>
  <si>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</si>
  <si>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</si>
  <si>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</si>
  <si>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</si>
  <si>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</si>
  <si>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</si>
  <si>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</si>
  <si>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</si>
  <si>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</si>
  <si>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</si>
  <si>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</si>
  <si>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</si>
  <si>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</si>
  <si>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</si>
  <si>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</si>
  <si>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</si>
  <si>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</si>
  <si>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</si>
  <si>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</si>
  <si>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</si>
  <si>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</si>
  <si>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</si>
  <si>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</si>
  <si>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</si>
  <si>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</si>
  <si>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</si>
  <si>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</si>
  <si>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</si>
  <si>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</si>
  <si>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</si>
  <si>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</si>
  <si>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</si>
  <si>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</si>
  <si>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</si>
  <si>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</si>
  <si>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</si>
  <si>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</si>
  <si>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</si>
  <si>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</si>
  <si>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</si>
  <si>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</si>
  <si>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</si>
  <si>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</si>
  <si>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</si>
  <si>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</si>
  <si>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</si>
  <si>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</si>
  <si>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</si>
  <si>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</si>
  <si>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</si>
  <si>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</si>
  <si>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</si>
  <si>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</si>
  <si>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</si>
  <si>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</si>
  <si>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</si>
  <si>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</si>
  <si>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</si>
  <si>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</si>
  <si>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</si>
  <si>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</si>
  <si>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</si>
  <si>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</si>
  <si>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</si>
  <si>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</si>
  <si>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</si>
  <si>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</si>
  <si>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</si>
  <si>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</si>
  <si>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</si>
  <si>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</si>
  <si>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</si>
  <si>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</si>
  <si>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</si>
  <si>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</si>
  <si>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</si>
  <si>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</si>
  <si>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</si>
  <si>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</si>
  <si>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</si>
  <si>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</si>
  <si>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</si>
  <si>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</si>
  <si>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</si>
  <si>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</si>
  <si>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</si>
  <si>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</si>
  <si>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</si>
  <si>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</si>
  <si>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</si>
  <si>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</si>
  <si>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</si>
  <si>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</si>
  <si>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</si>
  <si>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</si>
  <si>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</si>
  <si>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</si>
  <si>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</si>
  <si>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</si>
  <si>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</si>
  <si>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</si>
  <si>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</si>
  <si>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</si>
  <si>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</si>
  <si>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</si>
  <si>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</si>
  <si>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</si>
  <si>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</si>
  <si>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</si>
  <si>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</si>
  <si>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</si>
  <si>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</si>
  <si>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</si>
  <si>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</si>
  <si>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</si>
  <si>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</si>
  <si>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</si>
  <si>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</si>
  <si>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</si>
  <si>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</si>
  <si>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</si>
  <si>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</si>
  <si>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</si>
  <si>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</si>
  <si>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</si>
  <si>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</si>
  <si>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</si>
  <si>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</si>
  <si>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</si>
  <si>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</si>
  <si>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</si>
  <si>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</si>
  <si>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</si>
  <si>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</si>
  <si>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</si>
  <si>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</si>
  <si>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</si>
  <si>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</si>
  <si>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</si>
  <si>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</si>
  <si>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</si>
  <si>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</si>
  <si>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</si>
  <si>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</si>
  <si>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</si>
  <si>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</si>
  <si>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</si>
  <si>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</si>
  <si>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</si>
  <si>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</si>
  <si>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</si>
  <si>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</si>
  <si>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</si>
  <si>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</si>
  <si>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</si>
  <si>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</si>
  <si>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</si>
  <si>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</si>
  <si>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</si>
  <si>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</si>
  <si>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</si>
  <si>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</si>
  <si>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</si>
  <si>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</si>
  <si>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</si>
  <si>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</si>
  <si>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</si>
  <si>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</si>
  <si>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</si>
  <si>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</si>
  <si>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</si>
  <si>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</si>
  <si>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</si>
  <si>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</si>
  <si>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</si>
  <si>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</si>
  <si>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</si>
  <si>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</si>
  <si>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</si>
  <si>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</si>
  <si>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</si>
  <si>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</si>
  <si>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</si>
  <si>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</si>
  <si>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</si>
  <si>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</si>
  <si>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</si>
  <si>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</si>
  <si>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</si>
  <si>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</si>
  <si>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</si>
  <si>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</si>
  <si>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</si>
  <si>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</si>
  <si>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</si>
  <si>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</si>
  <si>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</si>
  <si>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</si>
  <si>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</si>
  <si>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</si>
  <si>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</si>
  <si>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</si>
  <si>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</si>
  <si>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</si>
  <si>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</si>
  <si>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</si>
  <si>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</si>
  <si>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</si>
  <si>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</si>
  <si>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</si>
  <si>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</si>
  <si>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</si>
  <si>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</si>
  <si>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</si>
  <si>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</si>
  <si>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</si>
  <si>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</si>
  <si>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</si>
  <si>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</si>
  <si>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</si>
  <si>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</si>
  <si>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</si>
  <si>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</si>
  <si>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</si>
  <si>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</si>
  <si>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</si>
  <si>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</si>
  <si>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</si>
  <si>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</si>
  <si>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</si>
  <si>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</si>
  <si>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</si>
  <si>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</si>
  <si>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</si>
  <si>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</si>
  <si>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</si>
  <si>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</si>
  <si>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</si>
  <si>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</si>
  <si>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</si>
  <si>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</si>
  <si>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</si>
  <si>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</si>
  <si>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</si>
  <si>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</si>
  <si>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</si>
  <si>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</si>
  <si>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</si>
  <si>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</si>
  <si>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</si>
  <si>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</si>
  <si>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</si>
  <si>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</si>
  <si>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</si>
  <si>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</si>
  <si>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</si>
  <si>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</si>
  <si>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</si>
  <si>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</si>
  <si>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</si>
  <si>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</si>
  <si>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</si>
  <si>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</si>
  <si>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</si>
  <si>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</si>
  <si>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</si>
  <si>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</si>
  <si>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</si>
  <si>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</si>
  <si>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</si>
  <si>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</si>
  <si>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</si>
  <si>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</si>
  <si>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</si>
  <si>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</si>
  <si>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</si>
  <si>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</si>
  <si>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</si>
  <si>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</si>
  <si>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</si>
  <si>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</si>
  <si>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</si>
  <si>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</si>
  <si>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</si>
  <si>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</si>
  <si>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</si>
  <si>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</si>
  <si>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</si>
  <si>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</si>
  <si>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</si>
  <si>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</si>
  <si>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</si>
  <si>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</si>
  <si>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</si>
  <si>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</si>
  <si>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</si>
  <si>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</si>
  <si>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</si>
  <si>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</si>
  <si>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</si>
  <si>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</si>
  <si>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</si>
  <si>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</si>
  <si>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</si>
  <si>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</si>
  <si>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</si>
  <si>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</si>
  <si>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</si>
  <si>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</si>
  <si>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</si>
  <si>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</si>
  <si>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</si>
  <si>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</si>
  <si>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</si>
  <si>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</si>
  <si>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</si>
  <si>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</si>
  <si>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</si>
  <si>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</si>
  <si>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</si>
  <si>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</si>
  <si>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</si>
  <si>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</si>
  <si>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</si>
  <si>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</si>
  <si>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</si>
  <si>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</si>
  <si>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</si>
  <si>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</si>
  <si>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</si>
  <si>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</si>
  <si>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</si>
  <si>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</si>
  <si>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</si>
  <si>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</si>
  <si>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</si>
  <si>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</si>
  <si>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</si>
  <si>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</si>
  <si>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</si>
  <si>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</si>
  <si>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</si>
  <si>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</si>
  <si>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</si>
  <si>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</si>
  <si>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</si>
  <si>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</si>
  <si>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</si>
  <si>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</si>
  <si>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</si>
  <si>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</si>
  <si>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</si>
  <si>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</si>
  <si>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</si>
  <si>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</si>
  <si>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</si>
  <si>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</si>
  <si>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</si>
  <si>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</si>
  <si>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</si>
  <si>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</si>
  <si>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</si>
  <si>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</si>
  <si>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</si>
  <si>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</si>
  <si>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</si>
  <si>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</si>
  <si>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</si>
  <si>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</si>
  <si>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</si>
  <si>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</si>
  <si>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</si>
  <si>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</si>
  <si>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</si>
  <si>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</si>
  <si>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</si>
  <si>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</si>
  <si>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</si>
  <si>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</si>
  <si>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</si>
  <si>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</si>
  <si>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</si>
  <si>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</si>
  <si>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</si>
  <si>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</si>
  <si>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</si>
  <si>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</si>
  <si>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</si>
  <si>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</si>
  <si>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</si>
  <si>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</si>
  <si>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</si>
  <si>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</si>
  <si>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</si>
  <si>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</si>
  <si>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</si>
  <si>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</si>
  <si>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</si>
  <si>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</si>
  <si>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</si>
  <si>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</si>
  <si>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</si>
  <si>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</si>
  <si>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</si>
  <si>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</si>
  <si>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</si>
  <si>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</si>
  <si>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</si>
  <si>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</si>
  <si>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</si>
  <si>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</si>
  <si>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</si>
  <si>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</si>
  <si>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</si>
  <si>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</si>
  <si>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</si>
  <si>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</si>
  <si>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</si>
  <si>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</si>
  <si>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</si>
  <si>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</si>
  <si>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</si>
  <si>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</si>
  <si>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</si>
  <si>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</si>
  <si>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</si>
  <si>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</si>
  <si>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</si>
  <si>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</si>
  <si>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</si>
  <si>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</si>
  <si>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</si>
  <si>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</si>
  <si>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</si>
  <si>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</si>
  <si>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</si>
  <si>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</si>
  <si>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</si>
  <si>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</si>
  <si>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</si>
  <si>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</si>
  <si>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</si>
  <si>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</si>
  <si>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</si>
  <si>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</si>
  <si>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</si>
  <si>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</si>
  <si>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</si>
  <si>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</si>
  <si>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</si>
  <si>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</si>
  <si>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</si>
  <si>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</si>
  <si>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</si>
  <si>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</si>
  <si>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</si>
  <si>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</si>
  <si>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</si>
  <si>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</si>
  <si>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</si>
  <si>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</si>
  <si>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</si>
  <si>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</si>
  <si>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</si>
  <si>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</si>
  <si>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</si>
  <si>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</si>
  <si>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</si>
  <si>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</si>
  <si>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</si>
  <si>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</si>
  <si>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</si>
  <si>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</si>
  <si>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</si>
  <si>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</si>
  <si>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</si>
  <si>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</si>
  <si>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</si>
  <si>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</si>
  <si>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</si>
  <si>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</si>
  <si>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</si>
  <si>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</si>
  <si>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</si>
  <si>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</si>
  <si>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</si>
  <si>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</si>
  <si>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</si>
  <si>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</si>
  <si>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</si>
  <si>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</si>
  <si>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</si>
  <si>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</si>
  <si>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</si>
  <si>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</si>
  <si>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</si>
  <si>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</si>
  <si>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</si>
  <si>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</si>
  <si>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</si>
  <si>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</si>
  <si>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</si>
  <si>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</si>
  <si>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</si>
  <si>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</si>
  <si>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</si>
  <si>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</si>
  <si>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</si>
  <si>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</si>
  <si>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</si>
  <si>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</si>
  <si>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</si>
  <si>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</si>
  <si>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</si>
  <si>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</si>
  <si>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</si>
  <si>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</si>
  <si>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</si>
  <si>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</si>
  <si>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</si>
  <si>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</si>
  <si>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</si>
  <si>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</si>
  <si>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</si>
  <si>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</si>
  <si>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</si>
  <si>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</si>
  <si>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</si>
  <si>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</si>
  <si>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</si>
  <si>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</si>
  <si>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</si>
  <si>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</si>
  <si>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</si>
  <si>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</si>
  <si>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</si>
  <si>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</si>
  <si>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</si>
  <si>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</si>
  <si>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</si>
  <si>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</si>
  <si>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</si>
  <si>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</si>
  <si>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</si>
  <si>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</si>
  <si>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</si>
  <si>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</si>
  <si>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</si>
  <si>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</si>
  <si>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</si>
  <si>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</si>
  <si>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</si>
  <si>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</si>
  <si>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</si>
  <si>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</si>
  <si>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</si>
  <si>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</si>
  <si>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</si>
  <si>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</si>
  <si>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</si>
  <si>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</si>
  <si>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</si>
  <si>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</si>
  <si>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</si>
  <si>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</si>
  <si>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</si>
  <si>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</si>
  <si>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</si>
  <si>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</si>
  <si>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</si>
  <si>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</si>
  <si>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</si>
  <si>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</si>
  <si>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</si>
  <si>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</si>
  <si>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</si>
  <si>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</si>
  <si>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</si>
  <si>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</si>
  <si>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</si>
  <si>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</si>
  <si>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</si>
  <si>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</si>
  <si>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</si>
  <si>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</si>
  <si>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</si>
  <si>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</si>
  <si>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</si>
  <si>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</si>
  <si>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</si>
  <si>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</si>
  <si>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</si>
  <si>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</si>
  <si>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</si>
  <si>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</si>
  <si>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</si>
  <si>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</si>
  <si>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</si>
  <si>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</si>
  <si>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</si>
  <si>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</si>
  <si>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</si>
  <si>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</si>
  <si>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</si>
  <si>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</si>
  <si>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</si>
  <si>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</si>
  <si>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</si>
  <si>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</si>
  <si>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</si>
  <si>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</si>
  <si>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</si>
  <si>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</si>
  <si>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</si>
  <si>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</si>
  <si>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</si>
  <si>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</si>
  <si>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</si>
  <si>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</si>
  <si>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</si>
  <si>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</si>
  <si>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</si>
  <si>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</si>
  <si>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</si>
  <si>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</si>
  <si>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</si>
  <si>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</si>
  <si>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</si>
  <si>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</si>
  <si>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</si>
  <si>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</si>
  <si>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</si>
  <si>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</si>
  <si>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</si>
  <si>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</si>
  <si>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</si>
  <si>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</si>
  <si>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</si>
  <si>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</si>
  <si>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</si>
  <si>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</si>
  <si>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</si>
  <si>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</si>
  <si>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</si>
  <si>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</si>
  <si>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</si>
  <si>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</si>
  <si>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</si>
  <si>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</si>
  <si>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</si>
  <si>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</si>
  <si>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</si>
  <si>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</si>
  <si>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</si>
  <si>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</si>
  <si>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</si>
  <si>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</si>
  <si>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</si>
  <si>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</si>
  <si>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</si>
  <si>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</si>
  <si>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</si>
  <si>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</si>
  <si>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</si>
  <si>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</si>
  <si>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</si>
  <si>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</si>
  <si>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</si>
  <si>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</si>
  <si>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</si>
  <si>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</si>
  <si>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</si>
  <si>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</si>
  <si>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</si>
  <si>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</si>
  <si>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</si>
  <si>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</si>
  <si>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</si>
  <si>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</si>
  <si>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</si>
  <si>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</si>
  <si>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</si>
  <si>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</si>
  <si>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</si>
  <si>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</si>
  <si>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</si>
  <si>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</si>
  <si>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</si>
  <si>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</si>
  <si>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</si>
  <si>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</si>
  <si>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</si>
  <si>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</si>
  <si>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</si>
  <si>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</si>
  <si>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</si>
  <si>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</si>
  <si>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</si>
  <si>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</si>
  <si>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</si>
  <si>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</si>
  <si>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</si>
  <si>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</si>
  <si>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</si>
  <si>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</si>
  <si>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</si>
  <si>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</si>
  <si>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</si>
  <si>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</si>
  <si>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</si>
  <si>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</si>
  <si>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</si>
  <si>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</si>
  <si>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</si>
  <si>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</si>
  <si>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</si>
  <si>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</si>
  <si>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</si>
  <si>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</si>
  <si>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</si>
  <si>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</si>
  <si>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</si>
  <si>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</si>
  <si>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</si>
  <si>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</si>
  <si>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</si>
  <si>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</si>
  <si>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</si>
  <si>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</si>
  <si>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</si>
  <si>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</si>
  <si>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</si>
  <si>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</si>
  <si>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</si>
  <si>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</si>
  <si>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</si>
  <si>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</si>
  <si>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</si>
  <si>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</si>
  <si>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</si>
  <si>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</si>
  <si>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</si>
  <si>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</si>
  <si>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</si>
  <si>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</si>
  <si>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</si>
  <si>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</si>
  <si>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</si>
  <si>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</si>
  <si>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</si>
  <si>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</si>
  <si>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</si>
  <si>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</si>
  <si>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</si>
  <si>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</si>
  <si>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</si>
  <si>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</si>
  <si>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</si>
  <si>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</si>
  <si>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</si>
  <si>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</si>
  <si>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</si>
  <si>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</si>
  <si>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</si>
  <si>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</si>
  <si>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</si>
  <si>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</si>
  <si>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</si>
  <si>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</si>
  <si>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</si>
  <si>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</si>
  <si>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</si>
  <si>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</si>
  <si>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</si>
  <si>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</si>
  <si>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</si>
  <si>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</si>
  <si>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</si>
  <si>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</si>
  <si>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</si>
  <si>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</si>
  <si>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</si>
  <si>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</si>
  <si>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</si>
  <si>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</si>
  <si>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</si>
  <si>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</si>
  <si>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</si>
  <si>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</si>
  <si>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</si>
  <si>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</si>
  <si>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</si>
  <si>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</si>
  <si>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</si>
  <si>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</si>
  <si>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</si>
  <si>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</si>
  <si>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</si>
  <si>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</si>
  <si>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</si>
  <si>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</si>
  <si>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</si>
  <si>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</si>
  <si>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</si>
  <si>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</si>
  <si>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</si>
  <si>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</si>
  <si>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</si>
  <si>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</si>
  <si>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</si>
  <si>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</si>
  <si>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</si>
  <si>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</si>
  <si>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</si>
  <si>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</si>
  <si>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</si>
  <si>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</si>
  <si>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</si>
  <si>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</si>
  <si>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</si>
  <si>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</si>
  <si>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</si>
  <si>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</si>
  <si>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</si>
  <si>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</si>
  <si>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</si>
  <si>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</si>
  <si>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</si>
  <si>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</si>
  <si>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</si>
  <si>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</si>
  <si>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</si>
  <si>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</si>
  <si>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</si>
  <si>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</si>
  <si>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</si>
  <si>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</si>
  <si>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</si>
  <si>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</si>
  <si>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</si>
  <si>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</si>
  <si>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</si>
  <si>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</si>
  <si>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</si>
  <si>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</si>
  <si>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</si>
  <si>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</si>
  <si>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</si>
  <si>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</si>
  <si>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</si>
  <si>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</si>
  <si>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</si>
  <si>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</si>
  <si>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</si>
  <si>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</si>
  <si>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</si>
  <si>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</si>
  <si>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</si>
  <si>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</si>
  <si>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</si>
  <si>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</si>
  <si>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</si>
  <si>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</si>
  <si>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</si>
  <si>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</si>
  <si>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</si>
  <si>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</si>
  <si>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</si>
  <si>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</si>
  <si>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</si>
  <si>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</si>
  <si>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</si>
  <si>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</si>
  <si>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</si>
  <si>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</si>
  <si>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</si>
  <si>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</si>
  <si>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</si>
  <si>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</si>
  <si>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</si>
  <si>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</si>
  <si>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</si>
  <si>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</si>
  <si>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</si>
  <si>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</si>
  <si>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</si>
  <si>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</si>
  <si>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</si>
  <si>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</si>
  <si>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</si>
  <si>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</si>
  <si>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</si>
  <si>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</si>
  <si>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</si>
  <si>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</si>
  <si>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</si>
  <si>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</si>
  <si>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</si>
  <si>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</si>
  <si>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</si>
  <si>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</si>
  <si>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</si>
  <si>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</si>
  <si>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</si>
  <si>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</si>
  <si>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</si>
  <si>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</si>
  <si>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</si>
  <si>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</si>
  <si>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</si>
  <si>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</si>
  <si>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</si>
  <si>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</si>
  <si>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</si>
  <si>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</si>
  <si>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</si>
  <si>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</si>
  <si>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</si>
  <si>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</si>
  <si>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</si>
  <si>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</si>
  <si>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</si>
  <si>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</si>
  <si>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</si>
  <si>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</si>
  <si>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</si>
  <si>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</si>
  <si>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</si>
  <si>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</si>
  <si>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</si>
  <si>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</si>
  <si>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</si>
  <si>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</si>
  <si>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</si>
  <si>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</si>
  <si>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</si>
  <si>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</si>
  <si>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</si>
  <si>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</si>
  <si>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</si>
  <si>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</si>
  <si>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</si>
  <si>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</si>
  <si>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</si>
  <si>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</si>
  <si>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</si>
  <si>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</si>
  <si>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</si>
  <si>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</si>
  <si>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</si>
  <si>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</si>
  <si>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</si>
  <si>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</si>
  <si>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</si>
  <si>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</si>
  <si>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</si>
  <si>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</si>
  <si>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</si>
  <si>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</si>
  <si>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</si>
  <si>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</si>
  <si>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</si>
  <si>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</si>
  <si>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</si>
  <si>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</si>
  <si>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</si>
  <si>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</si>
  <si>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</si>
  <si>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</si>
  <si>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</si>
  <si>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</si>
  <si>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</si>
  <si>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</si>
  <si>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</si>
  <si>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</si>
  <si>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</si>
  <si>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</si>
  <si>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</si>
  <si>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</si>
  <si>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</si>
  <si>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</si>
  <si>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</si>
  <si>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</si>
  <si>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</si>
  <si>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</si>
  <si>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</si>
  <si>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</si>
  <si>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</si>
  <si>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</si>
  <si>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</si>
  <si>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</si>
  <si>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</si>
  <si>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</si>
  <si>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</si>
  <si>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</si>
  <si>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</si>
  <si>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</si>
  <si>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</si>
  <si>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</si>
  <si>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</si>
  <si>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</si>
  <si>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</si>
  <si>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</si>
  <si>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</si>
  <si>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</si>
  <si>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</si>
  <si>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</si>
  <si>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</si>
  <si>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</si>
  <si>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</si>
  <si>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</si>
  <si>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</si>
  <si>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</si>
  <si>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</si>
  <si>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</si>
  <si>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</si>
  <si>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</si>
  <si>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</si>
  <si>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</si>
  <si>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</si>
  <si>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</si>
  <si>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</si>
  <si>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</si>
  <si>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</si>
  <si>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</si>
  <si>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</si>
  <si>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</si>
  <si>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</si>
  <si>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</si>
  <si>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</si>
  <si>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</si>
  <si>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</si>
  <si>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</si>
  <si>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</si>
  <si>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</si>
  <si>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</si>
  <si>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</si>
  <si>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</si>
  <si>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</si>
  <si>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</si>
  <si>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</si>
  <si>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</si>
  <si>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</si>
  <si>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</si>
  <si>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</si>
  <si>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</si>
  <si>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</si>
  <si>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</si>
  <si>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</si>
  <si>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</si>
  <si>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</si>
  <si>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</si>
  <si>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</si>
  <si>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</si>
  <si>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</si>
  <si>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</si>
  <si>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</si>
  <si>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</si>
  <si>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</si>
  <si>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</si>
  <si>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</si>
  <si>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</si>
  <si>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</si>
  <si>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</si>
  <si>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</si>
  <si>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</si>
  <si>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</si>
  <si>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</si>
  <si>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</si>
  <si>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</si>
  <si>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</si>
  <si>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</si>
  <si>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</si>
  <si>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</si>
  <si>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</si>
  <si>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</si>
  <si>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</si>
  <si>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</si>
  <si>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</si>
  <si>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</si>
  <si>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</si>
  <si>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</si>
  <si>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</si>
  <si>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</si>
  <si>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</si>
  <si>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</si>
  <si>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</si>
  <si>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</si>
  <si>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</si>
  <si>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</si>
  <si>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</si>
  <si>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</si>
  <si>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</si>
  <si>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</si>
  <si>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</si>
  <si>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</si>
  <si>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</si>
  <si>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</si>
  <si>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</si>
  <si>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</si>
  <si>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</si>
  <si>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</si>
  <si>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</si>
  <si>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</si>
  <si>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</si>
  <si>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</si>
  <si>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</si>
  <si>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</si>
  <si>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</si>
  <si>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</si>
  <si>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</si>
  <si>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</si>
  <si>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</si>
  <si>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</si>
  <si>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</si>
  <si>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</si>
  <si>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</si>
  <si>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</si>
  <si>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</si>
  <si>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</si>
  <si>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</si>
  <si>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</si>
  <si>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</si>
  <si>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</si>
  <si>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</si>
  <si>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</si>
  <si>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</si>
  <si>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</si>
  <si>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</si>
  <si>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</si>
  <si>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</si>
  <si>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</si>
  <si>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</si>
  <si>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</si>
  <si>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</si>
  <si>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</si>
  <si>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</si>
  <si>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</si>
  <si>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</si>
  <si>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</si>
  <si>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</si>
  <si>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</si>
  <si>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</si>
  <si>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</si>
  <si>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</si>
  <si>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</si>
  <si>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</si>
  <si>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</si>
  <si>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</si>
  <si>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</si>
  <si>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</si>
  <si>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</si>
  <si>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</si>
  <si>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</si>
  <si>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</si>
  <si>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</si>
  <si>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</si>
  <si>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</si>
  <si>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</si>
  <si>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</si>
  <si>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</si>
  <si>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</si>
  <si>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</si>
  <si>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</si>
  <si>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</si>
  <si>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</si>
  <si>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</si>
  <si>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</si>
  <si>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</si>
  <si>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</si>
  <si>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</si>
  <si>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</si>
  <si>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</si>
  <si>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</si>
  <si>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</si>
  <si>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</si>
  <si>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</si>
  <si>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</si>
  <si>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</si>
  <si>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</si>
  <si>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</si>
  <si>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</si>
  <si>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</si>
  <si>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</si>
  <si>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</si>
  <si>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</si>
  <si>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</si>
  <si>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</si>
  <si>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</si>
  <si>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</si>
  <si>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</si>
  <si>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</si>
  <si>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</si>
  <si>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</si>
  <si>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</si>
  <si>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</si>
  <si>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</si>
  <si>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</si>
  <si>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</si>
  <si>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</si>
  <si>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</si>
  <si>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</si>
  <si>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</si>
  <si>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</si>
  <si>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</si>
  <si>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</si>
  <si>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</si>
  <si>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</si>
  <si>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</si>
  <si>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</si>
  <si>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</si>
  <si>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</si>
  <si>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</si>
  <si>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</si>
  <si>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</si>
  <si>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</si>
  <si>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</si>
  <si>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</si>
  <si>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</si>
  <si>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</si>
  <si>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</si>
  <si>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</si>
  <si>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</si>
  <si>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</si>
  <si>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</si>
  <si>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</si>
  <si>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</si>
  <si>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</si>
  <si>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</si>
  <si>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</si>
  <si>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</si>
  <si>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</si>
  <si>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</si>
  <si>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</si>
  <si>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</si>
  <si>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</si>
  <si>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</si>
  <si>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</si>
  <si>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</si>
  <si>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</si>
  <si>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</si>
  <si>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</si>
  <si>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</si>
  <si>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</si>
  <si>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</si>
  <si>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</si>
  <si>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</si>
  <si>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</si>
  <si>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</si>
  <si>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</si>
  <si>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</si>
  <si>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</si>
  <si>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</si>
  <si>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</si>
  <si>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</si>
  <si>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</si>
  <si>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</si>
  <si>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</si>
  <si>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</si>
  <si>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</si>
  <si>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</si>
  <si>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</si>
  <si>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</si>
  <si>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</si>
  <si>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</si>
  <si>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</si>
  <si>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</si>
  <si>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</si>
  <si>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</si>
  <si>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</si>
  <si>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</si>
  <si>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</si>
  <si>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</si>
  <si>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</si>
  <si>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</si>
  <si>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</si>
  <si>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</si>
  <si>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</si>
  <si>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</si>
  <si>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</si>
  <si>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</si>
  <si>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</si>
  <si>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</si>
  <si>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</si>
  <si>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</si>
  <si>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</si>
  <si>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</si>
  <si>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</si>
  <si>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</si>
  <si>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</si>
  <si>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</si>
  <si>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</si>
  <si>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</si>
  <si>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</si>
  <si>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</si>
  <si>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</si>
  <si>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</si>
  <si>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</si>
  <si>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</si>
  <si>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</si>
  <si>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</si>
  <si>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</si>
  <si>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</si>
  <si>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</si>
  <si>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</si>
  <si>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</si>
  <si>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</si>
  <si>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</si>
  <si>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</si>
  <si>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</si>
  <si>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</si>
  <si>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</si>
  <si>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</si>
  <si>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</si>
  <si>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</si>
  <si>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</si>
  <si>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</si>
  <si>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</si>
  <si>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</si>
  <si>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</si>
  <si>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</si>
  <si>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</si>
  <si>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</si>
  <si>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</si>
  <si>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</si>
  <si>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</si>
  <si>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</si>
  <si>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</si>
  <si>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</si>
  <si>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</si>
  <si>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</si>
  <si>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</si>
  <si>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</si>
  <si>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</si>
  <si>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</si>
  <si>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</si>
  <si>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</si>
  <si>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</si>
  <si>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</si>
  <si>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</si>
  <si>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</si>
  <si>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</si>
  <si>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</si>
  <si>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</si>
  <si>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</si>
  <si>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</si>
  <si>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</si>
  <si>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</si>
  <si>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</si>
  <si>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</si>
  <si>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</si>
  <si>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</si>
  <si>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</si>
  <si>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</si>
  <si>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</si>
  <si>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</si>
  <si>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</si>
  <si>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</si>
  <si>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</si>
  <si>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</si>
  <si>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</si>
  <si>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</si>
  <si>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</si>
  <si>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</si>
  <si>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</si>
  <si>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</si>
  <si>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</si>
  <si>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</si>
  <si>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</si>
  <si>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</si>
  <si>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</si>
  <si>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</si>
  <si>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</si>
  <si>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</si>
  <si>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</si>
  <si>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</si>
  <si>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</si>
  <si>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</si>
  <si>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</si>
  <si>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</si>
  <si>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</si>
  <si>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</si>
  <si>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</si>
  <si>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</si>
  <si>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</si>
  <si>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</si>
  <si>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</si>
  <si>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</si>
  <si>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</si>
  <si>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</si>
  <si>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</si>
  <si>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</si>
  <si>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</si>
  <si>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</si>
  <si>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</si>
  <si>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</si>
  <si>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</si>
  <si>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</si>
  <si>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</si>
  <si>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</si>
  <si>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</si>
  <si>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</si>
  <si>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</si>
  <si>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</si>
  <si>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</si>
  <si>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</si>
  <si>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</si>
  <si>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</si>
  <si>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</si>
  <si>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</si>
  <si>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</si>
  <si>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</si>
  <si>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</si>
  <si>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</si>
  <si>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</si>
  <si>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</si>
  <si>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</si>
  <si>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</si>
  <si>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</si>
  <si>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</si>
  <si>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</si>
  <si>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</si>
  <si>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</si>
  <si>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</si>
  <si>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</si>
  <si>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</si>
  <si>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</si>
  <si>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</si>
  <si>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</si>
  <si>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</si>
  <si>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</si>
  <si>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</si>
  <si>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</si>
  <si>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</si>
  <si>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</si>
  <si>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</si>
  <si>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</si>
  <si>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</si>
  <si>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</si>
  <si>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</si>
  <si>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</si>
  <si>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</si>
  <si>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</si>
  <si>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</si>
  <si>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</si>
  <si>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</si>
  <si>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</si>
  <si>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</si>
  <si>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</si>
  <si>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</si>
  <si>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</si>
  <si>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</si>
  <si>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</si>
  <si>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</si>
  <si>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</si>
  <si>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</si>
  <si>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</si>
  <si>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</si>
  <si>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</si>
  <si>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</si>
  <si>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</si>
  <si>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</si>
  <si>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</si>
  <si>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</si>
  <si>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</si>
  <si>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</si>
  <si>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</si>
  <si>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</si>
  <si>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</si>
  <si>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</si>
  <si>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</si>
  <si>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</si>
  <si>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</si>
  <si>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</si>
  <si>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</si>
  <si>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</si>
  <si>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</si>
  <si>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</si>
  <si>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</si>
  <si>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</si>
  <si>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</si>
  <si>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</si>
  <si>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</si>
  <si>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</si>
  <si>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</si>
  <si>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</si>
  <si>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</si>
  <si>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</si>
  <si>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</si>
  <si>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</si>
  <si>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</si>
  <si>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</si>
  <si>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</si>
  <si>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</si>
  <si>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</si>
  <si>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</si>
  <si>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</si>
  <si>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</si>
  <si>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</si>
  <si>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</si>
  <si>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</si>
  <si>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</si>
  <si>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</si>
  <si>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</si>
  <si>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</si>
  <si>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</si>
  <si>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</si>
  <si>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</si>
  <si>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</si>
  <si>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</si>
  <si>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</si>
  <si>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</si>
  <si>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</si>
  <si>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</si>
  <si>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</si>
  <si>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</si>
  <si>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</si>
  <si>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</si>
  <si>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</si>
  <si>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</si>
  <si>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</si>
  <si>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</si>
  <si>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</si>
  <si>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</si>
  <si>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</si>
  <si>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</si>
  <si>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</si>
  <si>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</si>
  <si>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</si>
  <si>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</si>
  <si>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</si>
  <si>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</si>
  <si>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</si>
  <si>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</si>
  <si>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</si>
  <si>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</si>
  <si>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</si>
  <si>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</si>
  <si>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</si>
  <si>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</si>
  <si>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</si>
  <si>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</si>
  <si>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</si>
  <si>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</si>
  <si>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</si>
  <si>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</si>
  <si>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</si>
  <si>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</si>
  <si>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</si>
  <si>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</si>
  <si>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</si>
  <si>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</si>
  <si>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</si>
  <si>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</si>
  <si>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</si>
  <si>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</si>
  <si>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</si>
  <si>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</si>
  <si>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</si>
  <si>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</si>
  <si>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</si>
  <si>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</si>
  <si>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</si>
  <si>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</si>
  <si>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</si>
  <si>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</si>
  <si>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</si>
  <si>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</si>
  <si>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</si>
  <si>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</si>
  <si>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</si>
  <si>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</si>
  <si>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</si>
  <si>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</si>
  <si>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</si>
  <si>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</si>
  <si>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</si>
  <si>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</si>
  <si>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</si>
  <si>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</si>
  <si>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</si>
  <si>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</si>
  <si>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</si>
  <si>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</si>
  <si>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</si>
  <si>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</si>
  <si>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</si>
  <si>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</si>
  <si>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</si>
  <si>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</si>
  <si>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</si>
  <si>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</si>
  <si>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</si>
  <si>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</si>
  <si>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</si>
  <si>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</si>
  <si>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</si>
  <si>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</si>
  <si>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</si>
  <si>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</si>
  <si>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</si>
  <si>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</si>
  <si>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</si>
  <si>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</si>
  <si>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</si>
  <si>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</si>
  <si>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</si>
  <si>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</si>
  <si>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</si>
  <si>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</si>
  <si>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</si>
  <si>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</si>
  <si>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</si>
  <si>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</si>
  <si>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</si>
  <si>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</si>
  <si>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</si>
  <si>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</si>
  <si>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</si>
  <si>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</si>
  <si>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</si>
  <si>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</si>
  <si>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</si>
  <si>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</si>
  <si>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</si>
  <si>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</si>
  <si>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</si>
  <si>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</si>
  <si>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</si>
  <si>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</si>
  <si>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</si>
  <si>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</si>
  <si>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</si>
  <si>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</si>
  <si>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</si>
  <si>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</si>
  <si>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</si>
  <si>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</si>
  <si>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</si>
  <si>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</si>
  <si>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</si>
  <si>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</si>
  <si>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</si>
  <si>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</si>
  <si>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</si>
  <si>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</si>
  <si>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</si>
  <si>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</si>
  <si>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</si>
  <si>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</si>
  <si>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</si>
  <si>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</si>
  <si>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</si>
  <si>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</si>
  <si>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</si>
  <si>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</si>
  <si>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</si>
  <si>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</si>
  <si>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</si>
  <si>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</si>
  <si>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</si>
  <si>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</si>
  <si>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</si>
  <si>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</si>
  <si>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</si>
  <si>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</si>
  <si>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</si>
  <si>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</si>
  <si>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</si>
  <si>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</si>
  <si>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</si>
  <si>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</si>
  <si>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</si>
  <si>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</si>
  <si>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</si>
  <si>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</si>
  <si>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</si>
  <si>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</si>
  <si>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</si>
  <si>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</si>
  <si>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</si>
  <si>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</si>
  <si>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</si>
  <si>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</si>
  <si>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</si>
  <si>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</si>
  <si>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</si>
  <si>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</si>
  <si>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</si>
  <si>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</si>
  <si>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</si>
  <si>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</si>
  <si>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</si>
  <si>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</si>
  <si>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</si>
  <si>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</si>
  <si>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</si>
  <si>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</si>
  <si>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</si>
  <si>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</si>
  <si>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</si>
  <si>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</si>
  <si>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</si>
  <si>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</si>
  <si>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</si>
  <si>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</si>
  <si>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</si>
  <si>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</si>
  <si>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</si>
  <si>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</si>
  <si>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</si>
  <si>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</si>
  <si>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</si>
  <si>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</si>
  <si>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</si>
  <si>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</si>
  <si>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</si>
  <si>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</si>
  <si>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</si>
  <si>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</si>
  <si>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</si>
  <si>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</si>
  <si>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</si>
  <si>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</si>
  <si>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</si>
  <si>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</si>
  <si>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</si>
  <si>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</si>
  <si>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</si>
  <si>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</si>
  <si>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</si>
  <si>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</si>
  <si>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</si>
  <si>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</si>
  <si>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</si>
  <si>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</si>
  <si>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</si>
  <si>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</si>
  <si>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</si>
  <si>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</si>
  <si>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</si>
  <si>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</si>
  <si>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</si>
  <si>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</si>
  <si>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</si>
  <si>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</si>
  <si>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</si>
  <si>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</si>
  <si>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</si>
  <si>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</si>
  <si>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</si>
  <si>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</si>
  <si>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</si>
  <si>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</si>
  <si>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</si>
  <si>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</si>
  <si>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</si>
  <si>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</si>
  <si>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</si>
  <si>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</si>
  <si>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</si>
  <si>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</si>
  <si>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</si>
  <si>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</si>
  <si>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</si>
  <si>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</si>
  <si>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</si>
  <si>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</si>
  <si>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</si>
  <si>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</si>
  <si>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</si>
  <si>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</si>
  <si>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</si>
  <si>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</si>
  <si>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</si>
  <si>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</si>
  <si>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</si>
  <si>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</si>
  <si>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</si>
  <si>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</si>
  <si>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</si>
  <si>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</si>
  <si>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</si>
  <si>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</si>
  <si>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</si>
  <si>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</si>
  <si>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</si>
  <si>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</si>
  <si>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</si>
  <si>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</si>
  <si>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</si>
  <si>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</si>
  <si>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</si>
  <si>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</si>
  <si>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</si>
  <si>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</si>
  <si>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</si>
  <si>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</si>
  <si>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</si>
  <si>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</si>
  <si>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</si>
  <si>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</si>
  <si>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</si>
  <si>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</si>
  <si>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</si>
  <si>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</si>
  <si>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</si>
  <si>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</si>
  <si>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</si>
  <si>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</si>
  <si>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</si>
  <si>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</si>
  <si>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</si>
  <si>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</si>
  <si>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</si>
  <si>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</si>
  <si>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</si>
  <si>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</si>
  <si>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</si>
  <si>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</si>
  <si>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</si>
  <si>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</si>
  <si>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</si>
  <si>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</si>
  <si>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</si>
  <si>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</si>
  <si>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</si>
  <si>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</si>
  <si>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</si>
  <si>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</si>
  <si>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</si>
  <si>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</si>
  <si>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</si>
  <si>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</si>
  <si>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</si>
  <si>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</si>
  <si>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</si>
  <si>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</si>
  <si>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</si>
  <si>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</si>
  <si>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</si>
  <si>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</si>
  <si>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</si>
  <si>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</si>
  <si>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</si>
  <si>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</si>
  <si>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</si>
  <si>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</si>
  <si>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</si>
  <si>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</si>
  <si>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</si>
  <si>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</si>
  <si>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</si>
  <si>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</si>
  <si>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</si>
  <si>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</si>
  <si>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</si>
  <si>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</si>
  <si>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</si>
  <si>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</si>
  <si>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</si>
  <si>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</si>
  <si>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</si>
  <si>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</si>
  <si>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</si>
  <si>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</si>
  <si>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</si>
  <si>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</si>
  <si>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</si>
  <si>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</si>
  <si>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</si>
  <si>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</si>
  <si>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</si>
  <si>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</si>
  <si>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</si>
  <si>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</si>
  <si>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</si>
  <si>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</si>
  <si>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</si>
  <si>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</si>
  <si>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</si>
  <si>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</si>
  <si>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</si>
  <si>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</si>
  <si>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</si>
  <si>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</si>
  <si>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</si>
  <si>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</si>
  <si>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</si>
  <si>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</si>
  <si>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</si>
  <si>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</si>
  <si>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</si>
  <si>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</si>
  <si>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</si>
  <si>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</si>
  <si>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</si>
  <si>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</si>
  <si>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</si>
  <si>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</si>
  <si>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</si>
  <si>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</si>
  <si>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</si>
  <si>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</si>
  <si>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</si>
  <si>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</si>
  <si>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</si>
  <si>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</si>
  <si>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</si>
  <si>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</si>
  <si>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</si>
  <si>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</si>
  <si>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</si>
  <si>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</si>
  <si>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</si>
  <si>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</si>
  <si>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</si>
  <si>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</si>
  <si>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</si>
  <si>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</si>
  <si>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</si>
  <si>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</si>
  <si>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</si>
  <si>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</si>
  <si>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</si>
  <si>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</si>
  <si>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</si>
  <si>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</si>
  <si>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</si>
  <si>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</si>
  <si>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</si>
  <si>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</si>
  <si>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</si>
  <si>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</si>
  <si>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</si>
  <si>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</si>
  <si>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</si>
  <si>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</si>
  <si>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</si>
  <si>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</si>
  <si>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</si>
  <si>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</si>
  <si>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</si>
  <si>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</si>
  <si>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</si>
  <si>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</si>
  <si>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</si>
  <si>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</si>
  <si>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</si>
  <si>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</si>
  <si>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</si>
  <si>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</si>
  <si>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</si>
  <si>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</si>
  <si>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</si>
  <si>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</si>
  <si>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</si>
  <si>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</si>
  <si>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</si>
  <si>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</si>
  <si>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</si>
  <si>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</si>
  <si>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</si>
  <si>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</si>
  <si>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</si>
  <si>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</si>
  <si>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</si>
  <si>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</si>
  <si>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</si>
  <si>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</si>
  <si>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</si>
  <si>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</si>
  <si>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</si>
  <si>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</si>
  <si>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</si>
  <si>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</si>
  <si>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</si>
  <si>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</si>
  <si>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</si>
  <si>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</si>
  <si>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</si>
  <si>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</si>
  <si>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</si>
  <si>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</si>
  <si>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</si>
  <si>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</si>
  <si>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</si>
  <si>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</si>
  <si>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</si>
  <si>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</si>
  <si>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</si>
  <si>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</si>
  <si>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</si>
  <si>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</si>
  <si>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</si>
  <si>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</si>
  <si>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</si>
  <si>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</si>
  <si>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</si>
  <si>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</si>
  <si>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</si>
  <si>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</si>
  <si>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</si>
  <si>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</si>
  <si>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</si>
  <si>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</si>
  <si>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</si>
  <si>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</si>
  <si>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</si>
  <si>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</si>
  <si>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</si>
  <si>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</si>
  <si>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</si>
  <si>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</si>
  <si>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</si>
  <si>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</si>
  <si>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</si>
  <si>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</si>
  <si>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</si>
  <si>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</si>
  <si>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</si>
  <si>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</si>
  <si>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</si>
  <si>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</si>
  <si>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</si>
  <si>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</si>
  <si>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</si>
  <si>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</si>
  <si>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</si>
  <si>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</si>
  <si>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</si>
  <si>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</si>
  <si>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</si>
  <si>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</si>
  <si>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</si>
  <si>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</si>
  <si>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</si>
  <si>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</si>
  <si>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</si>
  <si>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</si>
  <si>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</si>
  <si>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</si>
  <si>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</si>
  <si>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</si>
  <si>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</si>
  <si>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</si>
  <si>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</si>
  <si>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</si>
  <si>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</si>
  <si>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</si>
  <si>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</si>
  <si>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</si>
  <si>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</si>
  <si>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</si>
  <si>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</si>
  <si>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</si>
  <si>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</si>
  <si>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</si>
  <si>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</si>
  <si>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</si>
  <si>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</si>
  <si>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</si>
  <si>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</si>
  <si>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</si>
  <si>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</si>
  <si>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</si>
  <si>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</si>
  <si>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</si>
  <si>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</si>
  <si>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</si>
  <si>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</si>
  <si>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</si>
  <si>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</si>
  <si>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</si>
  <si>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</si>
  <si>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</si>
  <si>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</si>
  <si>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</si>
  <si>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</si>
  <si>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</si>
  <si>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</si>
  <si>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</si>
  <si>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</si>
  <si>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</si>
  <si>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</si>
  <si>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</si>
  <si>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</si>
  <si>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</si>
  <si>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</si>
  <si>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</si>
  <si>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</si>
  <si>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</si>
  <si>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</si>
  <si>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</si>
  <si>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</si>
  <si>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</si>
  <si>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</si>
  <si>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</si>
  <si>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Ⅶ-石龙开发区</t>
  </si>
  <si>
    <t>是</t>
  </si>
  <si>
    <t>地上</t>
  </si>
  <si>
    <t>办公楼</t>
  </si>
  <si>
    <t>序号</t>
    <phoneticPr fontId="134" type="noConversion"/>
  </si>
  <si>
    <t>房地产权证号</t>
    <phoneticPr fontId="134" type="noConversion"/>
  </si>
  <si>
    <t>X京房权证门字第087668号</t>
    <phoneticPr fontId="134" type="noConversion"/>
  </si>
  <si>
    <t>房屋所有权人</t>
    <phoneticPr fontId="134" type="noConversion"/>
  </si>
  <si>
    <t>北京精雕科技集团有限公司</t>
    <phoneticPr fontId="134" type="noConversion"/>
  </si>
  <si>
    <t>房屋坐落</t>
    <phoneticPr fontId="134" type="noConversion"/>
  </si>
  <si>
    <t>门头沟区石龙经济开发区永安路20号1号楼12层1单元1202</t>
    <phoneticPr fontId="134" type="noConversion"/>
  </si>
  <si>
    <t>规划用途</t>
    <phoneticPr fontId="134" type="noConversion"/>
  </si>
  <si>
    <t>科研实验用房</t>
    <phoneticPr fontId="134" type="noConversion"/>
  </si>
  <si>
    <t>建筑面积</t>
    <phoneticPr fontId="134" type="noConversion"/>
  </si>
  <si>
    <t>总层数</t>
    <phoneticPr fontId="134" type="noConversion"/>
  </si>
  <si>
    <t>14（-2）</t>
    <phoneticPr fontId="134" type="noConversion"/>
  </si>
  <si>
    <t>X京房权证门字第087672号</t>
    <phoneticPr fontId="134" type="noConversion"/>
  </si>
  <si>
    <t>门头沟区石龙经济开发区永安路20号2号楼1层2单元101</t>
    <phoneticPr fontId="134" type="noConversion"/>
  </si>
  <si>
    <t>科研实验</t>
    <phoneticPr fontId="134" type="noConversion"/>
  </si>
  <si>
    <t>12（-1）</t>
  </si>
  <si>
    <t>12（-1）</t>
    <phoneticPr fontId="134" type="noConversion"/>
  </si>
  <si>
    <t>结构</t>
    <phoneticPr fontId="134" type="noConversion"/>
  </si>
  <si>
    <t>钢混</t>
  </si>
  <si>
    <t>钢混</t>
    <phoneticPr fontId="134" type="noConversion"/>
  </si>
  <si>
    <t>X京房权证门字第087669号</t>
    <phoneticPr fontId="134" type="noConversion"/>
  </si>
  <si>
    <t>门头沟区石龙经济开发区永安路20号2号楼2层2单元201</t>
    <phoneticPr fontId="134" type="noConversion"/>
  </si>
  <si>
    <t>X京房权证门字第087674号</t>
    <phoneticPr fontId="134" type="noConversion"/>
  </si>
  <si>
    <t>门头沟区石龙经济开发区永安路20号2号楼3层2单元301</t>
    <phoneticPr fontId="134" type="noConversion"/>
  </si>
  <si>
    <t>X京房权证门字第087675号</t>
  </si>
  <si>
    <t>门头沟区石龙经济开发区永安路20号2号楼4层2单元401</t>
    <phoneticPr fontId="134" type="noConversion"/>
  </si>
  <si>
    <t>X京房权证门字第087677号</t>
    <phoneticPr fontId="134" type="noConversion"/>
  </si>
  <si>
    <t>门头沟区石龙经济开发区永安路20号2号楼5层2单元501</t>
    <phoneticPr fontId="134" type="noConversion"/>
  </si>
  <si>
    <t>X京房权证门字第087673号</t>
    <phoneticPr fontId="134" type="noConversion"/>
  </si>
  <si>
    <t>门头沟区石龙经济开发区永安路20号2号楼6层2单元601</t>
    <phoneticPr fontId="134" type="noConversion"/>
  </si>
  <si>
    <t>X京房权证门字第087670号</t>
    <phoneticPr fontId="134" type="noConversion"/>
  </si>
  <si>
    <t>门头沟区石龙经济开发区永安路20号2号楼7层2单元701</t>
    <phoneticPr fontId="134" type="noConversion"/>
  </si>
  <si>
    <t>X京房权证门字第087676号</t>
    <phoneticPr fontId="134" type="noConversion"/>
  </si>
  <si>
    <t>门头沟区石龙经济开发区永安路20号2号楼8层2单元801</t>
    <phoneticPr fontId="134" type="noConversion"/>
  </si>
  <si>
    <t>X京房权证门字第087366号</t>
    <phoneticPr fontId="134" type="noConversion"/>
  </si>
  <si>
    <t>门头沟区石龙经济开发区永安路20号2号楼9层2单元901</t>
    <phoneticPr fontId="134" type="noConversion"/>
  </si>
  <si>
    <t>X京房权证门字第087671号</t>
    <phoneticPr fontId="134" type="noConversion"/>
  </si>
  <si>
    <t>门头沟区石龙经济开发区永安路20号2号楼10层2单元1001</t>
    <phoneticPr fontId="134" type="noConversion"/>
  </si>
  <si>
    <t>永定镇</t>
    <phoneticPr fontId="3" type="noConversion"/>
  </si>
  <si>
    <t>成新度</t>
  </si>
  <si>
    <t>收益法 (元)</t>
  </si>
  <si>
    <t>押一</t>
  </si>
  <si>
    <t>非生产用房</t>
  </si>
  <si>
    <t>否</t>
  </si>
  <si>
    <t>比较法-办公</t>
  </si>
  <si>
    <t>单套模式</t>
  </si>
  <si>
    <t>售价</t>
  </si>
  <si>
    <t>石龙阳光大厦</t>
    <phoneticPr fontId="3" type="noConversion"/>
  </si>
  <si>
    <t>正常</t>
  </si>
  <si>
    <t>挂牌</t>
  </si>
  <si>
    <t>挂牌</t>
    <phoneticPr fontId="31" type="noConversion"/>
  </si>
  <si>
    <t>办公（工业）</t>
  </si>
  <si>
    <t>办公（工业）</t>
    <phoneticPr fontId="31" type="noConversion"/>
  </si>
  <si>
    <t>办公</t>
    <phoneticPr fontId="31" type="noConversion"/>
  </si>
  <si>
    <t>长安天街</t>
    <phoneticPr fontId="3" type="noConversion"/>
  </si>
  <si>
    <r>
      <t>30-35</t>
    </r>
    <r>
      <rPr>
        <sz val="11"/>
        <rFont val="宋体"/>
        <family val="3"/>
        <charset val="134"/>
      </rPr>
      <t>（含）</t>
    </r>
    <phoneticPr fontId="31" type="noConversion"/>
  </si>
  <si>
    <r>
      <t>30-35</t>
    </r>
    <r>
      <rPr>
        <sz val="11"/>
        <color indexed="8"/>
        <rFont val="宋体"/>
        <family val="3"/>
        <charset val="134"/>
      </rPr>
      <t>（含）</t>
    </r>
    <phoneticPr fontId="31" type="noConversion"/>
  </si>
  <si>
    <r>
      <t>2020</t>
    </r>
    <r>
      <rPr>
        <sz val="11"/>
        <rFont val="宋体"/>
        <family val="3"/>
        <charset val="134"/>
      </rPr>
      <t>左右</t>
    </r>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</si>
  <si>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</si>
  <si>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</si>
  <si>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</si>
  <si>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8"/>
        <rFont val="宋体"/>
        <family val="3"/>
        <charset val="134"/>
      </rPr>
      <t>（含）</t>
    </r>
    <phoneticPr fontId="31" type="noConversion"/>
  </si>
  <si>
    <t>较好</t>
  </si>
  <si>
    <t>一般</t>
  </si>
  <si>
    <t>七通</t>
  </si>
  <si>
    <t>钢混</t>
    <phoneticPr fontId="31" type="noConversion"/>
  </si>
  <si>
    <t>精装</t>
  </si>
  <si>
    <t>精装</t>
    <phoneticPr fontId="31" type="noConversion"/>
  </si>
  <si>
    <t>普装</t>
    <phoneticPr fontId="31" type="noConversion"/>
  </si>
  <si>
    <t>简装</t>
  </si>
  <si>
    <t>简装</t>
    <phoneticPr fontId="31" type="noConversion"/>
  </si>
  <si>
    <t>毛坯</t>
  </si>
  <si>
    <t>毛坯</t>
    <phoneticPr fontId="31" type="noConversion"/>
  </si>
  <si>
    <t>楼面单价</t>
  </si>
  <si>
    <t>收益比率</t>
  </si>
  <si>
    <t>高区</t>
  </si>
  <si>
    <t>高区</t>
    <phoneticPr fontId="31" type="noConversion"/>
  </si>
  <si>
    <t>中区</t>
  </si>
  <si>
    <t>中区</t>
    <phoneticPr fontId="31" type="noConversion"/>
  </si>
  <si>
    <t>低区</t>
  </si>
  <si>
    <t>低区</t>
    <phoneticPr fontId="31" type="noConversion"/>
  </si>
  <si>
    <t>主干道</t>
  </si>
  <si>
    <t>主干道</t>
    <phoneticPr fontId="31" type="noConversion"/>
  </si>
  <si>
    <t>次干道</t>
  </si>
  <si>
    <t>次干道</t>
    <phoneticPr fontId="31" type="noConversion"/>
  </si>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</sst>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0" borderId="0" xfId="0" applyFont="1" applyAlignment="1">
      <alignment horizontal="left" vertical="center"/>
    </xf>
    <xf numFmtId="0" fontId="271" fillId="0" borderId="1" xfId="0" applyFont="1" applyBorder="1" applyAlignment="1">
      <alignment horizontal="left" vertical="center"/>
    </xf>
    <xf numFmtId="0" fontId="271" fillId="5" borderId="1" xfId="0" applyFont="1" applyFill="1" applyBorder="1" applyAlignment="1">
      <alignment horizontal="left" vertical="center"/>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57150</xdr:rowOff>
    </xdr:from>
    <xdr:to>
      <xdr:col>18</xdr:col>
      <xdr:colOff>303236</xdr:colOff>
      <xdr:row>35</xdr:row>
      <xdr:rowOff>161183</xdr:rowOff>
    </xdr:to>
    <xdr:pic>
      <xdr:nvPicPr>
        <xdr:cNvPr id="2" name="图片 1">
          <a:extLst>
            <a:ext uri="{FF2B5EF4-FFF2-40B4-BE49-F238E27FC236}">
              <a16:creationId xmlns:a16="http://schemas.microsoft.com/office/drawing/2014/main" id="{A7E47904-10F5-56D4-3757-7D43412D265A}"/>
            </a:ext>
          </a:extLst>
        </xdr:cNvPr>
        <xdr:cNvPicPr>
          <a:picLocks noChangeAspect="1"/>
        </xdr:cNvPicPr>
      </xdr:nvPicPr>
      <xdr:blipFill>
        <a:blip xmlns:r="http://schemas.openxmlformats.org/officeDocument/2006/relationships" r:embed="rId1"/>
        <a:stretch>
          <a:fillRect/>
        </a:stretch>
      </xdr:blipFill>
      <xdr:spPr>
        <a:xfrm>
          <a:off x="133350" y="228600"/>
          <a:ext cx="12514286" cy="5933333"/>
        </a:xfrm>
        <a:prstGeom prst="rect">
          <a:avLst/>
        </a:prstGeom>
      </xdr:spPr>
    </xdr:pic>
    <xdr:clientData/>
  </xdr:twoCellAnchor>
  <xdr:twoCellAnchor editAs="oneCell">
    <xdr:from>
      <xdr:col>18</xdr:col>
      <xdr:colOff>419100</xdr:colOff>
      <xdr:row>0</xdr:row>
      <xdr:rowOff>152400</xdr:rowOff>
    </xdr:from>
    <xdr:to>
      <xdr:col>28</xdr:col>
      <xdr:colOff>446814</xdr:colOff>
      <xdr:row>36</xdr:row>
      <xdr:rowOff>18295</xdr:rowOff>
    </xdr:to>
    <xdr:pic>
      <xdr:nvPicPr>
        <xdr:cNvPr id="3" name="图片 2">
          <a:extLst>
            <a:ext uri="{FF2B5EF4-FFF2-40B4-BE49-F238E27FC236}">
              <a16:creationId xmlns:a16="http://schemas.microsoft.com/office/drawing/2014/main" id="{2485B70A-06A9-8C82-3D4F-686B4177D61C}"/>
            </a:ext>
          </a:extLst>
        </xdr:cNvPr>
        <xdr:cNvPicPr>
          <a:picLocks noChangeAspect="1"/>
        </xdr:cNvPicPr>
      </xdr:nvPicPr>
      <xdr:blipFill>
        <a:blip xmlns:r="http://schemas.openxmlformats.org/officeDocument/2006/relationships" r:embed="rId2"/>
        <a:stretch>
          <a:fillRect/>
        </a:stretch>
      </xdr:blipFill>
      <xdr:spPr>
        <a:xfrm>
          <a:off x="12763500" y="152400"/>
          <a:ext cx="6885714" cy="6038095"/>
        </a:xfrm>
        <a:prstGeom prst="rect">
          <a:avLst/>
        </a:prstGeom>
      </xdr:spPr>
    </xdr:pic>
    <xdr:clientData/>
  </xdr:twoCellAnchor>
  <xdr:twoCellAnchor editAs="oneCell">
    <xdr:from>
      <xdr:col>0</xdr:col>
      <xdr:colOff>352425</xdr:colOff>
      <xdr:row>37</xdr:row>
      <xdr:rowOff>152400</xdr:rowOff>
    </xdr:from>
    <xdr:to>
      <xdr:col>17</xdr:col>
      <xdr:colOff>617634</xdr:colOff>
      <xdr:row>68</xdr:row>
      <xdr:rowOff>27926</xdr:rowOff>
    </xdr:to>
    <xdr:pic>
      <xdr:nvPicPr>
        <xdr:cNvPr id="4" name="图片 3">
          <a:extLst>
            <a:ext uri="{FF2B5EF4-FFF2-40B4-BE49-F238E27FC236}">
              <a16:creationId xmlns:a16="http://schemas.microsoft.com/office/drawing/2014/main" id="{8B97536A-F435-71D0-4260-838500795546}"/>
            </a:ext>
          </a:extLst>
        </xdr:cNvPr>
        <xdr:cNvPicPr>
          <a:picLocks noChangeAspect="1"/>
        </xdr:cNvPicPr>
      </xdr:nvPicPr>
      <xdr:blipFill>
        <a:blip xmlns:r="http://schemas.openxmlformats.org/officeDocument/2006/relationships" r:embed="rId3"/>
        <a:stretch>
          <a:fillRect/>
        </a:stretch>
      </xdr:blipFill>
      <xdr:spPr>
        <a:xfrm>
          <a:off x="352425" y="6496050"/>
          <a:ext cx="11923809" cy="5190476"/>
        </a:xfrm>
        <a:prstGeom prst="rect">
          <a:avLst/>
        </a:prstGeom>
      </xdr:spPr>
    </xdr:pic>
    <xdr:clientData/>
  </xdr:twoCellAnchor>
  <xdr:twoCellAnchor editAs="oneCell">
    <xdr:from>
      <xdr:col>0</xdr:col>
      <xdr:colOff>409575</xdr:colOff>
      <xdr:row>69</xdr:row>
      <xdr:rowOff>123825</xdr:rowOff>
    </xdr:from>
    <xdr:to>
      <xdr:col>17</xdr:col>
      <xdr:colOff>341451</xdr:colOff>
      <xdr:row>99</xdr:row>
      <xdr:rowOff>142230</xdr:rowOff>
    </xdr:to>
    <xdr:pic>
      <xdr:nvPicPr>
        <xdr:cNvPr id="5" name="图片 4">
          <a:extLst>
            <a:ext uri="{FF2B5EF4-FFF2-40B4-BE49-F238E27FC236}">
              <a16:creationId xmlns:a16="http://schemas.microsoft.com/office/drawing/2014/main" id="{246B6697-C34D-1C46-E3A2-5C7F55E4C756}"/>
            </a:ext>
          </a:extLst>
        </xdr:cNvPr>
        <xdr:cNvPicPr>
          <a:picLocks noChangeAspect="1"/>
        </xdr:cNvPicPr>
      </xdr:nvPicPr>
      <xdr:blipFill>
        <a:blip xmlns:r="http://schemas.openxmlformats.org/officeDocument/2006/relationships" r:embed="rId4"/>
        <a:stretch>
          <a:fillRect/>
        </a:stretch>
      </xdr:blipFill>
      <xdr:spPr>
        <a:xfrm>
          <a:off x="409575" y="11953875"/>
          <a:ext cx="11590476" cy="5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估价对象为房地产，为所有。根据《国有土地使用证》[]，估价对象（分摊）出让国有建设用地使用权面积为0平方米，建筑面积为388.61平方米。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估价对象为房地产,属开发建设的，该项目尚在开发建设中。根据《国有土地使用证》[]，估价对象（分摊）出让国有建设用地使用权面积为0平方米，规划建筑面积为388.61平方米。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2025年4月1日</v>
      </c>
    </row>
    <row r="13" spans="1:2">
      <c r="A13" s="1118" t="s">
        <v>529</v>
      </c>
      <c r="B13" s="1119"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558</v>
      </c>
    </row>
    <row r="21" spans="1:2">
      <c r="A21" s="1118" t="s">
        <v>537</v>
      </c>
      <c r="B21" s="1119">
        <f ca="1">'预评函-2'!D7</f>
        <v>14361</v>
      </c>
    </row>
    <row r="22" spans="1:2">
      <c r="A22" s="1118" t="s">
        <v>538</v>
      </c>
      <c r="B22" s="1119" t="str">
        <f ca="1">'预评函-2'!D6</f>
        <v>伍佰伍拾捌万元整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558</v>
      </c>
    </row>
    <row r="31" spans="1:2">
      <c r="A31" s="1118" t="s">
        <v>576</v>
      </c>
      <c r="B31" s="1119">
        <f ca="1">'预评函-2'!D15</f>
        <v>14361</v>
      </c>
    </row>
    <row r="32" spans="1:2">
      <c r="A32" s="1118" t="s">
        <v>543</v>
      </c>
      <c r="B32" s="1119" t="str">
        <f ca="1">'预评函-2'!D14</f>
        <v>伍佰伍拾捌万元整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388.61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229</v>
      </c>
    </row>
    <row r="48" spans="1:2">
      <c r="A48" s="1118" t="s">
        <v>549</v>
      </c>
      <c r="B48" s="1119">
        <f ca="1">'预评函-3'!E4</f>
        <v>5902</v>
      </c>
    </row>
    <row r="49" spans="1:2">
      <c r="A49" s="1118" t="s">
        <v>550</v>
      </c>
      <c r="B49" s="1119" t="str">
        <f ca="1">'预评函-3'!D5</f>
        <v>贰佰贰拾玖万元整</v>
      </c>
    </row>
    <row r="50" spans="1:2">
      <c r="A50" s="1118" t="s">
        <v>574</v>
      </c>
      <c r="B50" s="1119" t="str">
        <f>'预评函-3'!F2</f>
        <v>在建建筑物价值</v>
      </c>
    </row>
    <row r="51" spans="1:2">
      <c r="A51" s="1118" t="s">
        <v>551</v>
      </c>
      <c r="B51" s="1119">
        <f ca="1">'预评函-3'!F4</f>
        <v>329</v>
      </c>
    </row>
    <row r="52" spans="1:2">
      <c r="A52" s="1118" t="s">
        <v>552</v>
      </c>
      <c r="B52" s="1119">
        <f ca="1">'预评函-3'!G4</f>
        <v>8459</v>
      </c>
    </row>
    <row r="53" spans="1:2">
      <c r="A53" s="1118" t="s">
        <v>580</v>
      </c>
      <c r="B53" s="1119" t="str">
        <f ca="1">'预评函-3'!F5</f>
        <v>叁佰贰拾玖万元整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2576</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2577</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2292</v>
      </c>
      <c r="C17" s="1441"/>
    </row>
    <row r="18" spans="1:3">
      <c r="A18" s="1440" t="s">
        <v>1046</v>
      </c>
      <c r="B18" s="1440" t="s">
        <v>2432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6" t="s">
        <v>385</v>
      </c>
      <c r="C54" s="1444" t="s">
        <v>583</v>
      </c>
    </row>
    <row r="55" spans="1:4">
      <c r="A55" s="3203"/>
      <c r="B55" s="1446" t="s">
        <v>386</v>
      </c>
      <c r="C55" s="1444" t="s">
        <v>584</v>
      </c>
    </row>
    <row r="56" spans="1:4">
      <c r="A56" s="3203"/>
      <c r="B56" s="1446" t="s">
        <v>387</v>
      </c>
      <c r="C56" s="1444" t="s">
        <v>588</v>
      </c>
    </row>
    <row r="57" spans="1:4">
      <c r="A57" s="320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O32" sqref="O32"/>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04" t="s">
        <v>2579</v>
      </c>
      <c r="J2" s="3204"/>
      <c r="K2" s="3204"/>
      <c r="L2" s="3204"/>
      <c r="M2" s="3204"/>
      <c r="N2" s="3204"/>
      <c r="O2" s="3204"/>
      <c r="P2" s="3204"/>
      <c r="Q2" s="3204"/>
      <c r="R2" s="3204"/>
    </row>
    <row r="3" spans="1:18">
      <c r="A3" s="2762" t="s">
        <v>2500</v>
      </c>
      <c r="B3" s="2763">
        <f>项目基本情况!D3</f>
        <v>45748</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1.71</v>
      </c>
      <c r="D5" s="2767">
        <f>IF(ISERROR(ROUND(POWER(1+E5,A5-C5)*(POWER(1+E5,C5)-1)/(POWER(1+E5,A5)-1),3)),0,ROUND(POWER(1+E5,A5-C5)*(POWER(1+E5,C5)-1)/(POWER(1+E5,A5)-1),4))</f>
        <v>8.1900000000000001E-2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11.72</v>
      </c>
      <c r="D6" s="2767">
        <f>IF(ISERROR(ROUND(POWER(1+E6,A6-C6)*(POWER(1+E6,C6)-1)/(POWER(1+E6,A6)-1),3)),0,ROUND(POWER(1+E6,A6-C6)*(POWER(1+E6,C6)-1)/(POWER(1+E6,A6)-1),4))</f>
        <v>0.4289</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31.73</v>
      </c>
      <c r="D7" s="2767">
        <f>IF(ISERROR(ROUND(POWER(1+E7,A7-C7)*(POWER(1+E7,C7)-1)/(POWER(1+E7,A7)-1),3)),0,ROUND(POWER(1+E7,A7-C7)*(POWER(1+E7,C7)-1)/(POWER(1+E7,A7)-1),4))</f>
        <v>0.76080000000000003</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50</v>
      </c>
      <c r="C22" s="2779">
        <v>33</v>
      </c>
      <c r="D22" s="2780">
        <v>5.5E-2</v>
      </c>
      <c r="E22" s="2777">
        <f>ROUND(POWER(1+D22,B22-C22)*(POWER(1+D22,C22)-1)/(POWER(1+D22,B22)-1),3)</f>
        <v>0.89</v>
      </c>
      <c r="F22" s="2780">
        <v>0.7</v>
      </c>
      <c r="G22" s="2778">
        <f>ROUND(100*(1-(1-E22)*F22),1)</f>
        <v>92.3</v>
      </c>
      <c r="I22" s="2799">
        <v>10</v>
      </c>
      <c r="J22" s="2799">
        <v>65.400000000000006</v>
      </c>
      <c r="K22" s="2799">
        <f>J22-J21</f>
        <v>11.200000000000003</v>
      </c>
    </row>
    <row r="23" spans="1:14">
      <c r="A23" s="2776" t="s">
        <v>2526</v>
      </c>
      <c r="B23" s="2779">
        <v>50</v>
      </c>
      <c r="C23" s="2779">
        <v>43</v>
      </c>
      <c r="D23" s="2780">
        <v>5.5E-2</v>
      </c>
      <c r="E23" s="2777">
        <f t="shared" ref="E23:E25" si="0">ROUND(POWER(1+D23,B23-C23)*(POWER(1+D23,C23)-1)/(POWER(1+D23,B23)-1),3)</f>
        <v>0.96599999999999997</v>
      </c>
      <c r="F23" s="2780">
        <f>F22</f>
        <v>0.7</v>
      </c>
      <c r="G23" s="2778">
        <f t="shared" ref="G23:G25" si="1">ROUND(100*(1-(1-E23)*F23),1)</f>
        <v>97.6</v>
      </c>
      <c r="I23" s="2799">
        <v>15</v>
      </c>
      <c r="J23" s="2799">
        <v>74.099999999999994</v>
      </c>
      <c r="K23" s="2799">
        <f t="shared" ref="K23:K30" si="2">J23-J22</f>
        <v>8.6999999999999886</v>
      </c>
      <c r="L23" s="2799" t="s">
        <v>2566</v>
      </c>
      <c r="N23" s="3152" t="s">
        <v>2567</v>
      </c>
    </row>
    <row r="24" spans="1:14">
      <c r="A24" s="2776" t="s">
        <v>2527</v>
      </c>
      <c r="B24" s="2779">
        <v>50</v>
      </c>
      <c r="C24" s="2779">
        <v>41</v>
      </c>
      <c r="D24" s="2780">
        <v>5.5E-2</v>
      </c>
      <c r="E24" s="2777">
        <f t="shared" si="0"/>
        <v>0.95399999999999996</v>
      </c>
      <c r="F24" s="2780">
        <f>F23</f>
        <v>0.7</v>
      </c>
      <c r="G24" s="2778">
        <f t="shared" si="1"/>
        <v>96.8</v>
      </c>
      <c r="I24" s="2799">
        <v>20</v>
      </c>
      <c r="J24" s="2799">
        <v>81</v>
      </c>
      <c r="K24" s="2799">
        <f t="shared" si="2"/>
        <v>6.9000000000000057</v>
      </c>
      <c r="L24" s="2799" t="s">
        <v>2565</v>
      </c>
      <c r="N24" s="3152">
        <v>10</v>
      </c>
    </row>
    <row r="25" spans="1:14">
      <c r="A25" s="2776" t="s">
        <v>2528</v>
      </c>
      <c r="B25" s="2779">
        <v>50</v>
      </c>
      <c r="C25" s="2779">
        <v>41</v>
      </c>
      <c r="D25" s="2780">
        <v>5.5E-2</v>
      </c>
      <c r="E25" s="2777">
        <f t="shared" si="0"/>
        <v>0.95399999999999996</v>
      </c>
      <c r="F25" s="2780">
        <f>F24</f>
        <v>0.7</v>
      </c>
      <c r="G25" s="2778">
        <f t="shared" si="1"/>
        <v>96.8</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3389</v>
      </c>
    </row>
    <row r="50" spans="1:4">
      <c r="A50" s="3144" t="s">
        <v>3390</v>
      </c>
      <c r="B50" s="3144" t="s">
        <v>3391</v>
      </c>
      <c r="C50" s="3144" t="s">
        <v>3392</v>
      </c>
      <c r="D50" s="3144" t="s">
        <v>3393</v>
      </c>
    </row>
    <row r="51" spans="1:4">
      <c r="A51" s="3144" t="s">
        <v>3394</v>
      </c>
      <c r="B51" s="2764">
        <f>B52+B53</f>
        <v>15000</v>
      </c>
      <c r="C51" s="3145">
        <f>D51/B51</f>
        <v>2666.6666666666665</v>
      </c>
      <c r="D51" s="2764">
        <f>D52+D53</f>
        <v>40000000</v>
      </c>
    </row>
    <row r="52" spans="1:4">
      <c r="A52" s="3146" t="s">
        <v>3395</v>
      </c>
      <c r="B52" s="3147">
        <v>10000</v>
      </c>
      <c r="C52" s="3147">
        <v>1500</v>
      </c>
      <c r="D52" s="3148">
        <f>C52*B52</f>
        <v>15000000</v>
      </c>
    </row>
    <row r="53" spans="1:4">
      <c r="A53" s="3146" t="s">
        <v>3396</v>
      </c>
      <c r="B53" s="3147">
        <v>5000</v>
      </c>
      <c r="C53" s="3147">
        <v>5000</v>
      </c>
      <c r="D53" s="3148">
        <f>C53*B53</f>
        <v>25000000</v>
      </c>
    </row>
    <row r="54" spans="1:4">
      <c r="A54" s="3144" t="s">
        <v>3397</v>
      </c>
      <c r="B54" s="2764">
        <f>B51</f>
        <v>15000</v>
      </c>
      <c r="C54" s="2770">
        <v>700</v>
      </c>
      <c r="D54" s="2764">
        <f t="shared" ref="D54:D55" si="5">C54*B54</f>
        <v>10500000</v>
      </c>
    </row>
    <row r="55" spans="1:4">
      <c r="A55" s="3144" t="s">
        <v>3398</v>
      </c>
      <c r="B55" s="2764">
        <f>B51</f>
        <v>15000</v>
      </c>
      <c r="C55" s="2770">
        <v>1500</v>
      </c>
      <c r="D55" s="2764">
        <f t="shared" si="5"/>
        <v>22500000</v>
      </c>
    </row>
    <row r="56" spans="1:4">
      <c r="A56" s="3144" t="s">
        <v>3399</v>
      </c>
      <c r="B56" s="2764">
        <f>B51</f>
        <v>15000</v>
      </c>
      <c r="C56" s="3149">
        <f>C51+C54+C55</f>
        <v>4866.6666666666661</v>
      </c>
      <c r="D56" s="2764">
        <f>D51+D54+D55</f>
        <v>73000000</v>
      </c>
    </row>
    <row r="58" spans="1:4">
      <c r="A58" s="3144" t="s">
        <v>3400</v>
      </c>
      <c r="B58" s="3150">
        <v>0.05</v>
      </c>
      <c r="C58" s="2764">
        <f>C56*(1+B58)</f>
        <v>5110</v>
      </c>
      <c r="D58" s="2764">
        <f>D56*B58</f>
        <v>3650000</v>
      </c>
    </row>
    <row r="60" spans="1:4">
      <c r="A60" s="3144" t="s">
        <v>3401</v>
      </c>
      <c r="B60" s="2770">
        <v>3500</v>
      </c>
      <c r="C60" s="2770">
        <f>C53</f>
        <v>5000</v>
      </c>
      <c r="D60" s="2764">
        <f>C60*B60</f>
        <v>17500000</v>
      </c>
    </row>
    <row r="62" spans="1:4">
      <c r="A62" s="3144" t="s">
        <v>3402</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B4" sqref="B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05" t="str">
        <f>IF(B10="北京市","北京市",C10)&amp;F10&amp;IF(结果表!G1="在建","出让国有建设用地使用权及在建建筑物",IF(结果表!G1="土地","出让国有建设用地使用权",))&amp;B9&amp;"预评估"</f>
        <v>房地产抵押价值预评估</v>
      </c>
      <c r="C1" s="3206"/>
      <c r="D1" s="3206"/>
      <c r="E1" s="3206"/>
      <c r="F1" s="3206"/>
      <c r="G1" s="3206"/>
      <c r="H1" s="3206"/>
      <c r="I1" s="3207"/>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2169</v>
      </c>
      <c r="B3" s="2184"/>
      <c r="C3" s="2185" t="s">
        <v>2170</v>
      </c>
      <c r="D3" s="2184">
        <v>45748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3495</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3404</v>
      </c>
      <c r="C8" s="2200"/>
      <c r="D8" s="3208" t="s">
        <v>2176</v>
      </c>
      <c r="E8" s="2201" t="s">
        <v>3405</v>
      </c>
      <c r="F8" s="2202"/>
      <c r="G8" s="2441"/>
      <c r="H8" s="2441"/>
      <c r="I8" s="2441"/>
      <c r="J8" s="2244"/>
      <c r="K8" s="2399"/>
      <c r="L8" s="2398"/>
      <c r="M8" s="2398"/>
      <c r="N8" s="2244"/>
      <c r="O8" s="1669"/>
      <c r="P8" s="2244"/>
      <c r="Q8" s="2244"/>
      <c r="R8" s="2244"/>
    </row>
    <row r="9" spans="1:30" ht="13.5" thickBot="1">
      <c r="A9" s="2203" t="s">
        <v>2177</v>
      </c>
      <c r="B9" s="2204" t="s">
        <v>3405</v>
      </c>
      <c r="C9" s="2205"/>
      <c r="D9" s="3209"/>
      <c r="E9" s="2204"/>
      <c r="F9" s="2206"/>
      <c r="G9" s="2442"/>
      <c r="H9" s="2442"/>
      <c r="I9" s="2442"/>
      <c r="J9" s="2244"/>
      <c r="K9" s="2401"/>
      <c r="L9" s="2398"/>
      <c r="M9" s="2398"/>
      <c r="N9" s="2244"/>
      <c r="O9" s="1669"/>
      <c r="P9" s="2244"/>
      <c r="Q9" s="2244"/>
      <c r="R9" s="2244"/>
    </row>
    <row r="10" spans="1:30" ht="13.5" thickTop="1">
      <c r="A10" s="2207" t="s">
        <v>2178</v>
      </c>
      <c r="B10" s="2208"/>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2575</v>
      </c>
      <c r="J12" s="2802"/>
      <c r="K12" s="2398"/>
      <c r="L12" s="2398"/>
      <c r="M12" s="2244"/>
      <c r="N12" s="1669"/>
      <c r="O12" s="2244"/>
      <c r="P12" s="2244"/>
      <c r="Q12" s="2244"/>
      <c r="AD12" s="1617"/>
    </row>
    <row r="13" spans="1:30">
      <c r="A13" s="3121" t="s">
        <v>3331</v>
      </c>
      <c r="B13" s="2217" t="s">
        <v>2189</v>
      </c>
      <c r="C13" s="803"/>
      <c r="D13" s="803"/>
      <c r="E13" s="803"/>
      <c r="F13" s="803"/>
      <c r="G13" s="803"/>
      <c r="H13" s="803">
        <v>57795</v>
      </c>
      <c r="I13" s="803"/>
      <c r="J13" s="2802"/>
      <c r="K13" s="2398"/>
      <c r="L13" s="2398"/>
      <c r="M13" s="2244"/>
      <c r="N13" s="1669"/>
      <c r="O13" s="2244"/>
      <c r="P13" s="2244"/>
      <c r="Q13" s="2244"/>
      <c r="AD13" s="1617"/>
    </row>
    <row r="14" spans="1:30">
      <c r="A14" s="1017"/>
      <c r="B14" s="2217" t="s">
        <v>2190</v>
      </c>
      <c r="C14" s="2218"/>
      <c r="D14" s="2218"/>
      <c r="E14" s="2218"/>
      <c r="F14" s="2218"/>
      <c r="G14" s="2218"/>
      <c r="H14" s="2218">
        <v>50</v>
      </c>
      <c r="I14" s="2218"/>
      <c r="J14" s="2803"/>
      <c r="K14" s="2398"/>
      <c r="L14" s="2398"/>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33</v>
      </c>
      <c r="I15" s="2220" t="str">
        <f>IF(A13="出让",IF(I13="","",ROUNDDOWN(MIN((I13-$D$3)/365,I14),2)),I14)</f>
        <v/>
      </c>
      <c r="J15" s="2804"/>
      <c r="K15" s="1669"/>
      <c r="L15" s="1669"/>
      <c r="M15" s="2244"/>
      <c r="N15" s="1669"/>
      <c r="O15" s="2244"/>
      <c r="P15" s="2244"/>
      <c r="Q15" s="2244"/>
      <c r="AD15" s="1617"/>
    </row>
    <row r="16" spans="1:30">
      <c r="A16" s="2210" t="s">
        <v>2192</v>
      </c>
      <c r="B16" s="3215"/>
      <c r="C16" s="3216"/>
      <c r="D16" s="3217"/>
      <c r="E16" s="2221" t="s">
        <v>2193</v>
      </c>
      <c r="F16" s="3218"/>
      <c r="G16" s="3219"/>
      <c r="H16" s="3219"/>
      <c r="I16" s="3220"/>
      <c r="J16" s="2244"/>
      <c r="K16" s="2402"/>
      <c r="L16" s="1669"/>
      <c r="M16" s="1669"/>
      <c r="N16" s="2244"/>
      <c r="O16" s="1669"/>
      <c r="P16" s="2244"/>
      <c r="Q16" s="2244"/>
      <c r="R16" s="2244"/>
    </row>
    <row r="17" spans="1:28">
      <c r="A17" s="305" t="s">
        <v>2194</v>
      </c>
      <c r="B17" s="294" t="s">
        <v>2195</v>
      </c>
      <c r="C17" s="8">
        <f>'数据-汇总表'!E3</f>
        <v>388.61</v>
      </c>
      <c r="D17" s="1255" t="s">
        <v>2196</v>
      </c>
      <c r="E17" s="3221" t="s">
        <v>2197</v>
      </c>
      <c r="F17" s="3222"/>
      <c r="G17" s="3222"/>
      <c r="H17" s="3222"/>
      <c r="I17" s="3223"/>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24" t="s">
        <v>2201</v>
      </c>
      <c r="F18" s="3225"/>
      <c r="G18" s="3225"/>
      <c r="H18" s="3225"/>
      <c r="I18" s="3226"/>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11" t="s">
        <v>2205</v>
      </c>
      <c r="C20" s="3212"/>
      <c r="D20" s="3213" t="s">
        <v>2206</v>
      </c>
      <c r="E20" s="3214"/>
      <c r="F20" s="2429" t="s">
        <v>1056</v>
      </c>
      <c r="G20" s="2441"/>
      <c r="H20" s="2441"/>
      <c r="I20" s="2441"/>
      <c r="J20" s="2244"/>
      <c r="K20" s="321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8"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8"/>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8"/>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9"/>
      <c r="B30" s="294" t="s">
        <v>2217</v>
      </c>
      <c r="C30" s="3230"/>
      <c r="D30" s="3231"/>
      <c r="E30" s="2441"/>
      <c r="F30" s="2441"/>
      <c r="G30" s="2441"/>
      <c r="H30" s="2441"/>
      <c r="I30" s="2441"/>
      <c r="J30" s="2244"/>
      <c r="K30" s="2401"/>
      <c r="L30" s="2398"/>
      <c r="M30" s="2398"/>
      <c r="N30" s="2244"/>
      <c r="O30" s="1669"/>
      <c r="P30" s="2244"/>
      <c r="Q30" s="2244"/>
      <c r="R30" s="2244"/>
      <c r="S30" s="2244"/>
      <c r="T30" s="2244"/>
      <c r="U30" s="2244"/>
      <c r="V30" s="2244"/>
    </row>
    <row r="31" spans="1:28">
      <c r="A31" s="3232"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3"/>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27" t="s">
        <v>2227</v>
      </c>
      <c r="T34" s="315" t="str">
        <f>NUMBERSTRING(7-K34,1)&amp;"通"</f>
        <v>七通</v>
      </c>
      <c r="U34" s="2244"/>
      <c r="V34" s="2244"/>
    </row>
    <row r="35" spans="1:30">
      <c r="A35" s="2235"/>
      <c r="B35" s="3227" t="s">
        <v>2228</v>
      </c>
      <c r="C35" s="3227"/>
      <c r="D35" s="3227"/>
      <c r="E35" s="322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2578</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t="s">
        <v>304</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t="s">
        <v>3406</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388.61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388.61</v>
      </c>
      <c r="H5" s="13">
        <f t="shared" ref="H5:AT5" si="0">SUM(H13:H656)</f>
        <v>388.61</v>
      </c>
      <c r="I5" s="13">
        <f t="shared" si="0"/>
        <v>388.61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388.61</v>
      </c>
      <c r="BA5" s="15">
        <f t="shared" si="1"/>
        <v>388.61</v>
      </c>
      <c r="BB5" s="15">
        <f t="shared" si="1"/>
        <v>388.61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3408</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3409</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办公楼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3407</v>
      </c>
      <c r="E13" s="13">
        <f>IF($C$3="是",ROUND($A$3*G13/$B$3,2),ROUND($A$3*(G13-AT13)/$B$3,2))</f>
        <v>0</v>
      </c>
      <c r="F13" s="29"/>
      <c r="G13" s="30">
        <f>H13+AC13+AT13</f>
        <v>388.61</v>
      </c>
      <c r="H13" s="17">
        <f>SUMIF(I$12:AB$12,"总值",I13:AB13)</f>
        <v>388.61</v>
      </c>
      <c r="I13" s="1513">
        <f>清单!F7</f>
        <v>388.61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388.61</v>
      </c>
      <c r="BA13" s="13">
        <f>SUM(BB13:BK13)</f>
        <v>388.61</v>
      </c>
      <c r="BB13" s="13">
        <f>IF($D13="是",I13-J13,0)</f>
        <v>388.61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3" t="s">
        <v>1131</v>
      </c>
      <c r="B2" s="3243"/>
      <c r="C2" s="3243"/>
      <c r="D2" s="748" t="s">
        <v>1107</v>
      </c>
      <c r="E2" s="1522" t="s">
        <v>1108</v>
      </c>
      <c r="F2" s="2438"/>
      <c r="G2" s="2431"/>
      <c r="H2" s="2432"/>
      <c r="I2" s="2145" t="s">
        <v>1132</v>
      </c>
      <c r="J2" s="2438"/>
      <c r="K2" s="2438"/>
      <c r="L2" s="2438"/>
      <c r="M2" s="2438"/>
      <c r="N2" s="2439"/>
      <c r="O2" s="2438"/>
      <c r="P2" s="2438"/>
    </row>
    <row r="3" spans="1:16" ht="15.75" thickBot="1">
      <c r="A3" s="3244" t="s">
        <v>1105</v>
      </c>
      <c r="B3" s="3244"/>
      <c r="C3" s="3244"/>
      <c r="D3" s="41">
        <f>'数据-基础表'!AY6</f>
        <v>0</v>
      </c>
      <c r="E3" s="41">
        <f>'数据-基础表'!AZ5</f>
        <v>388.61</v>
      </c>
      <c r="F3" s="2438"/>
      <c r="G3" s="42"/>
      <c r="H3" s="43" t="s">
        <v>1106</v>
      </c>
      <c r="I3" s="802" t="e">
        <f>ROUND('数据-基础表'!B3/'数据-基础表'!A3,2)</f>
        <v>#DIV/0!</v>
      </c>
      <c r="J3" s="2438"/>
      <c r="K3" s="2438"/>
      <c r="L3" s="2438"/>
      <c r="M3" s="2438"/>
      <c r="N3" s="2439"/>
      <c r="O3" s="2438"/>
      <c r="P3" s="2438"/>
    </row>
    <row r="4" spans="1:16" ht="15">
      <c r="A4" s="3245"/>
      <c r="B4" s="3246"/>
      <c r="C4" s="3247"/>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8" t="s">
        <v>1110</v>
      </c>
      <c r="C5" s="324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48" t="s">
        <v>1111</v>
      </c>
      <c r="C6" s="3248"/>
      <c r="D6" s="43">
        <f>ROUND($D$3*E6/$E$3,2)</f>
        <v>0</v>
      </c>
      <c r="E6" s="44">
        <f>E3-E5</f>
        <v>388.61</v>
      </c>
      <c r="F6" s="2438"/>
      <c r="G6" s="1528" t="s">
        <v>1112</v>
      </c>
      <c r="H6" s="45" t="s">
        <v>1113</v>
      </c>
      <c r="I6" s="2434" t="e">
        <f>ROUND(F31/D31,2)</f>
        <v>#DIV/0!</v>
      </c>
      <c r="J6" s="2438"/>
      <c r="K6" s="2438"/>
      <c r="L6" s="2438"/>
      <c r="M6" s="2438"/>
      <c r="N6" s="2438"/>
      <c r="O6" s="2438"/>
      <c r="P6" s="2438"/>
    </row>
    <row r="7" spans="1:16" ht="15.75" thickBot="1">
      <c r="A7" s="3240"/>
      <c r="B7" s="3241"/>
      <c r="C7" s="3242"/>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388.61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388.61</v>
      </c>
      <c r="F16" s="2438"/>
      <c r="G16" s="2438"/>
      <c r="H16" s="1530" t="s">
        <v>1135</v>
      </c>
      <c r="I16" s="1531"/>
      <c r="J16" s="1070"/>
      <c r="K16" s="3237" t="s">
        <v>1135</v>
      </c>
      <c r="L16" s="3238"/>
      <c r="M16" s="3238"/>
      <c r="N16" s="3238"/>
      <c r="O16" s="3238"/>
      <c r="P16" s="3239"/>
    </row>
    <row r="17" spans="1:19" ht="15">
      <c r="A17" s="1532" t="s">
        <v>1136</v>
      </c>
      <c r="B17" s="1533" t="s">
        <v>1137</v>
      </c>
      <c r="C17" s="1534" t="s">
        <v>1138</v>
      </c>
      <c r="D17" s="1535" t="s">
        <v>1126</v>
      </c>
      <c r="E17" s="1536" t="s">
        <v>1127</v>
      </c>
      <c r="F17" s="1537"/>
      <c r="G17" s="1538"/>
      <c r="H17" s="1539" t="s">
        <v>1139</v>
      </c>
      <c r="I17" s="1540" t="s">
        <v>1124</v>
      </c>
      <c r="J17" s="1070"/>
      <c r="K17" s="3234" t="s">
        <v>1140</v>
      </c>
      <c r="L17" s="3235"/>
      <c r="M17" s="3236"/>
      <c r="N17" s="3234" t="s">
        <v>1141</v>
      </c>
      <c r="O17" s="3235"/>
      <c r="P17" s="3236"/>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5">
        <v>501</v>
      </c>
      <c r="D19" s="43">
        <f>ROUND($D$3*E19/$E$3,2)</f>
        <v>0</v>
      </c>
      <c r="E19" s="51">
        <f t="shared" ref="E19:E26" si="1">SUM(F19:G19)</f>
        <v>388.61</v>
      </c>
      <c r="F19" s="2557">
        <f>清单!F7</f>
        <v>388.61</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388.61</v>
      </c>
    </row>
    <row r="20" spans="1:19">
      <c r="A20" s="1548"/>
      <c r="B20" s="45" t="s">
        <v>1153</v>
      </c>
      <c r="C20" s="3115"/>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388.61</v>
      </c>
      <c r="F27" s="1071">
        <f>IF(SUM(F19:F26)=E8,SUM(F19:F26),"地上面积有误")</f>
        <v>388.61</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388.61</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5" t="s">
        <v>1158</v>
      </c>
      <c r="D31" s="643">
        <f>D27+D30</f>
        <v>0</v>
      </c>
      <c r="E31" s="643">
        <f>E27+E30</f>
        <v>388.61</v>
      </c>
      <c r="F31" s="644">
        <f>F27+F30</f>
        <v>388.61</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45748</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3449</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501</v>
      </c>
      <c r="B6" s="1586" t="str">
        <f>IF(A6=0,"","经营性")</f>
        <v>经营性</v>
      </c>
      <c r="C6" s="1587" t="s">
        <v>3</v>
      </c>
      <c r="D6" s="805">
        <f>SUMIF(项目基本情况!C$12:I$12,C6,项目基本情况!C$14:I$14)</f>
        <v>50</v>
      </c>
      <c r="E6" s="804">
        <f>IF(B6="","",SUMIF(项目基本情况!C$12:I$12,C6,项目基本情况!C$13:I$13))</f>
        <v>57795</v>
      </c>
      <c r="F6" s="61">
        <f>SUMIF(项目基本情况!C$12:I$12,C6,项目基本情况!C$15:I$15)</f>
        <v>33</v>
      </c>
      <c r="G6" s="62">
        <f>IF(ISERROR(ROUND(POWER(1+H6,D6-F6)*(POWER(1+H6,F6)-1)/(POWER(1+H6,D6)-1),3)),0,ROUND(POWER(1+H6,D6-F6)*(POWER(1+H6,F6)-1)/(POWER(1+H6,D6)-1),3))</f>
        <v>0.877</v>
      </c>
      <c r="H6" s="691">
        <v>0.05</v>
      </c>
      <c r="I6" s="691">
        <v>5.5E-2</v>
      </c>
      <c r="J6" s="63">
        <v>7.0000000000000007E-2</v>
      </c>
      <c r="K6" s="969">
        <f>SUMIF('数据-汇总表'!C$19:C$33,A6,'数据-汇总表'!E$19:E$33)</f>
        <v>388.61</v>
      </c>
      <c r="L6" s="692">
        <v>4400</v>
      </c>
      <c r="M6" s="64">
        <f t="shared" ref="M6:M14" si="0">ROUND(K6*L6/10000,0)</f>
        <v>171</v>
      </c>
      <c r="N6" s="690">
        <f>(N19+N20)/2</f>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1">
        <f>ROUND($L$14*S6/10000,0)</f>
        <v>0</v>
      </c>
      <c r="U6" s="3126">
        <v>2.2000000000000002</v>
      </c>
      <c r="V6" s="67">
        <v>0.02</v>
      </c>
      <c r="W6" s="67">
        <v>0.1</v>
      </c>
      <c r="X6" s="978"/>
      <c r="Y6" s="68">
        <f>N6</f>
        <v>0.8</v>
      </c>
      <c r="Z6" s="69"/>
      <c r="AA6" s="63"/>
      <c r="AB6" s="63"/>
      <c r="AC6" s="978"/>
      <c r="AD6" s="70"/>
      <c r="AE6" s="979">
        <f ca="1">IF(AN6="",0,SUMIF(INDIRECT("'"&amp;AN6&amp;"'"&amp;"!E:E"),$AE$5,INDIRECT("'"&amp;AN6&amp;"'"&amp;"!F:F")))</f>
        <v>33</v>
      </c>
      <c r="AF6" s="74"/>
      <c r="AG6" s="130">
        <f>IF(AF6="",0,AE6-AF6)</f>
        <v>0</v>
      </c>
      <c r="AH6" s="71"/>
      <c r="AI6" s="73">
        <v>365</v>
      </c>
      <c r="AJ6" s="74"/>
      <c r="AK6" s="75">
        <v>2E-3</v>
      </c>
      <c r="AL6" s="76">
        <v>1E-3</v>
      </c>
      <c r="AM6" s="77">
        <v>5.0000000000000001E-3</v>
      </c>
      <c r="AN6" s="1588" t="s">
        <v>3450</v>
      </c>
      <c r="AO6" s="50">
        <f ca="1">SUMIF(INDIRECT("'"&amp;AN6&amp;"'"&amp;"!A:A"),"总价",INDIRECT("'"&amp;AN6&amp;"'"&amp;"!B:B"))</f>
        <v>442.99869999999999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7"/>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0.877</v>
      </c>
      <c r="H16" s="84">
        <f>ROUND(SUMPRODUCT(H6:H13,K6:K13)/SUMPRODUCT((H6:H13&gt;0)*(K6:K13)),3)</f>
        <v>0.05</v>
      </c>
      <c r="I16" s="85"/>
      <c r="J16" s="85"/>
      <c r="K16" s="86">
        <f>SUM(K6:K15)</f>
        <v>388.61</v>
      </c>
      <c r="L16" s="87">
        <f>ROUND(M16*10000/SUM(K6:K14),0)</f>
        <v>4400</v>
      </c>
      <c r="M16" s="87">
        <f>SUM(M6:M14)</f>
        <v>171</v>
      </c>
      <c r="N16" s="88">
        <f>ROUND(SUMPRODUCT(M6:M14,N6:N14)/M16,3)</f>
        <v>0.8</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2010</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2301</v>
      </c>
      <c r="D19" s="2451"/>
      <c r="E19" s="2438"/>
      <c r="F19" s="2438"/>
      <c r="G19" s="2438"/>
      <c r="H19" s="2438"/>
      <c r="I19" s="2438"/>
      <c r="J19" s="2438"/>
      <c r="K19" s="2449"/>
      <c r="L19" s="2449"/>
      <c r="M19" s="2448"/>
      <c r="N19" s="2448">
        <f>1-(2025-N18)/60</f>
        <v>0.75</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2299</v>
      </c>
      <c r="D20" s="2451"/>
      <c r="E20" s="2438"/>
      <c r="F20" s="2438"/>
      <c r="G20" s="2438"/>
      <c r="H20" s="2438"/>
      <c r="I20" s="2438"/>
      <c r="J20" s="2438"/>
      <c r="K20" s="2449"/>
      <c r="L20" s="2449"/>
      <c r="M20" s="2448"/>
      <c r="N20" s="2448">
        <v>0.85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3385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2294</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2309</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0.05</v>
      </c>
      <c r="C44" s="2564" t="s">
        <v>3388</v>
      </c>
      <c r="D44" s="2451"/>
      <c r="E44" s="2438"/>
      <c r="F44" s="3156" t="s">
        <v>3448</v>
      </c>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49" t="s">
        <v>2285</v>
      </c>
      <c r="B1" s="3250"/>
      <c r="C1" s="3250"/>
      <c r="D1" s="3250"/>
      <c r="E1" s="3250"/>
      <c r="F1" s="3250"/>
      <c r="G1" s="325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4"/>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6.75">
      <c r="A4" s="2247"/>
      <c r="B4" s="315" t="s">
        <v>2253</v>
      </c>
      <c r="C4" s="2268" t="s">
        <v>2254</v>
      </c>
      <c r="D4" s="2265"/>
      <c r="E4" s="2269"/>
      <c r="F4" s="1280" t="s">
        <v>2255</v>
      </c>
      <c r="G4" s="2270" t="s">
        <v>2256</v>
      </c>
      <c r="H4" s="751"/>
      <c r="I4" s="751"/>
      <c r="J4" s="751"/>
      <c r="K4" s="751"/>
      <c r="L4" s="751"/>
      <c r="M4" s="751"/>
      <c r="N4" s="751"/>
      <c r="O4" s="751"/>
      <c r="P4" s="751"/>
      <c r="Q4" s="751"/>
    </row>
    <row r="5" spans="1:29" ht="36.75">
      <c r="A5" s="2247"/>
      <c r="B5" s="315" t="s">
        <v>2257</v>
      </c>
      <c r="C5" s="2268" t="s">
        <v>2258</v>
      </c>
      <c r="D5" s="2265"/>
      <c r="E5" s="2269"/>
      <c r="F5" s="315" t="s">
        <v>2259</v>
      </c>
      <c r="G5" s="2270" t="s">
        <v>2260</v>
      </c>
      <c r="H5" s="751"/>
      <c r="I5" s="751"/>
      <c r="J5" s="751"/>
      <c r="K5" s="751"/>
      <c r="L5" s="751"/>
      <c r="M5" s="751"/>
      <c r="N5" s="751"/>
      <c r="O5" s="751"/>
      <c r="P5" s="751"/>
      <c r="Q5" s="751"/>
    </row>
    <row r="6" spans="1:29" ht="36">
      <c r="A6" s="2247"/>
      <c r="B6" s="315" t="s">
        <v>2261</v>
      </c>
      <c r="C6" s="2270" t="s">
        <v>2256</v>
      </c>
      <c r="D6" s="2265"/>
      <c r="E6" s="2269"/>
      <c r="F6" s="315" t="s">
        <v>2262</v>
      </c>
      <c r="G6" s="2270" t="s">
        <v>2263</v>
      </c>
      <c r="H6" s="751"/>
      <c r="I6" s="751"/>
      <c r="J6" s="751"/>
      <c r="K6" s="751"/>
      <c r="L6" s="751"/>
      <c r="M6" s="751"/>
      <c r="N6" s="751"/>
      <c r="O6" s="751"/>
      <c r="P6" s="751"/>
      <c r="Q6" s="751"/>
    </row>
    <row r="7" spans="1:29" ht="24.75" thickBot="1">
      <c r="A7" s="2247"/>
      <c r="B7" s="315" t="s">
        <v>2259</v>
      </c>
      <c r="C7" s="2270" t="s">
        <v>2260</v>
      </c>
      <c r="D7" s="2244"/>
      <c r="E7" s="2271"/>
      <c r="F7" s="2272" t="s">
        <v>2264</v>
      </c>
      <c r="G7" s="2273" t="s">
        <v>2265</v>
      </c>
      <c r="H7" s="751"/>
      <c r="I7" s="751"/>
      <c r="J7" s="751"/>
      <c r="K7" s="751"/>
      <c r="L7" s="751"/>
      <c r="M7" s="751"/>
      <c r="N7" s="751"/>
      <c r="O7" s="751"/>
      <c r="P7" s="751"/>
      <c r="Q7" s="751"/>
    </row>
    <row r="8" spans="1:29">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5"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5" t="s">
        <v>2262</v>
      </c>
      <c r="G20" s="2293" t="str">
        <f>G6</f>
        <v>估价对象所在区域基础设施水平</v>
      </c>
    </row>
    <row r="21" spans="1:17" ht="25.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5"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1" customFormat="1" ht="15"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20" sqref="K2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4034.2900000000009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45748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5749</v>
      </c>
      <c r="C5" s="2299">
        <f ca="1">IF(B5=D14,结果表!H102,ROUND(B5*10000/$B$1,0))</f>
        <v>14361</v>
      </c>
      <c r="D5" s="2299" t="e">
        <f ca="1">ROUND(B5*10000/$B$2,0)</f>
        <v>#DIV/0!</v>
      </c>
      <c r="E5" s="2461"/>
      <c r="F5" s="2462"/>
      <c r="G5" s="2462"/>
      <c r="H5" s="2462"/>
      <c r="I5" s="2462"/>
      <c r="J5" s="2462"/>
      <c r="K5" s="2462"/>
    </row>
    <row r="6" spans="1:11" ht="16.5">
      <c r="A6" s="2299" t="s">
        <v>656</v>
      </c>
      <c r="B6" s="2299">
        <f ca="1">SUM(G14:G23)</f>
        <v>5749</v>
      </c>
      <c r="C6" s="2299">
        <f ca="1">IF(B6=G14,结果表!H108,ROUND(B6*10000/$B$1,0))</f>
        <v>14361</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3355</v>
      </c>
      <c r="D10" s="2299" t="s">
        <v>3356</v>
      </c>
      <c r="E10" s="3136"/>
      <c r="F10" s="3140" t="s">
        <v>3357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清单!F13</f>
        <v>4034.2900000000009</v>
      </c>
      <c r="C14" s="2305"/>
      <c r="D14" s="2305">
        <f ca="1">典型户型修正!S22</f>
        <v>5749</v>
      </c>
      <c r="E14" s="2305">
        <f ca="1">ROUND(D14*10000/B14,0)</f>
        <v>14250</v>
      </c>
      <c r="F14" s="2305" t="e">
        <f ca="1">ROUND(D14*10000/C14,0)</f>
        <v>#DIV/0!</v>
      </c>
      <c r="G14" s="2305">
        <f ca="1">D14</f>
        <v>5749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D17" sqref="D1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18" t="str">
        <f>项目基本情况!S2</f>
        <v>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3" t="s">
        <v>1265</v>
      </c>
      <c r="B4" s="1624" t="s">
        <v>1266</v>
      </c>
      <c r="C4" s="1625" t="s">
        <v>3454</v>
      </c>
      <c r="D4" s="1625" t="s">
        <v>3450</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321">
        <v>25</v>
      </c>
      <c r="C5" s="3324"/>
      <c r="D5" s="3312"/>
      <c r="E5" s="123" t="s">
        <v>1269</v>
      </c>
      <c r="F5" s="1626"/>
      <c r="G5" s="1626"/>
      <c r="H5" s="1626"/>
      <c r="I5" s="1280"/>
    </row>
    <row r="6" spans="1:12" ht="12.75">
      <c r="A6" s="3266"/>
      <c r="B6" s="3321"/>
      <c r="C6" s="3326"/>
      <c r="D6" s="3312"/>
      <c r="E6" s="123" t="s">
        <v>1270</v>
      </c>
      <c r="F6" s="1626"/>
      <c r="G6" s="1626"/>
      <c r="H6" s="1626"/>
      <c r="I6" s="1280"/>
    </row>
    <row r="7" spans="1:12" ht="12.75">
      <c r="A7" s="3266"/>
      <c r="B7" s="3321"/>
      <c r="C7" s="3325"/>
      <c r="D7" s="3312"/>
      <c r="E7" s="123" t="s">
        <v>1271</v>
      </c>
      <c r="F7" s="1626"/>
      <c r="G7" s="1626"/>
      <c r="H7" s="1626"/>
      <c r="I7" s="1280"/>
    </row>
    <row r="8" spans="1:12" ht="12.75">
      <c r="A8" s="3266" t="s">
        <v>1272</v>
      </c>
      <c r="B8" s="3321">
        <v>15</v>
      </c>
      <c r="C8" s="3324"/>
      <c r="D8" s="3312"/>
      <c r="E8" s="123" t="s">
        <v>1273</v>
      </c>
      <c r="F8" s="1626"/>
      <c r="G8" s="1626"/>
      <c r="H8" s="1626"/>
      <c r="I8" s="1280"/>
    </row>
    <row r="9" spans="1:12" ht="12.75">
      <c r="A9" s="3266"/>
      <c r="B9" s="3321"/>
      <c r="C9" s="3325"/>
      <c r="D9" s="3312"/>
      <c r="E9" s="123" t="s">
        <v>1274</v>
      </c>
      <c r="F9" s="1626"/>
      <c r="G9" s="1626"/>
      <c r="H9" s="1626"/>
      <c r="I9" s="1280"/>
    </row>
    <row r="10" spans="1:12" ht="12.75">
      <c r="A10" s="3266" t="s">
        <v>1275</v>
      </c>
      <c r="B10" s="3321">
        <v>15</v>
      </c>
      <c r="C10" s="3324"/>
      <c r="D10" s="3312"/>
      <c r="E10" s="123" t="s">
        <v>1276</v>
      </c>
      <c r="F10" s="1626"/>
      <c r="G10" s="1626"/>
      <c r="H10" s="1626"/>
      <c r="I10" s="1280"/>
    </row>
    <row r="11" spans="1:12" ht="12.75">
      <c r="A11" s="3266"/>
      <c r="B11" s="3321"/>
      <c r="C11" s="3325"/>
      <c r="D11" s="3312"/>
      <c r="E11" s="123" t="s">
        <v>1277</v>
      </c>
      <c r="F11" s="1626"/>
      <c r="G11" s="1626"/>
      <c r="H11" s="1626"/>
      <c r="I11" s="1280"/>
    </row>
    <row r="12" spans="1:12" ht="12.75">
      <c r="A12" s="3266" t="s">
        <v>1278</v>
      </c>
      <c r="B12" s="3321">
        <v>15</v>
      </c>
      <c r="C12" s="3324"/>
      <c r="D12" s="3312"/>
      <c r="E12" s="123" t="s">
        <v>1279</v>
      </c>
      <c r="F12" s="1626"/>
      <c r="G12" s="1626"/>
      <c r="H12" s="1626"/>
      <c r="I12" s="1280"/>
    </row>
    <row r="13" spans="1:12" ht="12.75">
      <c r="A13" s="3266"/>
      <c r="B13" s="3321"/>
      <c r="C13" s="3325"/>
      <c r="D13" s="3312"/>
      <c r="E13" s="123" t="s">
        <v>1280</v>
      </c>
      <c r="F13" s="1626"/>
      <c r="G13" s="1626"/>
      <c r="H13" s="1626"/>
      <c r="I13" s="1280"/>
    </row>
    <row r="14" spans="1:12" ht="12.75">
      <c r="A14" s="3266" t="s">
        <v>1281</v>
      </c>
      <c r="B14" s="3321">
        <v>30</v>
      </c>
      <c r="C14" s="3324">
        <v>4</v>
      </c>
      <c r="D14" s="3312">
        <v>6</v>
      </c>
      <c r="E14" s="123" t="s">
        <v>1282</v>
      </c>
      <c r="F14" s="1626"/>
      <c r="G14" s="1626"/>
      <c r="H14" s="1626"/>
      <c r="I14" s="1280"/>
    </row>
    <row r="15" spans="1:12" ht="12.75">
      <c r="A15" s="3266"/>
      <c r="B15" s="3321"/>
      <c r="C15" s="3326"/>
      <c r="D15" s="3312"/>
      <c r="E15" s="123" t="s">
        <v>1283</v>
      </c>
      <c r="F15" s="1626"/>
      <c r="G15" s="1626"/>
      <c r="H15" s="1626"/>
      <c r="I15" s="1280"/>
    </row>
    <row r="16" spans="1:12" ht="12.75">
      <c r="A16" s="3266"/>
      <c r="B16" s="3321"/>
      <c r="C16" s="3325"/>
      <c r="D16" s="3312"/>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43" t="s">
        <v>2130</v>
      </c>
      <c r="F18" s="3344"/>
      <c r="G18" s="3344"/>
      <c r="H18" s="3344"/>
      <c r="I18" s="3344"/>
      <c r="K18" s="294" t="s">
        <v>1289</v>
      </c>
      <c r="L18" s="294">
        <f>IF(C1="",'数据-汇总表'!E3,SUMIF(项目类型,C1,'数据-汇总表'!E17:E26)+SUMIF(项目类型,C1,'数据-汇总表'!I17:I26))</f>
        <v>388.61</v>
      </c>
      <c r="M18" s="294">
        <f>IF(C1="",'数据-汇总表'!E3,SUMIF(项目类型,C1,'数据-汇总表'!E17:E26))</f>
        <v>388.61</v>
      </c>
    </row>
    <row r="19" spans="1:36" ht="15">
      <c r="A19" s="1629" t="s">
        <v>1290</v>
      </c>
      <c r="B19" s="1630" t="s">
        <v>1291</v>
      </c>
      <c r="C19" s="126">
        <f ca="1">SUMIF(INDIRECT("'"&amp;C4&amp;"'"&amp;"!A:A"),结果表!B19,INDIRECT("'"&amp;C4&amp;"'"&amp;"!B:B"))</f>
        <v>730.70339999999999</v>
      </c>
      <c r="D19" s="127">
        <f ca="1">SUMIF(INDIRECT("'"&amp;D4&amp;"'"&amp;"!A:A"),结果表!B19,INDIRECT("'"&amp;D4&amp;"'"&amp;"!B:B"))</f>
        <v>442.99869999999999</v>
      </c>
      <c r="E19" s="1629" t="s">
        <v>1292</v>
      </c>
      <c r="F19" s="1630" t="s">
        <v>1291</v>
      </c>
      <c r="G19" s="128">
        <f ca="1">ROUND(C19*$C$18+D19*$D$18,0)</f>
        <v>558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18803</v>
      </c>
      <c r="D20" s="130">
        <f ca="1">SUMIF(INDIRECT("'"&amp;D4&amp;"'"&amp;"!A:A"),结果表!B20,INDIRECT("'"&amp;D4&amp;"'"&amp;"!B:B"))</f>
        <v>11400</v>
      </c>
      <c r="E20" s="1632"/>
      <c r="F20" s="43" t="s">
        <v>1295</v>
      </c>
      <c r="G20" s="131">
        <f ca="1">ROUND(C20*$C$18+D20*$D$18,0)</f>
        <v>14361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0.6494481812249111</v>
      </c>
      <c r="E22" s="121"/>
      <c r="F22" s="121"/>
      <c r="G22" s="121"/>
      <c r="H22" s="121"/>
      <c r="I22" s="121"/>
    </row>
    <row r="23" spans="1:36" ht="13.5" thickBot="1">
      <c r="A23" s="646"/>
      <c r="B23" s="646"/>
      <c r="C23" s="646"/>
      <c r="D23" s="646"/>
      <c r="E23" s="121"/>
      <c r="F23" s="121"/>
      <c r="G23" s="121"/>
      <c r="H23" s="121"/>
      <c r="I23" s="121"/>
    </row>
    <row r="24" spans="1:36" ht="14.25">
      <c r="A24" s="3336" t="s">
        <v>1299</v>
      </c>
      <c r="B24" s="1630" t="s">
        <v>1291</v>
      </c>
      <c r="C24" s="128">
        <f>IF(B30=0,0,D30)</f>
        <v>0</v>
      </c>
      <c r="D24" s="1636"/>
      <c r="E24" s="121"/>
      <c r="F24" s="121"/>
      <c r="G24" s="121"/>
      <c r="H24" s="121"/>
      <c r="I24" s="121"/>
    </row>
    <row r="25" spans="1:36" ht="14.25">
      <c r="A25" s="333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14361</v>
      </c>
      <c r="D32" s="1640" t="s">
        <v>3483</v>
      </c>
      <c r="E32" s="121"/>
      <c r="F32" s="121"/>
      <c r="G32" s="121"/>
      <c r="H32" s="121"/>
      <c r="I32" s="121"/>
    </row>
    <row r="33" spans="1:15" ht="15">
      <c r="A33" s="740" t="s">
        <v>1306</v>
      </c>
      <c r="B33" s="123"/>
      <c r="C33" s="1641" t="s">
        <v>3484</v>
      </c>
      <c r="D33" s="1642" t="s">
        <v>3450</v>
      </c>
      <c r="E33" s="1643" t="s">
        <v>1307</v>
      </c>
      <c r="F33" s="1644" t="str">
        <f>IF(D32="楼面单价","取值（单价）","取值（总价）")</f>
        <v>取值（单价）</v>
      </c>
      <c r="G33" s="121"/>
      <c r="H33" s="121"/>
      <c r="I33" s="121"/>
    </row>
    <row r="34" spans="1:15" ht="15">
      <c r="A34" s="1645"/>
      <c r="B34" s="1646" t="s">
        <v>1308</v>
      </c>
      <c r="C34" s="140">
        <f ca="1">IF(C33="自定义",F34,C32-C35)</f>
        <v>5902</v>
      </c>
      <c r="D34" s="808">
        <f ca="1">IF(C33="自定义",ROUND(C34/C32,3),IF(C33="收益比率",SUMIF(INDIRECT("'"&amp;D33&amp;"'"&amp;"!b:b"),"土地收益比率",INDIRECT("'"&amp;D33&amp;"'"&amp;"!c:c")),SUMIF(INDIRECT("'"&amp;D33&amp;"'"&amp;"!b:b"),"土地成本比率",INDIRECT("'"&amp;D33&amp;"'"&amp;"!c:c"))))</f>
        <v>0.41100000000000003</v>
      </c>
      <c r="E34" s="1647" t="s">
        <v>1309</v>
      </c>
      <c r="F34" s="1242"/>
      <c r="G34" s="121"/>
      <c r="H34" s="121"/>
      <c r="I34" s="121"/>
    </row>
    <row r="35" spans="1:15" ht="15.75" thickBot="1">
      <c r="A35" s="1648"/>
      <c r="B35" s="1649" t="s">
        <v>1310</v>
      </c>
      <c r="C35" s="1089">
        <f ca="1">IF(C33="自定义",F35,ROUND(C32*D35,0))</f>
        <v>8459</v>
      </c>
      <c r="D35" s="1090">
        <f ca="1">IF(C33="自定义",ROUND(C35/C32,3),IF(C33="收益比率",SUMIF(INDIRECT("'"&amp;D33&amp;"'"&amp;"!b:b"),"建筑物收益比率",INDIRECT("'"&amp;D33&amp;"'"&amp;"!c:c")),SUMIF(INDIRECT("'"&amp;D33&amp;"'"&amp;"!b:b"),"建筑物成本比率",INDIRECT("'"&amp;D33&amp;"'"&amp;"!c:c"))))</f>
        <v>0.58899999999999997</v>
      </c>
      <c r="E35" s="1650" t="s">
        <v>1311</v>
      </c>
      <c r="F35" s="146"/>
      <c r="G35" s="121"/>
      <c r="H35" s="121"/>
      <c r="I35" s="121"/>
    </row>
    <row r="36" spans="1:15" ht="15.75" thickBot="1">
      <c r="A36" s="3313" t="s">
        <v>1312</v>
      </c>
      <c r="B36" s="1651" t="s">
        <v>1313</v>
      </c>
      <c r="C36" s="137"/>
      <c r="D36" s="1652"/>
      <c r="E36" s="1566"/>
      <c r="F36" s="1653"/>
      <c r="G36" s="121"/>
      <c r="H36" s="121"/>
      <c r="I36" s="121"/>
    </row>
    <row r="37" spans="1:15" ht="15.75" thickBot="1">
      <c r="A37" s="3314"/>
      <c r="B37" s="1554" t="s">
        <v>1314</v>
      </c>
      <c r="C37" s="139"/>
      <c r="D37" s="1070"/>
      <c r="E37" s="1070"/>
      <c r="F37" s="1653"/>
      <c r="G37" s="121"/>
      <c r="H37" s="121"/>
      <c r="I37" s="121"/>
    </row>
    <row r="38" spans="1:15" ht="15.75" thickBot="1">
      <c r="A38" s="3315"/>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3" t="s">
        <v>1326</v>
      </c>
      <c r="B45" s="3334"/>
      <c r="C45" s="3335"/>
      <c r="D45" s="147">
        <f ca="1">ROUND(H101*F45,0)</f>
        <v>558</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7"/>
      <c r="I46" s="151"/>
      <c r="J46" s="2309">
        <v>1</v>
      </c>
      <c r="K46" s="3254" t="s">
        <v>1331</v>
      </c>
      <c r="L46" s="3254"/>
      <c r="M46" s="3255"/>
      <c r="N46" s="3255"/>
      <c r="O46" s="3255"/>
    </row>
    <row r="47" spans="1:15" ht="12" customHeight="1">
      <c r="A47" s="152" t="s">
        <v>1332</v>
      </c>
      <c r="B47" s="153"/>
      <c r="C47" s="154"/>
      <c r="D47" s="1023" t="s">
        <v>1333</v>
      </c>
      <c r="E47" s="294" t="s">
        <v>1334</v>
      </c>
      <c r="F47" s="155" t="s">
        <v>1335</v>
      </c>
      <c r="G47" s="2332" t="s">
        <v>1336</v>
      </c>
      <c r="H47" s="2333"/>
      <c r="I47" s="151"/>
      <c r="J47" s="2309">
        <v>2</v>
      </c>
      <c r="K47" s="3254" t="s">
        <v>1337</v>
      </c>
      <c r="L47" s="3254"/>
      <c r="M47" s="3256">
        <f>'数据-取费表'!B2</f>
        <v>45748</v>
      </c>
      <c r="N47" s="3256"/>
      <c r="O47" s="3256"/>
    </row>
    <row r="48" spans="1:15" ht="25.5">
      <c r="A48" s="3316" t="s">
        <v>1338</v>
      </c>
      <c r="B48" s="3317"/>
      <c r="C48" s="3317"/>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254" t="s">
        <v>1340</v>
      </c>
      <c r="L48" s="3254"/>
      <c r="M48" s="3257">
        <f ca="1">H101</f>
        <v>558</v>
      </c>
      <c r="N48" s="3257"/>
      <c r="O48" s="3257"/>
    </row>
    <row r="49" spans="1:35" ht="25.5" customHeight="1">
      <c r="A49" s="2151" t="s">
        <v>1341</v>
      </c>
      <c r="B49" s="3302" t="s">
        <v>1342</v>
      </c>
      <c r="C49" s="3302"/>
      <c r="D49" s="1477">
        <v>0</v>
      </c>
      <c r="E49" s="316" t="s">
        <v>1343</v>
      </c>
      <c r="F49" s="2232" t="s">
        <v>28</v>
      </c>
      <c r="G49" s="3285"/>
      <c r="H49" s="2133" t="s">
        <v>2133</v>
      </c>
      <c r="I49" s="2134"/>
      <c r="J49" s="2309">
        <v>4</v>
      </c>
      <c r="K49" s="3254" t="str">
        <f>IF(项目基本情况!E8="房地产抵押价值","房地产抵押价值","抵押担保权已注销时的房地产抵押价值")</f>
        <v>房地产抵押价值</v>
      </c>
      <c r="L49" s="3254"/>
      <c r="M49" s="3257">
        <f ca="1">IF(项目基本情况!E8="房地产抵押价值",H107,H109)</f>
        <v>558</v>
      </c>
      <c r="N49" s="3257"/>
      <c r="O49" s="3257"/>
    </row>
    <row r="50" spans="1:35" ht="25.5" customHeight="1">
      <c r="A50" s="2337"/>
      <c r="B50" s="3302" t="s">
        <v>1344</v>
      </c>
      <c r="C50" s="3302"/>
      <c r="D50" s="2188"/>
      <c r="E50" s="323"/>
      <c r="F50" s="2232"/>
      <c r="G50" s="3286"/>
      <c r="H50" s="2135" t="s">
        <v>2134</v>
      </c>
      <c r="I50" s="2134"/>
      <c r="J50" s="3253" t="s">
        <v>1345</v>
      </c>
      <c r="K50" s="3253"/>
      <c r="L50" s="3253"/>
      <c r="M50" s="3253"/>
      <c r="N50" s="3253"/>
      <c r="O50" s="3253"/>
    </row>
    <row r="51" spans="1:35" ht="20.45" customHeight="1">
      <c r="A51" s="2338"/>
      <c r="B51" s="3302" t="s">
        <v>1346</v>
      </c>
      <c r="C51" s="3302"/>
      <c r="D51" s="1023"/>
      <c r="E51" s="319"/>
      <c r="F51" s="2232"/>
      <c r="G51" s="3287"/>
      <c r="H51" s="2135" t="s">
        <v>2135</v>
      </c>
      <c r="I51" s="2134"/>
      <c r="J51" s="2310" t="s">
        <v>1347</v>
      </c>
      <c r="K51" s="3254" t="s">
        <v>1348</v>
      </c>
      <c r="L51" s="3254"/>
      <c r="M51" s="2310" t="s">
        <v>1349</v>
      </c>
      <c r="N51" s="2310" t="s">
        <v>1350</v>
      </c>
      <c r="O51" s="2310" t="s">
        <v>1351</v>
      </c>
    </row>
    <row r="52" spans="1:35" ht="24" customHeight="1">
      <c r="A52" s="2152" t="s">
        <v>1352</v>
      </c>
      <c r="B52" s="3302" t="s">
        <v>1353</v>
      </c>
      <c r="C52" s="3302"/>
      <c r="D52" s="1023">
        <f ca="1">ROUND(D45*'数据-取费表'!B41/(1+'数据-取费表'!C42),0)</f>
        <v>29</v>
      </c>
      <c r="E52" s="1255" t="s">
        <v>1354</v>
      </c>
      <c r="F52" s="2339">
        <f>'数据-取费表'!B41</f>
        <v>5.5000000000000007E-2</v>
      </c>
      <c r="G52" s="2340"/>
      <c r="H52" s="2330"/>
      <c r="I52" s="1668"/>
      <c r="J52" s="2309">
        <v>1</v>
      </c>
      <c r="K52" s="3279" t="s">
        <v>1355</v>
      </c>
      <c r="L52" s="3279"/>
      <c r="M52" s="2311" t="b">
        <f>D48</f>
        <v>0</v>
      </c>
      <c r="N52" s="2309" t="str">
        <f>E48</f>
        <v>销售额×税（费）率</v>
      </c>
      <c r="O52" s="2312">
        <f>F48</f>
        <v>5.5000000000000007E-2</v>
      </c>
    </row>
    <row r="53" spans="1:35" ht="12" customHeight="1">
      <c r="A53" s="2152" t="s">
        <v>1356</v>
      </c>
      <c r="B53" s="3303" t="s">
        <v>2290</v>
      </c>
      <c r="C53" s="3304"/>
      <c r="D53" s="1023">
        <f ca="1">ROUND(D45*'数据-取费表'!B41/(1+'数据-取费表'!C42),0)</f>
        <v>29</v>
      </c>
      <c r="E53" s="1255" t="s">
        <v>1354</v>
      </c>
      <c r="F53" s="2339">
        <f>'数据-取费表'!B41</f>
        <v>5.5000000000000007E-2</v>
      </c>
      <c r="G53" s="2340"/>
      <c r="H53" s="2330"/>
      <c r="I53" s="1668"/>
      <c r="J53" s="2309">
        <v>2</v>
      </c>
      <c r="K53" s="3279" t="s">
        <v>1357</v>
      </c>
      <c r="L53" s="3279"/>
      <c r="M53" s="2311">
        <f t="shared" ref="M53:O54" ca="1" si="0">D55</f>
        <v>0</v>
      </c>
      <c r="N53" s="2309" t="str">
        <f t="shared" si="0"/>
        <v>销售额×税（费）率</v>
      </c>
      <c r="O53" s="2312" t="str">
        <f t="shared" si="0"/>
        <v>免征</v>
      </c>
    </row>
    <row r="54" spans="1:35" ht="12" customHeight="1">
      <c r="A54" s="2152" t="s">
        <v>1358</v>
      </c>
      <c r="B54" s="3303" t="s">
        <v>2291</v>
      </c>
      <c r="C54" s="3304"/>
      <c r="D54" s="1023">
        <f ca="1">C68</f>
        <v>29</v>
      </c>
      <c r="E54" s="319" t="s">
        <v>1359</v>
      </c>
      <c r="F54" s="2339">
        <f>'数据-取费表'!B41</f>
        <v>5.5000000000000007E-2</v>
      </c>
      <c r="G54" s="2340"/>
      <c r="H54" s="2341"/>
      <c r="I54" s="1668"/>
      <c r="J54" s="2309">
        <v>3</v>
      </c>
      <c r="K54" s="3279" t="s">
        <v>1360</v>
      </c>
      <c r="L54" s="3279"/>
      <c r="M54" s="2311">
        <f t="shared" ca="1" si="0"/>
        <v>316</v>
      </c>
      <c r="N54" s="2309" t="str">
        <f t="shared" si="0"/>
        <v>增值额×税（费）率</v>
      </c>
      <c r="O54" s="2313" t="str">
        <f t="shared" si="0"/>
        <v>免征</v>
      </c>
    </row>
    <row r="55" spans="1:35" ht="24" customHeight="1">
      <c r="A55" s="3339" t="s">
        <v>1361</v>
      </c>
      <c r="B55" s="3317"/>
      <c r="C55" s="3317"/>
      <c r="D55" s="12">
        <f ca="1">IF(H55="个人住宅",0,ROUND(D45*I55,0))</f>
        <v>0</v>
      </c>
      <c r="E55" s="1255" t="s">
        <v>1362</v>
      </c>
      <c r="F55" s="2339" t="str">
        <f>IF(H55="正常",I55,"免征")</f>
        <v>免征</v>
      </c>
      <c r="G55" s="2340"/>
      <c r="H55" s="2336"/>
      <c r="I55" s="157">
        <f>'数据-取费表'!B49</f>
        <v>5.0000000000000001E-4</v>
      </c>
      <c r="J55" s="2309">
        <f>IF(H59="非个人房产","",4)</f>
        <v>4</v>
      </c>
      <c r="K55" s="3279" t="str">
        <f>IF(H59="非个人房产","——","个人所得税")</f>
        <v>个人所得税</v>
      </c>
      <c r="L55" s="3279"/>
      <c r="M55" s="2314">
        <f ca="1">D59</f>
        <v>5</v>
      </c>
      <c r="N55" s="1882" t="str">
        <f>E59</f>
        <v>差额计税</v>
      </c>
      <c r="O55" s="2315">
        <f>F59</f>
        <v>0.01</v>
      </c>
    </row>
    <row r="56" spans="1:35" ht="24.75">
      <c r="A56" s="3339" t="s">
        <v>1363</v>
      </c>
      <c r="B56" s="3317"/>
      <c r="C56" s="3317"/>
      <c r="D56" s="12">
        <f ca="1">IF(H56="个人住宅",D57,D58)</f>
        <v>316</v>
      </c>
      <c r="E56" s="1255" t="s">
        <v>1364</v>
      </c>
      <c r="F56" s="2339" t="str">
        <f>IF(H56="正常",F58,"免征")</f>
        <v>免征</v>
      </c>
      <c r="G56" s="2342" t="s">
        <v>1365</v>
      </c>
      <c r="H56" s="2343"/>
      <c r="I56" s="1669"/>
      <c r="J56" s="2309" t="str">
        <f>IF(项目基本情况!K6="上海银行",IF(J55="",4,J55+1),"")</f>
        <v/>
      </c>
      <c r="K56" s="3260" t="str">
        <f>IF(项目基本情况!K6="上海银行","其他处置费用","")</f>
        <v/>
      </c>
      <c r="L56" s="3261"/>
      <c r="M56" s="2311" t="str">
        <f>IF(项目基本情况!K6="上海银行",M69,"")</f>
        <v/>
      </c>
      <c r="N56" s="3260" t="str">
        <f>IF(项目基本情况!K6="上海银行","包含处置中涉及的律师、诉讼、拍卖、评估等费用","")</f>
        <v/>
      </c>
      <c r="O56" s="3263"/>
    </row>
    <row r="57" spans="1:35" ht="12.75">
      <c r="A57" s="2152" t="s">
        <v>1341</v>
      </c>
      <c r="B57" s="3303" t="s">
        <v>1366</v>
      </c>
      <c r="C57" s="3304"/>
      <c r="D57" s="1477">
        <v>0</v>
      </c>
      <c r="E57" s="316" t="s">
        <v>1343</v>
      </c>
      <c r="F57" s="294"/>
      <c r="G57" s="2340"/>
      <c r="H57" s="2344"/>
      <c r="I57" s="1669"/>
      <c r="J57" s="3279">
        <f>IF(AND(J55="",J56=""),4,IF(项目基本情况!K6="上海银行",结果表!J56+1,结果表!J55+1))</f>
        <v>5</v>
      </c>
      <c r="K57" s="3279" t="s">
        <v>1367</v>
      </c>
      <c r="L57" s="2316" t="s">
        <v>1368</v>
      </c>
      <c r="M57" s="2317"/>
      <c r="N57" s="2318">
        <f ca="1">SUMIF(M52:M56,"&lt;9e307")</f>
        <v>321</v>
      </c>
      <c r="O57" s="2319"/>
      <c r="P57" s="2464">
        <f ca="1">N57/M49</f>
        <v>0.57526881720430112</v>
      </c>
    </row>
    <row r="58" spans="1:35" ht="24.75">
      <c r="A58" s="2152" t="s">
        <v>1352</v>
      </c>
      <c r="B58" s="3303" t="s">
        <v>1369</v>
      </c>
      <c r="C58" s="3302"/>
      <c r="D58" s="12">
        <f ca="1">IF(H58="转让取得",C81,C97)</f>
        <v>316</v>
      </c>
      <c r="E58" s="1255" t="s">
        <v>1364</v>
      </c>
      <c r="F58" s="294" t="s">
        <v>28</v>
      </c>
      <c r="G58" s="2340"/>
      <c r="H58" s="2343"/>
      <c r="I58" s="1669"/>
      <c r="J58" s="3279"/>
      <c r="K58" s="3279"/>
      <c r="L58" s="2316" t="s">
        <v>1370</v>
      </c>
      <c r="M58" s="2320"/>
      <c r="N58" s="2321" t="str">
        <f ca="1">NUMBERSTRING(INT(N57*10000),2)&amp;"元整"</f>
        <v>叁佰贰拾壹万元整</v>
      </c>
      <c r="O58" s="2322"/>
    </row>
    <row r="59" spans="1:35" ht="24.75" thickBot="1">
      <c r="A59" s="3283" t="s">
        <v>1371</v>
      </c>
      <c r="B59" s="3284"/>
      <c r="C59" s="3284"/>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281">
        <f>J57+1</f>
        <v>6</v>
      </c>
      <c r="K59" s="3279" t="s">
        <v>1372</v>
      </c>
      <c r="L59" s="2309" t="s">
        <v>1368</v>
      </c>
      <c r="M59" s="2323"/>
      <c r="N59" s="2324">
        <f ca="1">M49-N57</f>
        <v>237</v>
      </c>
      <c r="O59" s="2325"/>
    </row>
    <row r="60" spans="1:35" ht="12" customHeight="1">
      <c r="A60" s="1670"/>
      <c r="B60" s="646"/>
      <c r="C60" s="646"/>
      <c r="D60" s="646"/>
      <c r="E60" s="1465"/>
      <c r="F60" s="1669"/>
      <c r="G60" s="1669"/>
      <c r="H60" s="151"/>
      <c r="I60" s="121"/>
      <c r="J60" s="3282"/>
      <c r="K60" s="3279"/>
      <c r="L60" s="2316" t="s">
        <v>1370</v>
      </c>
      <c r="M60" s="2320"/>
      <c r="N60" s="2321" t="str">
        <f ca="1">NUMBERSTRING(INT(N59*10000),2)&amp;"元整"</f>
        <v>贰佰叁拾柒万元整</v>
      </c>
      <c r="O60" s="2322"/>
    </row>
    <row r="61" spans="1:35" ht="13.5" thickBot="1">
      <c r="A61" s="3338" t="s">
        <v>1373</v>
      </c>
      <c r="B61" s="3338"/>
      <c r="C61" s="3338"/>
      <c r="D61" s="3338"/>
      <c r="E61" s="3338"/>
      <c r="F61" s="1669"/>
      <c r="G61" s="1669"/>
      <c r="H61" s="151"/>
      <c r="I61" s="121"/>
      <c r="J61" s="2309">
        <f>J59+1</f>
        <v>7</v>
      </c>
      <c r="K61" s="3279" t="s">
        <v>1374</v>
      </c>
      <c r="L61" s="3279"/>
      <c r="M61" s="2326"/>
      <c r="N61" s="2327">
        <f ca="1">ROUND(N59*10000/'数据-汇总表'!E3,0)</f>
        <v>6099</v>
      </c>
      <c r="O61" s="2328"/>
    </row>
    <row r="62" spans="1:35" ht="12.75">
      <c r="A62" s="3298" t="s">
        <v>1375</v>
      </c>
      <c r="B62" s="3299"/>
      <c r="C62" s="1864"/>
      <c r="D62" s="1864" t="s">
        <v>1376</v>
      </c>
      <c r="E62" s="158" t="s">
        <v>1377</v>
      </c>
      <c r="F62" s="1669"/>
      <c r="G62" s="1669"/>
      <c r="H62" s="151"/>
      <c r="I62" s="121"/>
    </row>
    <row r="63" spans="1:35" ht="12.75">
      <c r="A63" s="165" t="s">
        <v>330</v>
      </c>
      <c r="B63" s="159" t="s">
        <v>1378</v>
      </c>
      <c r="C63" s="2349">
        <f ca="1">ROUND((C64+C65)/(1+'数据-取费表'!C42),0)</f>
        <v>531</v>
      </c>
      <c r="D63" s="159"/>
      <c r="E63" s="160"/>
      <c r="F63" s="1669"/>
      <c r="G63" s="1669"/>
      <c r="H63" s="151"/>
      <c r="I63" s="121"/>
      <c r="J63" s="3262" t="s">
        <v>1379</v>
      </c>
      <c r="K63" s="1244" t="s">
        <v>1380</v>
      </c>
      <c r="L63" s="1244">
        <f ca="1">IF(M49&gt;10000,M49*0.5%,IF(AND(M49&gt;1000,M49&lt;=10000),M49*1%,IF(AND(M49&gt;100,M49&lt;=1000),M49*3%,IF(AND(M49&gt;10,M49&lt;=100),M49*5%,M49*8%))))</f>
        <v>16.739999999999998</v>
      </c>
      <c r="M63" s="294">
        <f ca="1">ROUND(L63,1)</f>
        <v>16.7</v>
      </c>
      <c r="N63" s="2329"/>
      <c r="Z63" s="1622"/>
      <c r="AI63" s="1560"/>
    </row>
    <row r="64" spans="1:35" ht="14.25" customHeight="1">
      <c r="A64" s="161" t="s">
        <v>325</v>
      </c>
      <c r="B64" s="162" t="s">
        <v>1381</v>
      </c>
      <c r="C64" s="2350">
        <f ca="1">D45</f>
        <v>558</v>
      </c>
      <c r="D64" s="162" t="s">
        <v>26</v>
      </c>
      <c r="E64" s="164"/>
      <c r="F64" s="1669"/>
      <c r="G64" s="1669"/>
      <c r="H64" s="151"/>
      <c r="I64" s="121"/>
      <c r="J64" s="3262"/>
      <c r="K64" s="1244" t="s">
        <v>1382</v>
      </c>
      <c r="L64" s="1244">
        <f ca="1">IF(M49&gt;2000,M49*0.5%,IF(AND(M49&gt;1000,M49&lt;=2000),M49*0.6%,IF(AND(M49&gt;500,M49&lt;=1000),M49*0.7%,IF(AND(M49&gt;200,M49&lt;=500),M49*0.8%,IF(AND(M49&gt;100,M49&lt;=200),M49*0.9%,IF(AND(M49&gt;50,M49&lt;=100),M49*1%,IF(AND(M49&gt;20,M49&lt;=50),M49*1.5%,IF(AND(M49&gt;10,M49&lt;=20),M49*2%,IF(AND(M49&gt;1,M49&lt;=10),M49*2.5%)))))))))</f>
        <v>3.9059999999999997</v>
      </c>
      <c r="M64" s="294">
        <f t="shared" ref="M64:M65" ca="1" si="1">ROUND(L64,1)</f>
        <v>3.9</v>
      </c>
      <c r="N64" s="2330" t="s">
        <v>1383</v>
      </c>
      <c r="Z64" s="1622"/>
      <c r="AI64" s="1560"/>
    </row>
    <row r="65" spans="1:35" ht="14.25" customHeight="1">
      <c r="A65" s="161" t="s">
        <v>326</v>
      </c>
      <c r="B65" s="162" t="s">
        <v>1384</v>
      </c>
      <c r="C65" s="2351"/>
      <c r="D65" s="162"/>
      <c r="E65" s="164"/>
      <c r="F65" s="1669"/>
      <c r="G65" s="1669"/>
      <c r="H65" s="151"/>
      <c r="I65" s="121"/>
      <c r="J65" s="3262"/>
      <c r="K65" s="1244" t="s">
        <v>1385</v>
      </c>
      <c r="L65" s="1244">
        <f ca="1">IF(M49&gt;1000,M49*0.1%,IF(AND(M49&gt;500,M49&lt;=1000),M49*0.5%,IF(AND(M49&gt;50,M49&lt;=500),M49*1%,IF(AND(M49&gt;1,M49&lt;=50),M49*1.5%))))</f>
        <v>2.79</v>
      </c>
      <c r="M65" s="294">
        <f t="shared" ca="1" si="1"/>
        <v>2.8</v>
      </c>
      <c r="N65" s="2330" t="s">
        <v>1383</v>
      </c>
      <c r="Z65" s="1622"/>
      <c r="AI65" s="1560"/>
    </row>
    <row r="66" spans="1:35" ht="14.25" customHeight="1">
      <c r="A66" s="165" t="s">
        <v>327</v>
      </c>
      <c r="B66" s="166" t="s">
        <v>1386</v>
      </c>
      <c r="C66" s="2352"/>
      <c r="D66" s="166" t="s">
        <v>26</v>
      </c>
      <c r="E66" s="1250" t="s">
        <v>671</v>
      </c>
      <c r="F66" s="1669"/>
      <c r="G66" s="1669"/>
      <c r="H66" s="151"/>
      <c r="I66" s="121"/>
      <c r="J66" s="3262"/>
      <c r="K66" s="1244" t="s">
        <v>1387</v>
      </c>
      <c r="L66" s="1244">
        <f ca="1">M49*0.5%</f>
        <v>2.79</v>
      </c>
      <c r="M66" s="294">
        <f ca="1">IF(L66&gt;0.5,0.5,ROUND(L66,0))</f>
        <v>0.5</v>
      </c>
      <c r="N66" s="2330" t="s">
        <v>1388</v>
      </c>
      <c r="Z66" s="1622"/>
      <c r="AI66" s="1560"/>
    </row>
    <row r="67" spans="1:35" ht="14.25" customHeight="1">
      <c r="A67" s="165" t="s">
        <v>328</v>
      </c>
      <c r="B67" s="166" t="s">
        <v>1389</v>
      </c>
      <c r="C67" s="2353">
        <f ca="1">C63-C66</f>
        <v>531</v>
      </c>
      <c r="D67" s="162" t="s">
        <v>26</v>
      </c>
      <c r="E67" s="164"/>
      <c r="F67" s="1669"/>
      <c r="G67" s="1669"/>
      <c r="H67" s="151"/>
      <c r="I67" s="121"/>
      <c r="J67" s="3262"/>
      <c r="K67" s="1244" t="s">
        <v>1390</v>
      </c>
      <c r="L67" s="1244">
        <f ca="1">IF(M49&gt;=10000,(8.25+(M49-10000)*0.01%),IF(AND(M49&gt;=8000,M49&lt;10000),(7.85+(M49-8000)*0.02%),IF(AND(M49&gt;=5000,M49&lt;8000),(6.65+(M49-5000)*0.04%),IF(AND(M49&gt;=2000,M49&lt;5000),(4.25+(PM49-2000)*0.08%),IF(AND(M49&gt;=1000,M49&lt;2000),(2.75+(M49-1000)*0.15%),IF(AND(M49&gt;=100,M49&lt;1000),(0.5+(M49-100)*0.25%),IF(AND(M49&gt;0,M49&lt;100),M49*0.5%)))))))</f>
        <v>1.645</v>
      </c>
      <c r="M67" s="294">
        <f ca="1">ROUND(L67*0.9,1)</f>
        <v>1.5</v>
      </c>
      <c r="N67" s="2329"/>
      <c r="Z67" s="1622"/>
      <c r="AI67" s="1560"/>
    </row>
    <row r="68" spans="1:35" ht="14.25" customHeight="1" thickBot="1">
      <c r="A68" s="168" t="s">
        <v>329</v>
      </c>
      <c r="B68" s="169" t="s">
        <v>1391</v>
      </c>
      <c r="C68" s="2354">
        <f ca="1">IF(C67&lt;=0,0,ROUND(C67*D68,0))</f>
        <v>29</v>
      </c>
      <c r="D68" s="2355">
        <f>'数据-取费表'!B41</f>
        <v>5.5000000000000007E-2</v>
      </c>
      <c r="E68" s="170"/>
      <c r="F68" s="1669"/>
      <c r="G68" s="1669"/>
      <c r="H68" s="151"/>
      <c r="I68" s="121"/>
      <c r="J68" s="3262"/>
      <c r="K68" s="1244" t="s">
        <v>1392</v>
      </c>
      <c r="L68" s="1244">
        <f ca="1">IF(M49&gt;10000,M49*0.5%,IF(AND(M49&gt;5000,M49&lt;=10000),M49*1%,IF(AND(M49&gt;1000,M49&lt;=5000),M49*2%,IF(AND(M49&gt;200,M49&lt;=1000),M49*3%,M49*5%))))</f>
        <v>16.739999999999998</v>
      </c>
      <c r="M68" s="294">
        <f ca="1">ROUND(L68,1)</f>
        <v>16.7</v>
      </c>
      <c r="N68" s="2329"/>
      <c r="Z68" s="1622"/>
      <c r="AI68" s="1560"/>
    </row>
    <row r="69" spans="1:35" ht="16.5" customHeight="1">
      <c r="A69" s="1671"/>
      <c r="B69" s="1672"/>
      <c r="C69" s="1673"/>
      <c r="D69" s="1674"/>
      <c r="E69" s="1675"/>
      <c r="F69" s="1465"/>
      <c r="G69" s="1465"/>
      <c r="H69" s="1466"/>
      <c r="I69" s="646"/>
      <c r="J69" s="3262"/>
      <c r="K69" s="1244" t="s">
        <v>1393</v>
      </c>
      <c r="L69" s="1244"/>
      <c r="M69" s="294">
        <f ca="1">ROUND(SUM(M63:M68),0)</f>
        <v>42</v>
      </c>
      <c r="N69" s="2331">
        <f ca="1">M69/M49</f>
        <v>7.5268817204301078E-2</v>
      </c>
      <c r="Z69" s="1622"/>
      <c r="AI69" s="1560"/>
    </row>
    <row r="70" spans="1:35" s="642" customFormat="1" ht="15" thickBot="1">
      <c r="A70" s="3306" t="s">
        <v>1394</v>
      </c>
      <c r="B70" s="3307"/>
      <c r="C70" s="3307"/>
      <c r="D70" s="3307"/>
      <c r="E70" s="3307"/>
      <c r="F70" s="3307"/>
      <c r="G70" s="3307"/>
      <c r="H70" s="330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8" t="s">
        <v>1375</v>
      </c>
      <c r="B71" s="329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531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03" t="s">
        <v>1402</v>
      </c>
      <c r="F76" s="3302"/>
      <c r="G76" s="3302"/>
      <c r="H76" s="330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3</v>
      </c>
      <c r="D78" s="2362">
        <f>'数据-取费表'!B43</f>
        <v>5.000000000000001E-3</v>
      </c>
      <c r="E78" s="3295" t="s">
        <v>1406</v>
      </c>
      <c r="F78" s="3296"/>
      <c r="G78" s="3296"/>
      <c r="H78" s="329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528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316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6" t="s">
        <v>1410</v>
      </c>
      <c r="B83" s="3307"/>
      <c r="C83" s="3307"/>
      <c r="D83" s="3307"/>
      <c r="E83" s="3307"/>
      <c r="F83" s="3307"/>
      <c r="G83" s="3307"/>
      <c r="H83" s="330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8" t="s">
        <v>1375</v>
      </c>
      <c r="B84" s="329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531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64" t="s">
        <v>2128</v>
      </c>
      <c r="H90" s="3265"/>
      <c r="I90" s="1680"/>
      <c r="J90" s="2307"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95" t="s">
        <v>1419</v>
      </c>
      <c r="F91" s="3296"/>
      <c r="G91" s="329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95" t="s">
        <v>1422</v>
      </c>
      <c r="F92" s="3296"/>
      <c r="G92" s="3296"/>
      <c r="H92" s="3297"/>
      <c r="I92" s="1680"/>
      <c r="J92" s="2308"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3</v>
      </c>
      <c r="D93" s="2362">
        <f>'数据-取费表'!B43</f>
        <v>5.000000000000001E-3</v>
      </c>
      <c r="E93" s="3295" t="s">
        <v>1406</v>
      </c>
      <c r="F93" s="3296"/>
      <c r="G93" s="3296"/>
      <c r="H93" s="329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40" t="s">
        <v>1426</v>
      </c>
      <c r="F94" s="3341"/>
      <c r="G94" s="3341"/>
      <c r="H94" s="334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528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176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316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0" t="str">
        <f>C4</f>
        <v>比较法-办公</v>
      </c>
      <c r="D101" s="2371" t="str">
        <f>D4</f>
        <v>收益法 (元)</v>
      </c>
      <c r="E101" s="3258" t="s">
        <v>1431</v>
      </c>
      <c r="F101" s="3259"/>
      <c r="G101" s="1686" t="s">
        <v>1432</v>
      </c>
      <c r="H101" s="2380">
        <f ca="1">H118</f>
        <v>558</v>
      </c>
      <c r="I101" s="121"/>
    </row>
    <row r="102" spans="1:35" ht="18.75" customHeight="1">
      <c r="A102" s="3290" t="s">
        <v>1433</v>
      </c>
      <c r="B102" s="2369" t="s">
        <v>1432</v>
      </c>
      <c r="C102" s="2370">
        <f ca="1">IF(D32="楼面单价",ROUND(C19,0),C19)</f>
        <v>731</v>
      </c>
      <c r="D102" s="2371">
        <f ca="1">IF(D32="楼面单价",ROUND(D19,0),D19)</f>
        <v>443</v>
      </c>
      <c r="E102" s="3258"/>
      <c r="F102" s="3259"/>
      <c r="G102" s="1686" t="s">
        <v>1434</v>
      </c>
      <c r="H102" s="2340">
        <f ca="1">I118</f>
        <v>14361</v>
      </c>
      <c r="I102" s="121"/>
    </row>
    <row r="103" spans="1:35" ht="42.75" customHeight="1">
      <c r="A103" s="3290"/>
      <c r="B103" s="2369" t="s">
        <v>1434</v>
      </c>
      <c r="C103" s="2372">
        <f ca="1">C20</f>
        <v>18803</v>
      </c>
      <c r="D103" s="2373">
        <f ca="1">D20</f>
        <v>11400</v>
      </c>
      <c r="E103" s="3251" t="s">
        <v>1435</v>
      </c>
      <c r="F103" s="3252"/>
      <c r="G103" s="1687" t="s">
        <v>1436</v>
      </c>
      <c r="H103" s="2380">
        <f>IF(D36="正常操作",H104+H105+H106,H105+H106)</f>
        <v>0</v>
      </c>
      <c r="I103" s="121"/>
    </row>
    <row r="104" spans="1:35" ht="18.75" customHeight="1">
      <c r="A104" s="3290" t="s">
        <v>1437</v>
      </c>
      <c r="B104" s="2374" t="s">
        <v>1432</v>
      </c>
      <c r="C104" s="2375">
        <f ca="1">H118</f>
        <v>558</v>
      </c>
      <c r="D104" s="2376"/>
      <c r="E104" s="1554" t="s">
        <v>1438</v>
      </c>
      <c r="F104" s="1547"/>
      <c r="G104" s="1687" t="s">
        <v>1436</v>
      </c>
      <c r="H104" s="2381">
        <f>IF(D36="同一抵押权人同一抵押物续贷",C36&amp;"（续贷，未扣减，详见特别提示）",C36)</f>
        <v>0</v>
      </c>
      <c r="I104" s="121"/>
    </row>
    <row r="105" spans="1:35" ht="18.75" customHeight="1" thickBot="1">
      <c r="A105" s="3300"/>
      <c r="B105" s="2377" t="s">
        <v>1434</v>
      </c>
      <c r="C105" s="2378">
        <f ca="1">I118</f>
        <v>14361</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91" t="str">
        <f>IF(项目基本情况!E8="已注销","——","3.房地产抵押价值")</f>
        <v>3.房地产抵押价值</v>
      </c>
      <c r="F107" s="3259"/>
      <c r="G107" s="1686" t="s">
        <v>1432</v>
      </c>
      <c r="H107" s="2380">
        <f ca="1">IF(E107="——","——",H101-H103)</f>
        <v>558</v>
      </c>
      <c r="I107" s="121"/>
    </row>
    <row r="108" spans="1:35" ht="18.75" customHeight="1">
      <c r="A108" s="121"/>
      <c r="B108" s="121"/>
      <c r="C108" s="121"/>
      <c r="D108" s="121"/>
      <c r="E108" s="3291"/>
      <c r="F108" s="3259"/>
      <c r="G108" s="1686" t="s">
        <v>1434</v>
      </c>
      <c r="H108" s="2340">
        <f ca="1">IF(H107=H101,H102,ROUND(H107*10000/'数据-汇总表'!E3,0))</f>
        <v>14361</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6" t="s">
        <v>1432</v>
      </c>
      <c r="H109" s="2383" t="str">
        <f>IF(E109="——","——",H101-H105-H106)</f>
        <v>——</v>
      </c>
      <c r="I109" s="121"/>
    </row>
    <row r="110" spans="1:35" ht="18.75" customHeight="1">
      <c r="A110" s="121"/>
      <c r="B110" s="121"/>
      <c r="C110" s="121"/>
      <c r="D110" s="121"/>
      <c r="E110" s="3291"/>
      <c r="F110" s="3259"/>
      <c r="G110" s="1686" t="s">
        <v>1434</v>
      </c>
      <c r="H110" s="2340"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6" t="s">
        <v>1432</v>
      </c>
      <c r="H111" s="2380" t="str">
        <f>IF(E111="——","——",N59)</f>
        <v>——</v>
      </c>
      <c r="I111" s="121"/>
    </row>
    <row r="112" spans="1:35" ht="18.75" customHeight="1" thickBot="1">
      <c r="A112" s="121"/>
      <c r="B112" s="121"/>
      <c r="C112" s="121"/>
      <c r="D112" s="121"/>
      <c r="E112" s="3293"/>
      <c r="F112" s="3294"/>
      <c r="G112" s="1689" t="s">
        <v>1434</v>
      </c>
      <c r="H112" s="2384"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0"/>
      <c r="F114" s="1670"/>
      <c r="G114" s="1670"/>
      <c r="H114" s="1670"/>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49" t="s">
        <v>1449</v>
      </c>
      <c r="E117" s="2149" t="s">
        <v>1450</v>
      </c>
      <c r="F117" s="2149" t="s">
        <v>1449</v>
      </c>
      <c r="G117" s="2149" t="s">
        <v>1451</v>
      </c>
      <c r="H117" s="2149" t="s">
        <v>1449</v>
      </c>
      <c r="I117" s="2149" t="s">
        <v>1451</v>
      </c>
    </row>
    <row r="118" spans="1:27" ht="24.75" customHeight="1">
      <c r="A118" s="2385" t="str">
        <f>项目基本情况!S2</f>
        <v>房地产</v>
      </c>
      <c r="B118" s="2149">
        <f>M18</f>
        <v>388.61</v>
      </c>
      <c r="C118" s="2149">
        <f>M19</f>
        <v>0</v>
      </c>
      <c r="D118" s="2149">
        <f ca="1">ROUND(IF(D32="总价",C34,E118*B118/10000),0)</f>
        <v>229</v>
      </c>
      <c r="E118" s="2149">
        <f ca="1">ROUND(IF(C33="自定义",IF(D32="楼面单价",C34,D118*10000/B118),I118-G118),0)</f>
        <v>5902</v>
      </c>
      <c r="F118" s="2149">
        <f ca="1">ROUND(IF(D32="总价",C35,G118*B118/10000),0)</f>
        <v>329</v>
      </c>
      <c r="G118" s="2149">
        <f ca="1">ROUND(IF(D32="楼面单价",C35,F118*10000/B118),0)</f>
        <v>8459</v>
      </c>
      <c r="H118" s="2149">
        <f ca="1">ROUND(IF(D32="总价",C32,I118*B118/10000),0)</f>
        <v>558</v>
      </c>
      <c r="I118" s="2149">
        <f ca="1">ROUND(IF(D32="楼面单价",C32,H118*10000/B118),0)</f>
        <v>14361</v>
      </c>
    </row>
    <row r="119" spans="1:27" ht="18.75" customHeight="1">
      <c r="A119" s="3266" t="s">
        <v>1452</v>
      </c>
      <c r="B119" s="3266"/>
      <c r="C119" s="3266"/>
      <c r="D119" s="3272" t="str">
        <f ca="1">NUMBERSTRING(INT(D118*10000),2)&amp;"元整"</f>
        <v>贰佰贰拾玖万元整</v>
      </c>
      <c r="E119" s="3273"/>
      <c r="F119" s="3272" t="str">
        <f ca="1">NUMBERSTRING(INT(F118*10000),2)&amp;"元整"</f>
        <v>叁佰贰拾玖万元整</v>
      </c>
      <c r="G119" s="3273"/>
      <c r="H119" s="3272" t="str">
        <f ca="1">NUMBERSTRING(INT(H118*10000),2)&amp;"元整"</f>
        <v>伍佰伍拾捌万元整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558</v>
      </c>
      <c r="E122" s="3268"/>
      <c r="F122" s="3268"/>
      <c r="G122" s="3268"/>
      <c r="H122" s="3268"/>
      <c r="I122" s="3269"/>
      <c r="AA122" s="684"/>
    </row>
    <row r="123" spans="1:27" ht="18.75" customHeight="1">
      <c r="A123" s="3266" t="s">
        <v>1452</v>
      </c>
      <c r="B123" s="3266"/>
      <c r="C123" s="3266"/>
      <c r="D123" s="3272" t="str">
        <f ca="1">NUMBERSTRING(INT(D122*10000),2)&amp;"元整"</f>
        <v>伍佰伍拾捌万元整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202</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5198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1069"/>
      <c r="I9" s="1715" t="s">
        <v>1479</v>
      </c>
    </row>
    <row r="10" spans="1:9" s="206" customFormat="1" ht="13.5" customHeight="1">
      <c r="A10" s="733" t="s">
        <v>356</v>
      </c>
      <c r="B10" s="216" t="s">
        <v>1480</v>
      </c>
      <c r="C10" s="217">
        <f ca="1">ROUND(D10*E10/10000,0)</f>
        <v>8</v>
      </c>
      <c r="D10" s="795">
        <f ca="1">IF(B1="",'数据-汇总表'!E6,IF(INDIRECT("'数据-取费表'!c"&amp;$G$1)="住宅",INDIRECT("'数据-取费表'!s"&amp;$G$1),INDIRECT("'数据-取费表'!k"&amp;$G$1)+INDIRECT("'数据-取费表'!s"&amp;$G$1)))</f>
        <v>388.61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8</v>
      </c>
      <c r="D19" s="204">
        <f ca="1">D9+D10</f>
        <v>388.61</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191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171</v>
      </c>
      <c r="D34" s="209"/>
      <c r="E34" s="212"/>
      <c r="F34" s="249">
        <f ca="1">IF('数据-取费表'!B24=0,1,IF(B1="",'数据-取费表'!N16,INDIRECT("'数据-取费表'!n"&amp;$G$1)))</f>
        <v>1</v>
      </c>
      <c r="G34" s="211" t="s">
        <v>1526</v>
      </c>
    </row>
    <row r="35" spans="1:7" ht="13.5" customHeight="1">
      <c r="A35" s="734" t="s">
        <v>351</v>
      </c>
      <c r="B35" s="207" t="s">
        <v>1527</v>
      </c>
      <c r="C35" s="212">
        <f ca="1">ROUND(C34*F35,0)</f>
        <v>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8</v>
      </c>
      <c r="D37" s="209">
        <f ca="1">D19</f>
        <v>388.61</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5.9999999999999995E-4</v>
      </c>
      <c r="D44" s="230"/>
      <c r="E44" s="230"/>
      <c r="F44" s="231"/>
      <c r="G44" s="3347"/>
    </row>
    <row r="45" spans="1:7" s="206" customFormat="1" ht="13.5" customHeight="1">
      <c r="A45" s="247" t="s">
        <v>1547</v>
      </c>
      <c r="B45" s="236" t="s">
        <v>1513</v>
      </c>
      <c r="C45" s="237">
        <f ca="1">C46</f>
        <v>20</v>
      </c>
      <c r="D45" s="227">
        <f ca="1">C47</f>
        <v>2E-3</v>
      </c>
      <c r="E45" s="228" t="s">
        <v>1539</v>
      </c>
      <c r="F45" s="238">
        <f ca="1">F27</f>
        <v>0.1</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191</v>
      </c>
      <c r="D51" s="224"/>
      <c r="E51" s="224"/>
      <c r="F51" s="256"/>
      <c r="G51" s="226" t="s">
        <v>1560</v>
      </c>
    </row>
    <row r="52" spans="1:7" s="200" customFormat="1" ht="16.5" thickBot="1">
      <c r="A52" s="257" t="s">
        <v>1561</v>
      </c>
      <c r="B52" s="258"/>
      <c r="C52" s="259">
        <f ca="1">C31+C51</f>
        <v>202</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房地产抵押价值预评估</v>
      </c>
      <c r="C37" s="3163"/>
      <c r="D37" s="3163"/>
      <c r="E37" s="3163"/>
      <c r="F37" s="3163"/>
      <c r="G37" s="3163"/>
      <c r="H37" s="3163"/>
      <c r="I37" s="3163"/>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郑燚（注册号：1120070131)、（注册号：0)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210.2191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5410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77722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77722</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77722</v>
      </c>
      <c r="D10" s="795">
        <f ca="1">IF(B1="",'数据-汇总表'!E6,IF(INDIRECT("'数据-取费表'!c"&amp;$G$1)="住宅",INDIRECT("'数据-取费表'!s"&amp;$G$1),INDIRECT("'数据-取费表'!k"&amp;$G$1)+INDIRECT("'数据-取费表'!s"&amp;$G$1)))</f>
        <v>388.61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77722</v>
      </c>
      <c r="D19" s="204">
        <f ca="1">D9+D10</f>
        <v>388.61</v>
      </c>
      <c r="E19" s="203">
        <f>'数据-取费表'!B31</f>
        <v>200</v>
      </c>
      <c r="F19" s="223"/>
      <c r="G19" s="1713"/>
    </row>
    <row r="20" spans="1:7" s="206" customFormat="1" ht="13.5" customHeight="1">
      <c r="A20" s="247" t="s">
        <v>1574</v>
      </c>
      <c r="B20" s="202" t="s">
        <v>1575</v>
      </c>
      <c r="C20" s="224">
        <f ca="1">ROUND((C5+C19)*F20,0)</f>
        <v>3109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9882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4893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4893</v>
      </c>
      <c r="D24" s="230"/>
      <c r="E24" s="230"/>
      <c r="F24" s="231"/>
      <c r="G24" s="232" t="s">
        <v>1586</v>
      </c>
    </row>
    <row r="25" spans="1:7" s="206" customFormat="1" ht="24">
      <c r="A25" s="734" t="s">
        <v>1476</v>
      </c>
      <c r="B25" s="207" t="s">
        <v>1587</v>
      </c>
      <c r="C25" s="230">
        <f ca="1">ROUND(IF('数据-取费表'!B22&lt;=1,C20*F22*'数据-取费表'!B22/2,C20*(POWER((1+F22),'数据-取费表'!B22/2)-1)),0)</f>
        <v>96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15855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15855</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199232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1907298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1709884</v>
      </c>
      <c r="D34" s="209"/>
      <c r="E34" s="212"/>
      <c r="F34" s="249"/>
      <c r="G34" s="211"/>
    </row>
    <row r="35" spans="1:7" ht="13.5" customHeight="1">
      <c r="A35" s="734" t="s">
        <v>351</v>
      </c>
      <c r="B35" s="207" t="s">
        <v>1527</v>
      </c>
      <c r="C35" s="212">
        <f ca="1">ROUND(C34*F35,0)</f>
        <v>85494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77722</v>
      </c>
      <c r="D37" s="209">
        <f ca="1">D19</f>
        <v>388.61</v>
      </c>
      <c r="E37" s="241">
        <f>'数据-取费表'!B35</f>
        <v>200</v>
      </c>
      <c r="F37" s="251"/>
      <c r="G37" s="253"/>
    </row>
    <row r="38" spans="1:7" ht="13.5" customHeight="1">
      <c r="A38" s="734" t="s">
        <v>354</v>
      </c>
      <c r="B38" s="207" t="s">
        <v>1533</v>
      </c>
      <c r="C38" s="212">
        <f ca="1">ROUND(C34*F38,0)</f>
        <v>34198</v>
      </c>
      <c r="D38" s="212"/>
      <c r="E38" s="212"/>
      <c r="F38" s="251">
        <f>'数据-取费表'!B36</f>
        <v>0.02</v>
      </c>
      <c r="G38" s="211" t="s">
        <v>1528</v>
      </c>
    </row>
    <row r="39" spans="1:7" s="206" customFormat="1" ht="13.5" customHeight="1">
      <c r="A39" s="247" t="s">
        <v>1534</v>
      </c>
      <c r="B39" s="202" t="s">
        <v>1535</v>
      </c>
      <c r="C39" s="224">
        <f ca="1">ROUND(C33*F20,0)</f>
        <v>38146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60309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59126</v>
      </c>
      <c r="D42" s="230"/>
      <c r="E42" s="230"/>
      <c r="F42" s="231"/>
      <c r="G42" s="3345" t="s">
        <v>1591</v>
      </c>
    </row>
    <row r="43" spans="1:7" ht="13.5" customHeight="1">
      <c r="A43" s="734" t="s">
        <v>347</v>
      </c>
      <c r="B43" s="207" t="s">
        <v>1545</v>
      </c>
      <c r="C43" s="230">
        <f ca="1">ROUND(IF('数据-取费表'!B22&lt;=1,C39*F22*'数据-取费表'!B20/2,C39*(POWER((1+F22),'数据-取费表'!B20/2)-1)),0)</f>
        <v>1183</v>
      </c>
      <c r="D43" s="230"/>
      <c r="E43" s="230"/>
      <c r="F43" s="231"/>
      <c r="G43" s="3346"/>
    </row>
    <row r="44" spans="1:7" ht="13.5" customHeight="1">
      <c r="A44" s="734" t="s">
        <v>348</v>
      </c>
      <c r="B44" s="207" t="s">
        <v>1546</v>
      </c>
      <c r="C44" s="230">
        <f ca="1">ROUND(IF('数据-取费表'!B22&lt;=1,C40*F22*'数据-取费表'!B20/2,C40*(POWER((1+F22),'数据-取费表'!B20/2)-1)),4)</f>
        <v>5.9999999999999995E-4</v>
      </c>
      <c r="D44" s="230"/>
      <c r="E44" s="230"/>
      <c r="F44" s="231"/>
      <c r="G44" s="3347"/>
    </row>
    <row r="45" spans="1:7" s="206" customFormat="1" ht="13.5" customHeight="1">
      <c r="A45" s="247" t="s">
        <v>1547</v>
      </c>
      <c r="B45" s="236" t="s">
        <v>1513</v>
      </c>
      <c r="C45" s="237">
        <f ca="1">C46</f>
        <v>194544</v>
      </c>
      <c r="D45" s="227">
        <f ca="1">C47</f>
        <v>2E-3</v>
      </c>
      <c r="E45" s="228" t="s">
        <v>1539</v>
      </c>
      <c r="F45" s="238">
        <f ca="1">F27</f>
        <v>0.1</v>
      </c>
      <c r="G45" s="239" t="s">
        <v>1548</v>
      </c>
    </row>
    <row r="46" spans="1:7" s="206" customFormat="1" ht="13.5" customHeight="1">
      <c r="A46" s="734" t="s">
        <v>346</v>
      </c>
      <c r="B46" s="240" t="s">
        <v>1549</v>
      </c>
      <c r="C46" s="241">
        <f ca="1">ROUND((C33+C39)*F27,0)</f>
        <v>194544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2378699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1902959</v>
      </c>
      <c r="D51" s="224"/>
      <c r="E51" s="224"/>
      <c r="F51" s="256"/>
      <c r="G51" s="226" t="s">
        <v>1560</v>
      </c>
    </row>
    <row r="52" spans="1:7" s="200" customFormat="1" ht="16.5" thickBot="1">
      <c r="A52" s="257" t="s">
        <v>1561</v>
      </c>
      <c r="B52" s="258"/>
      <c r="C52" s="259">
        <f ca="1">C31+C51</f>
        <v>2102191</v>
      </c>
      <c r="D52" s="258"/>
      <c r="E52" s="258"/>
      <c r="F52" s="258"/>
      <c r="G52" s="260"/>
    </row>
    <row r="55" spans="1:7" ht="15">
      <c r="B55" s="262" t="s">
        <v>1562</v>
      </c>
      <c r="C55" s="263"/>
    </row>
    <row r="56" spans="1:7">
      <c r="B56" s="265" t="s">
        <v>802</v>
      </c>
      <c r="C56" s="267">
        <f ca="1">1-C57</f>
        <v>9.4999999999999973E-2</v>
      </c>
    </row>
    <row r="57" spans="1:7">
      <c r="B57" s="265" t="s">
        <v>803</v>
      </c>
      <c r="C57" s="266">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-9</v>
      </c>
      <c r="C2" s="268" t="s">
        <v>1595</v>
      </c>
      <c r="D2" s="268"/>
      <c r="E2" s="2567"/>
      <c r="F2" s="2567"/>
      <c r="G2" s="2567"/>
      <c r="H2" s="2567"/>
      <c r="I2" s="2567"/>
      <c r="J2" s="2567"/>
      <c r="K2" s="2567"/>
    </row>
    <row r="3" spans="1:33" ht="18" customHeight="1" thickBot="1">
      <c r="A3" s="195" t="s">
        <v>1464</v>
      </c>
      <c r="B3" s="196">
        <f ca="1">ROUND(B2*10000/IF(C1="",'数据-汇总表'!E3,INDIRECT("'数据-取费表'!K"&amp;$K$1)),0)</f>
        <v>-232</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388.61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388.61</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8</v>
      </c>
      <c r="D20" s="796">
        <f ca="1">IF(C1="",'数据-汇总表'!E6,IF(INDIRECT("'数据-取费表'!c"&amp;$K$1)="住宅",INDIRECT("'数据-取费表'!s"&amp;$K$1),INDIRECT("'数据-取费表'!k"&amp;$K$1)+INDIRECT("'数据-取费表'!s"&amp;$K$1)))</f>
        <v>388.61</v>
      </c>
      <c r="E20" s="21">
        <f>'数据-取费表'!B28</f>
        <v>200</v>
      </c>
      <c r="F20" s="756"/>
      <c r="G20" s="12"/>
      <c r="H20" s="761"/>
      <c r="I20" s="761"/>
      <c r="J20" s="761"/>
      <c r="K20" s="762"/>
    </row>
    <row r="21" spans="1:33" s="755" customFormat="1" ht="13.5" customHeight="1">
      <c r="A21" s="744" t="s">
        <v>357</v>
      </c>
      <c r="B21" s="765" t="s">
        <v>1628</v>
      </c>
      <c r="C21" s="766">
        <f ca="1">C16+C17+C18</f>
        <v>8</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7" zoomScale="80" zoomScaleNormal="70" zoomScaleSheetLayoutView="80" workbookViewId="0">
      <selection activeCell="K26" sqref="K2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v>501</v>
      </c>
      <c r="E1" s="3131" t="s">
        <v>3455</v>
      </c>
      <c r="F1" s="1734" t="s">
        <v>3456</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730.70339999999999</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18803</v>
      </c>
      <c r="C3" s="344" t="s">
        <v>1768</v>
      </c>
      <c r="D3" s="343">
        <f>IF(D1="",'数据-汇总表'!E3,SUMIF('数据-汇总表'!$C19:$C33,D1,'数据-汇总表'!$E19:$E33))</f>
        <v>388.61</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53" t="s">
        <v>1771</v>
      </c>
      <c r="S4" s="3354"/>
      <c r="T4" s="3353" t="s">
        <v>1772</v>
      </c>
      <c r="U4" s="3354"/>
      <c r="V4" s="3382" t="s">
        <v>1773</v>
      </c>
      <c r="W4" s="3382"/>
      <c r="X4" s="1808"/>
      <c r="Y4" s="3353" t="s">
        <v>1775</v>
      </c>
      <c r="Z4" s="3354"/>
      <c r="AA4" s="3348" t="s">
        <v>1771</v>
      </c>
      <c r="AB4" s="3348" t="s">
        <v>1772</v>
      </c>
      <c r="AC4" s="3367" t="s">
        <v>1773</v>
      </c>
    </row>
    <row r="5" spans="1:29" ht="15">
      <c r="A5" s="348"/>
      <c r="B5" s="349"/>
      <c r="C5" s="3359" t="s">
        <v>1673</v>
      </c>
      <c r="D5" s="3360"/>
      <c r="E5" s="3357" t="s">
        <v>3457</v>
      </c>
      <c r="F5" s="3358"/>
      <c r="G5" s="3363" t="s">
        <v>3464</v>
      </c>
      <c r="H5" s="3360"/>
      <c r="I5" s="3363" t="s">
        <v>3464</v>
      </c>
      <c r="J5" s="3360"/>
      <c r="K5" s="537"/>
      <c r="L5" s="2486"/>
      <c r="M5" s="2487"/>
      <c r="N5" s="2487"/>
      <c r="O5" s="2487"/>
      <c r="P5" s="3376"/>
      <c r="Q5" s="3377"/>
      <c r="R5" s="3355"/>
      <c r="S5" s="3356"/>
      <c r="T5" s="3355"/>
      <c r="U5" s="3356"/>
      <c r="V5" s="3383"/>
      <c r="W5" s="3383"/>
      <c r="X5" s="1264"/>
      <c r="Y5" s="3355"/>
      <c r="Z5" s="3356"/>
      <c r="AA5" s="3349"/>
      <c r="AB5" s="3349"/>
      <c r="AC5" s="3368"/>
    </row>
    <row r="6" spans="1:29" ht="15.75" thickBot="1">
      <c r="A6" s="350"/>
      <c r="B6" s="351"/>
      <c r="C6" s="3361" t="s">
        <v>1677</v>
      </c>
      <c r="D6" s="3362"/>
      <c r="E6" s="3364" t="s">
        <v>1677</v>
      </c>
      <c r="F6" s="3365"/>
      <c r="G6" s="3361" t="s">
        <v>1677</v>
      </c>
      <c r="H6" s="3362"/>
      <c r="I6" s="3361" t="s">
        <v>1677</v>
      </c>
      <c r="J6" s="3362"/>
      <c r="K6" s="537" t="s">
        <v>1678</v>
      </c>
      <c r="L6" s="2486"/>
      <c r="M6" s="2487"/>
      <c r="N6" s="2487"/>
      <c r="O6" s="2487"/>
      <c r="P6" s="3378"/>
      <c r="Q6" s="3379"/>
      <c r="R6" s="3355"/>
      <c r="S6" s="3356"/>
      <c r="T6" s="3380"/>
      <c r="U6" s="3381"/>
      <c r="V6" s="3383"/>
      <c r="W6" s="3383"/>
      <c r="X6" s="1264"/>
      <c r="Y6" s="3380"/>
      <c r="Z6" s="3381"/>
      <c r="AA6" s="3350"/>
      <c r="AB6" s="3350"/>
      <c r="AC6" s="3369"/>
    </row>
    <row r="7" spans="1:29" s="102" customFormat="1" ht="15.75" thickBot="1">
      <c r="A7" s="352" t="s">
        <v>1679</v>
      </c>
      <c r="B7" s="353"/>
      <c r="C7" s="354">
        <f>'数据-取费表'!B2</f>
        <v>45748</v>
      </c>
      <c r="D7" s="355">
        <v>100</v>
      </c>
      <c r="E7" s="356">
        <f>C7</f>
        <v>45748</v>
      </c>
      <c r="F7" s="357">
        <f>SUMIF(59:59,YEAR(E7)&amp;"-"&amp;MONTH(E7),60:60)</f>
        <v>100</v>
      </c>
      <c r="G7" s="356">
        <f>C7</f>
        <v>45748</v>
      </c>
      <c r="H7" s="355">
        <f>SUMIF(59:59,YEAR(G7)&amp;"-"&amp;MONTH(G7),60:60)</f>
        <v>100</v>
      </c>
      <c r="I7" s="356">
        <f>C7</f>
        <v>45748</v>
      </c>
      <c r="J7" s="355">
        <f>SUMIF(59:59,YEAR(I7)&amp;"-"&amp;MONTH(I7),60:60)</f>
        <v>100</v>
      </c>
      <c r="K7" s="38"/>
      <c r="L7" s="2488"/>
      <c r="M7" s="2439"/>
      <c r="N7" s="2439"/>
      <c r="O7" s="2439"/>
      <c r="P7" s="3384" t="s">
        <v>1680</v>
      </c>
      <c r="Q7" s="3385"/>
      <c r="R7" s="664" t="s">
        <v>14</v>
      </c>
      <c r="S7" s="665">
        <f t="shared" ref="S7:S15" si="0">F7</f>
        <v>100</v>
      </c>
      <c r="T7" s="664" t="s">
        <v>14</v>
      </c>
      <c r="U7" s="665">
        <f t="shared" ref="U7:U15" si="1">H7</f>
        <v>100</v>
      </c>
      <c r="V7" s="664" t="s">
        <v>14</v>
      </c>
      <c r="W7" s="665">
        <f t="shared" ref="W7:W15" si="2">J7</f>
        <v>100</v>
      </c>
      <c r="X7" s="666"/>
      <c r="Y7" s="3351" t="s">
        <v>1680</v>
      </c>
      <c r="Z7" s="3352"/>
      <c r="AA7" s="50">
        <f>D7/F7</f>
        <v>1</v>
      </c>
      <c r="AB7" s="50">
        <f>D7/H7</f>
        <v>1</v>
      </c>
      <c r="AC7" s="802">
        <f>D7/J7</f>
        <v>1</v>
      </c>
    </row>
    <row r="8" spans="1:29" s="102" customFormat="1" ht="15.75" thickBot="1">
      <c r="A8" s="352" t="s">
        <v>1681</v>
      </c>
      <c r="B8" s="353"/>
      <c r="C8" s="358" t="s">
        <v>3458</v>
      </c>
      <c r="D8" s="355">
        <v>100</v>
      </c>
      <c r="E8" s="358" t="s">
        <v>3459</v>
      </c>
      <c r="F8" s="357">
        <f>SUMIF(62:62,E8,63:63)-SUMIF(62:62,C8,63:63)+100</f>
        <v>105</v>
      </c>
      <c r="G8" s="358" t="s">
        <v>3459</v>
      </c>
      <c r="H8" s="355">
        <f>SUMIF(62:62,G8,63:63)-SUMIF(62:62,C8,63:63)+100</f>
        <v>105</v>
      </c>
      <c r="I8" s="358" t="s">
        <v>3459</v>
      </c>
      <c r="J8" s="355">
        <f>SUMIF(62:62,I8,63:63)-SUMIF(62:62,C8,63:63)+100</f>
        <v>105</v>
      </c>
      <c r="K8" s="38"/>
      <c r="L8" s="2488"/>
      <c r="M8" s="2439"/>
      <c r="N8" s="2439"/>
      <c r="O8" s="2439"/>
      <c r="P8" s="3384" t="s">
        <v>1683</v>
      </c>
      <c r="Q8" s="3352"/>
      <c r="R8" s="664" t="s">
        <v>14</v>
      </c>
      <c r="S8" s="665">
        <f t="shared" si="0"/>
        <v>105</v>
      </c>
      <c r="T8" s="664" t="s">
        <v>14</v>
      </c>
      <c r="U8" s="665">
        <f t="shared" si="1"/>
        <v>105</v>
      </c>
      <c r="V8" s="664" t="s">
        <v>14</v>
      </c>
      <c r="W8" s="665">
        <f t="shared" si="2"/>
        <v>105</v>
      </c>
      <c r="X8" s="666"/>
      <c r="Y8" s="3351" t="s">
        <v>1683</v>
      </c>
      <c r="Z8" s="3352"/>
      <c r="AA8" s="50">
        <f t="shared" ref="AA8:AA47" si="3">D8/F8</f>
        <v>0.95238095238095233</v>
      </c>
      <c r="AB8" s="50">
        <f t="shared" ref="AB8:AB47" si="4">D8/H8</f>
        <v>0.95238095238095233</v>
      </c>
      <c r="AC8" s="802">
        <f t="shared" ref="AC8:AC47" si="5">D8/J8</f>
        <v>0.95238095238095233</v>
      </c>
    </row>
    <row r="9" spans="1:29" s="102" customFormat="1" ht="15">
      <c r="A9" s="359" t="s">
        <v>1684</v>
      </c>
      <c r="B9" s="60" t="s">
        <v>1685</v>
      </c>
      <c r="C9" s="3158" t="s">
        <v>3462</v>
      </c>
      <c r="D9" s="59">
        <v>100</v>
      </c>
      <c r="E9" s="362" t="s">
        <v>3461</v>
      </c>
      <c r="F9" s="59">
        <f>SUMIF(64:64,E9,65:65)-SUMIF(64:64,C9,65:65)+100</f>
        <v>100</v>
      </c>
      <c r="G9" s="361" t="s">
        <v>21</v>
      </c>
      <c r="H9" s="59">
        <f>SUMIF(64:64,G9,65:65)-SUMIF(64:64,C9,65:65)+100</f>
        <v>110</v>
      </c>
      <c r="I9" s="361" t="s">
        <v>21</v>
      </c>
      <c r="J9" s="59">
        <f>SUMIF(64:64,I9,65:65)-SUMIF(64:64,C9,65:65)+100</f>
        <v>110</v>
      </c>
      <c r="K9" s="38"/>
      <c r="L9" s="2488"/>
      <c r="M9" s="2439"/>
      <c r="N9" s="2439"/>
      <c r="O9" s="2439"/>
      <c r="P9" s="3366" t="s">
        <v>1686</v>
      </c>
      <c r="Q9" s="530" t="str">
        <f t="shared" ref="Q9:Q15" si="6">B9</f>
        <v>用途</v>
      </c>
      <c r="R9" s="664" t="s">
        <v>14</v>
      </c>
      <c r="S9" s="665">
        <f t="shared" si="0"/>
        <v>100</v>
      </c>
      <c r="T9" s="664" t="s">
        <v>14</v>
      </c>
      <c r="U9" s="665">
        <f t="shared" si="1"/>
        <v>110</v>
      </c>
      <c r="V9" s="664" t="s">
        <v>14</v>
      </c>
      <c r="W9" s="665">
        <f t="shared" si="2"/>
        <v>110</v>
      </c>
      <c r="X9" s="666"/>
      <c r="Y9" s="3321" t="s">
        <v>1687</v>
      </c>
      <c r="Z9" s="50" t="str">
        <f t="shared" ref="Z9:Z15" si="7">Q9</f>
        <v>用途</v>
      </c>
      <c r="AA9" s="50">
        <f t="shared" si="3"/>
        <v>1</v>
      </c>
      <c r="AB9" s="50">
        <f t="shared" si="4"/>
        <v>0.90909090909090906</v>
      </c>
      <c r="AC9" s="802">
        <f t="shared" si="5"/>
        <v>0.90909090909090906</v>
      </c>
    </row>
    <row r="10" spans="1:29" s="366" customFormat="1" ht="27">
      <c r="A10" s="363"/>
      <c r="B10" s="364" t="s">
        <v>1688</v>
      </c>
      <c r="C10" s="3132" t="s">
        <v>3466</v>
      </c>
      <c r="D10" s="119">
        <v>100</v>
      </c>
      <c r="E10" s="3132" t="s">
        <v>3471</v>
      </c>
      <c r="F10" s="119">
        <f>SUMIF(66:66,E10,67:67)-SUMIF(66:66,C10,67:67)+100</f>
        <v>106</v>
      </c>
      <c r="G10" s="3133" t="s">
        <v>3471</v>
      </c>
      <c r="H10" s="119">
        <f>SUMIF(66:66,G10,67:67)-SUMIF(66:66,C10,67:67)+100</f>
        <v>106</v>
      </c>
      <c r="I10" s="3132" t="s">
        <v>3471</v>
      </c>
      <c r="J10" s="119">
        <f>SUMIF(66:66,I10,67:67)-SUMIF(66:66,C10,67:67)+100</f>
        <v>106</v>
      </c>
      <c r="K10" s="38"/>
      <c r="L10" s="2489"/>
      <c r="M10" s="2490"/>
      <c r="N10" s="2490"/>
      <c r="O10" s="2490"/>
      <c r="P10" s="3366"/>
      <c r="Q10" s="530" t="str">
        <f t="shared" si="6"/>
        <v>土地使用年限（年）</v>
      </c>
      <c r="R10" s="664" t="s">
        <v>14</v>
      </c>
      <c r="S10" s="665">
        <f t="shared" si="0"/>
        <v>106</v>
      </c>
      <c r="T10" s="664" t="s">
        <v>14</v>
      </c>
      <c r="U10" s="665">
        <f t="shared" si="1"/>
        <v>106</v>
      </c>
      <c r="V10" s="664" t="s">
        <v>14</v>
      </c>
      <c r="W10" s="665">
        <f t="shared" si="2"/>
        <v>106</v>
      </c>
      <c r="X10" s="666"/>
      <c r="Y10" s="3321"/>
      <c r="Z10" s="50" t="str">
        <f t="shared" si="7"/>
        <v>土地使用年限（年）</v>
      </c>
      <c r="AA10" s="50">
        <f t="shared" si="3"/>
        <v>0.94339622641509435</v>
      </c>
      <c r="AB10" s="50">
        <f t="shared" si="4"/>
        <v>0.94339622641509435</v>
      </c>
      <c r="AC10" s="802">
        <f t="shared" si="5"/>
        <v>0.94339622641509435</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66"/>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66"/>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66"/>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66"/>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386" t="s">
        <v>1691</v>
      </c>
      <c r="Q15" s="1262" t="str">
        <f t="shared" si="6"/>
        <v>办公集聚程度</v>
      </c>
      <c r="R15" s="667" t="s">
        <v>14</v>
      </c>
      <c r="S15" s="668">
        <f t="shared" si="0"/>
        <v>100</v>
      </c>
      <c r="T15" s="667" t="s">
        <v>14</v>
      </c>
      <c r="U15" s="668">
        <f t="shared" si="1"/>
        <v>100</v>
      </c>
      <c r="V15" s="667" t="s">
        <v>14</v>
      </c>
      <c r="W15" s="668">
        <f t="shared" si="2"/>
        <v>100</v>
      </c>
      <c r="X15" s="1264"/>
      <c r="Y15" s="3388" t="s">
        <v>1691</v>
      </c>
      <c r="Z15" s="1263" t="str">
        <f t="shared" si="7"/>
        <v>办公集聚程度</v>
      </c>
      <c r="AA15" s="1263">
        <f t="shared" si="3"/>
        <v>1</v>
      </c>
      <c r="AB15" s="1263">
        <f t="shared" si="4"/>
        <v>1</v>
      </c>
      <c r="AC15" s="1811">
        <f t="shared" si="5"/>
        <v>1</v>
      </c>
    </row>
    <row r="16" spans="1:29" ht="15">
      <c r="A16" s="367"/>
      <c r="B16" s="555"/>
      <c r="C16" s="1757" t="s">
        <v>3472</v>
      </c>
      <c r="D16" s="387"/>
      <c r="E16" s="386" t="s">
        <v>3472</v>
      </c>
      <c r="F16" s="387"/>
      <c r="G16" s="386" t="s">
        <v>3472</v>
      </c>
      <c r="H16" s="389"/>
      <c r="I16" s="386" t="s">
        <v>3472</v>
      </c>
      <c r="J16" s="387"/>
      <c r="K16" s="541"/>
      <c r="L16" s="2492"/>
      <c r="M16" s="2487"/>
      <c r="N16" s="2487"/>
      <c r="O16" s="2487"/>
      <c r="P16" s="3387"/>
      <c r="Q16" s="1262"/>
      <c r="R16" s="667"/>
      <c r="S16" s="668"/>
      <c r="T16" s="667"/>
      <c r="U16" s="668"/>
      <c r="V16" s="667"/>
      <c r="W16" s="668"/>
      <c r="X16" s="1264"/>
      <c r="Y16" s="3389"/>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87"/>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811">
        <f t="shared" si="5"/>
        <v>1</v>
      </c>
    </row>
    <row r="18" spans="1:29" ht="15">
      <c r="A18" s="367"/>
      <c r="B18" s="401"/>
      <c r="C18" s="1813" t="s">
        <v>3472</v>
      </c>
      <c r="D18" s="389"/>
      <c r="E18" s="1813" t="s">
        <v>3472</v>
      </c>
      <c r="F18" s="389"/>
      <c r="G18" s="1813" t="s">
        <v>3472</v>
      </c>
      <c r="H18" s="387"/>
      <c r="I18" s="1813" t="s">
        <v>3472</v>
      </c>
      <c r="J18" s="387"/>
      <c r="K18" s="541"/>
      <c r="L18" s="2492"/>
      <c r="M18" s="2487"/>
      <c r="N18" s="2487"/>
      <c r="O18" s="2487"/>
      <c r="P18" s="3387"/>
      <c r="Q18" s="1262"/>
      <c r="R18" s="667"/>
      <c r="S18" s="668"/>
      <c r="T18" s="667"/>
      <c r="U18" s="668"/>
      <c r="V18" s="667"/>
      <c r="W18" s="668"/>
      <c r="X18" s="1264"/>
      <c r="Y18" s="3389"/>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87"/>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811">
        <f t="shared" si="5"/>
        <v>1</v>
      </c>
    </row>
    <row r="20" spans="1:29" ht="15">
      <c r="A20" s="367"/>
      <c r="B20" s="401"/>
      <c r="C20" s="1757" t="s">
        <v>3473</v>
      </c>
      <c r="D20" s="387"/>
      <c r="E20" s="1757" t="s">
        <v>3473</v>
      </c>
      <c r="F20" s="387"/>
      <c r="G20" s="1757" t="s">
        <v>3473</v>
      </c>
      <c r="H20" s="387"/>
      <c r="I20" s="1757" t="s">
        <v>3473</v>
      </c>
      <c r="J20" s="387"/>
      <c r="K20" s="541"/>
      <c r="L20" s="2492"/>
      <c r="M20" s="2487"/>
      <c r="N20" s="2487"/>
      <c r="O20" s="2487"/>
      <c r="P20" s="3387"/>
      <c r="Q20" s="1262"/>
      <c r="R20" s="667"/>
      <c r="S20" s="668"/>
      <c r="T20" s="667"/>
      <c r="U20" s="668"/>
      <c r="V20" s="667"/>
      <c r="W20" s="668"/>
      <c r="X20" s="1264"/>
      <c r="Y20" s="3389"/>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387"/>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811">
        <f t="shared" ref="AC21" si="10">D21/J21</f>
        <v>1</v>
      </c>
    </row>
    <row r="22" spans="1:29" ht="15">
      <c r="A22" s="367"/>
      <c r="B22" s="557"/>
      <c r="C22" s="1813" t="s">
        <v>3474</v>
      </c>
      <c r="D22" s="387"/>
      <c r="E22" s="1813" t="s">
        <v>3474</v>
      </c>
      <c r="F22" s="387"/>
      <c r="G22" s="1813" t="s">
        <v>3474</v>
      </c>
      <c r="H22" s="387"/>
      <c r="I22" s="1813" t="s">
        <v>3474</v>
      </c>
      <c r="J22" s="387"/>
      <c r="K22" s="1063"/>
      <c r="L22" s="2492"/>
      <c r="M22" s="2487"/>
      <c r="N22" s="2487"/>
      <c r="O22" s="2487"/>
      <c r="P22" s="3387"/>
      <c r="Q22" s="1262"/>
      <c r="R22" s="667"/>
      <c r="S22" s="668"/>
      <c r="T22" s="667"/>
      <c r="U22" s="668"/>
      <c r="V22" s="667"/>
      <c r="W22" s="668"/>
      <c r="X22" s="1264"/>
      <c r="Y22" s="3389"/>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87"/>
      <c r="Q23" s="1262" t="str">
        <f>B23</f>
        <v>环境质量</v>
      </c>
      <c r="R23" s="667" t="s">
        <v>14</v>
      </c>
      <c r="S23" s="668">
        <f>F23</f>
        <v>100</v>
      </c>
      <c r="T23" s="667" t="s">
        <v>14</v>
      </c>
      <c r="U23" s="668">
        <f>H23</f>
        <v>100</v>
      </c>
      <c r="V23" s="667" t="s">
        <v>14</v>
      </c>
      <c r="W23" s="668">
        <f>J23</f>
        <v>100</v>
      </c>
      <c r="X23" s="1264"/>
      <c r="Y23" s="3389"/>
      <c r="Z23" s="1263" t="str">
        <f>Q23</f>
        <v>环境质量</v>
      </c>
      <c r="AA23" s="1263">
        <f t="shared" si="3"/>
        <v>1</v>
      </c>
      <c r="AB23" s="1263">
        <f t="shared" si="4"/>
        <v>1</v>
      </c>
      <c r="AC23" s="1811">
        <f t="shared" si="5"/>
        <v>1</v>
      </c>
    </row>
    <row r="24" spans="1:29" ht="15">
      <c r="A24" s="367"/>
      <c r="B24" s="557"/>
      <c r="C24" s="1757" t="s">
        <v>3472</v>
      </c>
      <c r="D24" s="387"/>
      <c r="E24" s="1757" t="s">
        <v>3472</v>
      </c>
      <c r="F24" s="387"/>
      <c r="G24" s="1757" t="s">
        <v>3472</v>
      </c>
      <c r="H24" s="387"/>
      <c r="I24" s="1757" t="s">
        <v>3472</v>
      </c>
      <c r="J24" s="387"/>
      <c r="K24" s="541"/>
      <c r="L24" s="2492"/>
      <c r="M24" s="2487"/>
      <c r="N24" s="2487"/>
      <c r="O24" s="2487"/>
      <c r="P24" s="3387"/>
      <c r="Q24" s="1262"/>
      <c r="R24" s="667"/>
      <c r="S24" s="668"/>
      <c r="T24" s="667"/>
      <c r="U24" s="668"/>
      <c r="V24" s="667"/>
      <c r="W24" s="668"/>
      <c r="X24" s="1264"/>
      <c r="Y24" s="3389"/>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103</v>
      </c>
      <c r="I25" s="373"/>
      <c r="J25" s="374">
        <f>SUMIF(87:87,I26,88:88)-SUMIF(87:87,C26,88:88)+100</f>
        <v>103</v>
      </c>
      <c r="K25" s="540">
        <v>3</v>
      </c>
      <c r="L25" s="2492"/>
      <c r="M25" s="2487"/>
      <c r="N25" s="2487"/>
      <c r="O25" s="2487"/>
      <c r="P25" s="3387"/>
      <c r="Q25" s="1262" t="str">
        <f>B25</f>
        <v>毗邻道路的类型与等级</v>
      </c>
      <c r="R25" s="667" t="s">
        <v>14</v>
      </c>
      <c r="S25" s="668">
        <f>F25</f>
        <v>100</v>
      </c>
      <c r="T25" s="667" t="s">
        <v>14</v>
      </c>
      <c r="U25" s="668">
        <f>H25</f>
        <v>103</v>
      </c>
      <c r="V25" s="667" t="s">
        <v>14</v>
      </c>
      <c r="W25" s="668">
        <f>J25</f>
        <v>103</v>
      </c>
      <c r="X25" s="1264"/>
      <c r="Y25" s="3389"/>
      <c r="Z25" s="1263" t="str">
        <f>Q25</f>
        <v>毗邻道路的类型与等级</v>
      </c>
      <c r="AA25" s="1263">
        <f t="shared" si="3"/>
        <v>1</v>
      </c>
      <c r="AB25" s="1263">
        <f t="shared" si="4"/>
        <v>0.970873786407767</v>
      </c>
      <c r="AC25" s="1811">
        <f t="shared" si="5"/>
        <v>0.970873786407767</v>
      </c>
    </row>
    <row r="26" spans="1:29" ht="15">
      <c r="A26" s="348"/>
      <c r="B26" s="401"/>
      <c r="C26" s="558" t="s">
        <v>3493</v>
      </c>
      <c r="D26" s="374"/>
      <c r="E26" s="542" t="s">
        <v>3493</v>
      </c>
      <c r="F26" s="374"/>
      <c r="G26" s="558" t="s">
        <v>3491</v>
      </c>
      <c r="H26" s="374"/>
      <c r="I26" s="542" t="s">
        <v>3491</v>
      </c>
      <c r="J26" s="374"/>
      <c r="K26" s="541"/>
      <c r="L26" s="2492"/>
      <c r="M26" s="2487"/>
      <c r="N26" s="2487"/>
      <c r="O26" s="2487"/>
      <c r="P26" s="3387"/>
      <c r="Q26" s="1262"/>
      <c r="R26" s="667"/>
      <c r="S26" s="668"/>
      <c r="T26" s="667"/>
      <c r="U26" s="668"/>
      <c r="V26" s="667"/>
      <c r="W26" s="668"/>
      <c r="X26" s="1264"/>
      <c r="Y26" s="3389"/>
      <c r="Z26" s="1263"/>
      <c r="AA26" s="1263">
        <v>1</v>
      </c>
      <c r="AB26" s="1263">
        <v>1</v>
      </c>
      <c r="AC26" s="1811">
        <v>1</v>
      </c>
    </row>
    <row r="27" spans="1:29" ht="15">
      <c r="A27" s="367"/>
      <c r="B27" s="401" t="s">
        <v>1783</v>
      </c>
      <c r="C27" s="558" t="s">
        <v>3487</v>
      </c>
      <c r="D27" s="374">
        <v>100</v>
      </c>
      <c r="E27" s="542" t="s">
        <v>3485</v>
      </c>
      <c r="F27" s="374">
        <f>SUMIF(89:89,E27,90:90)-SUMIF(89:89,C27,90:90)+100</f>
        <v>105</v>
      </c>
      <c r="G27" s="558" t="s">
        <v>3489</v>
      </c>
      <c r="H27" s="374">
        <f>SUMIF(89:89,G27,90:90)-SUMIF(89:89,C27,90:90)+100</f>
        <v>95</v>
      </c>
      <c r="I27" s="542" t="s">
        <v>3485</v>
      </c>
      <c r="J27" s="374">
        <f>SUMIF(89:89,I27,90:90)-SUMIF(89:89,C27,90:90)+100</f>
        <v>105</v>
      </c>
      <c r="K27" s="538">
        <v>5</v>
      </c>
      <c r="L27" s="2492"/>
      <c r="M27" s="2487"/>
      <c r="N27" s="2487"/>
      <c r="O27" s="2487"/>
      <c r="P27" s="3387"/>
      <c r="Q27" s="1262" t="str">
        <f t="shared" ref="Q27:Q47" si="11">B27</f>
        <v>楼层</v>
      </c>
      <c r="R27" s="667" t="s">
        <v>14</v>
      </c>
      <c r="S27" s="668">
        <f>F27</f>
        <v>105</v>
      </c>
      <c r="T27" s="667" t="s">
        <v>14</v>
      </c>
      <c r="U27" s="668">
        <f>H27</f>
        <v>95</v>
      </c>
      <c r="V27" s="667" t="s">
        <v>14</v>
      </c>
      <c r="W27" s="668">
        <f>J27</f>
        <v>105</v>
      </c>
      <c r="X27" s="1264"/>
      <c r="Y27" s="3389"/>
      <c r="Z27" s="1263" t="str">
        <f>Q27</f>
        <v>楼层</v>
      </c>
      <c r="AA27" s="1263">
        <f t="shared" si="3"/>
        <v>0.95238095238095233</v>
      </c>
      <c r="AB27" s="1263">
        <f t="shared" si="4"/>
        <v>1.0526315789473684</v>
      </c>
      <c r="AC27" s="1811">
        <f t="shared" si="5"/>
        <v>0.95238095238095233</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7"/>
      <c r="Q28" s="530" t="str">
        <f t="shared" si="11"/>
        <v>朝向</v>
      </c>
      <c r="R28" s="664" t="s">
        <v>14</v>
      </c>
      <c r="S28" s="665">
        <f>F28</f>
        <v>100</v>
      </c>
      <c r="T28" s="664" t="s">
        <v>14</v>
      </c>
      <c r="U28" s="665">
        <f>H28</f>
        <v>100</v>
      </c>
      <c r="V28" s="664" t="s">
        <v>14</v>
      </c>
      <c r="W28" s="665">
        <f>J28</f>
        <v>100</v>
      </c>
      <c r="X28" s="666"/>
      <c r="Y28" s="3389"/>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7"/>
      <c r="Q29" s="1262">
        <f t="shared" si="11"/>
        <v>111</v>
      </c>
      <c r="R29" s="667" t="s">
        <v>14</v>
      </c>
      <c r="S29" s="668">
        <f t="shared" ref="S29:S47" si="12">F29</f>
        <v>100</v>
      </c>
      <c r="T29" s="667" t="s">
        <v>14</v>
      </c>
      <c r="U29" s="668">
        <f t="shared" ref="U29:U47" si="13">H29</f>
        <v>100</v>
      </c>
      <c r="V29" s="667" t="s">
        <v>14</v>
      </c>
      <c r="W29" s="668">
        <f t="shared" ref="W29:W47" si="14">J29</f>
        <v>100</v>
      </c>
      <c r="X29" s="1264"/>
      <c r="Y29" s="3389"/>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7"/>
      <c r="Q30" s="1262">
        <f t="shared" si="11"/>
        <v>111</v>
      </c>
      <c r="R30" s="667" t="s">
        <v>14</v>
      </c>
      <c r="S30" s="668">
        <f t="shared" si="12"/>
        <v>100</v>
      </c>
      <c r="T30" s="667" t="s">
        <v>14</v>
      </c>
      <c r="U30" s="668">
        <f t="shared" si="13"/>
        <v>100</v>
      </c>
      <c r="V30" s="667" t="s">
        <v>14</v>
      </c>
      <c r="W30" s="668">
        <f t="shared" si="14"/>
        <v>100</v>
      </c>
      <c r="X30" s="1264"/>
      <c r="Y30" s="3389"/>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7"/>
      <c r="Q31" s="1262">
        <f t="shared" si="11"/>
        <v>111</v>
      </c>
      <c r="R31" s="667" t="s">
        <v>14</v>
      </c>
      <c r="S31" s="668">
        <f t="shared" si="12"/>
        <v>100</v>
      </c>
      <c r="T31" s="667" t="s">
        <v>14</v>
      </c>
      <c r="U31" s="668">
        <f t="shared" si="13"/>
        <v>100</v>
      </c>
      <c r="V31" s="667" t="s">
        <v>14</v>
      </c>
      <c r="W31" s="668">
        <f t="shared" si="14"/>
        <v>100</v>
      </c>
      <c r="X31" s="1264"/>
      <c r="Y31" s="3389"/>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7"/>
      <c r="Q32" s="1262">
        <f t="shared" si="11"/>
        <v>111</v>
      </c>
      <c r="R32" s="667" t="s">
        <v>14</v>
      </c>
      <c r="S32" s="668">
        <f t="shared" si="12"/>
        <v>100</v>
      </c>
      <c r="T32" s="667" t="s">
        <v>14</v>
      </c>
      <c r="U32" s="668">
        <f t="shared" si="13"/>
        <v>100</v>
      </c>
      <c r="V32" s="667" t="s">
        <v>14</v>
      </c>
      <c r="W32" s="668">
        <f t="shared" si="14"/>
        <v>100</v>
      </c>
      <c r="X32" s="1264"/>
      <c r="Y32" s="3389"/>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0" t="s">
        <v>1696</v>
      </c>
      <c r="Q33" s="1262" t="str">
        <f t="shared" si="11"/>
        <v>建筑类型</v>
      </c>
      <c r="R33" s="667" t="s">
        <v>14</v>
      </c>
      <c r="S33" s="668">
        <f t="shared" si="12"/>
        <v>100</v>
      </c>
      <c r="T33" s="667" t="s">
        <v>14</v>
      </c>
      <c r="U33" s="668">
        <f t="shared" si="13"/>
        <v>100</v>
      </c>
      <c r="V33" s="667" t="s">
        <v>14</v>
      </c>
      <c r="W33" s="668">
        <f t="shared" si="14"/>
        <v>100</v>
      </c>
      <c r="X33" s="1264"/>
      <c r="Y33" s="3393" t="s">
        <v>1696</v>
      </c>
      <c r="Z33" s="1263" t="str">
        <f t="shared" si="15"/>
        <v>建筑类型</v>
      </c>
      <c r="AA33" s="1263">
        <f t="shared" si="3"/>
        <v>1</v>
      </c>
      <c r="AB33" s="1263">
        <f t="shared" si="4"/>
        <v>1</v>
      </c>
      <c r="AC33" s="1811">
        <f t="shared" si="5"/>
        <v>1</v>
      </c>
    </row>
    <row r="34" spans="1:29" s="408" customFormat="1" ht="15">
      <c r="A34" s="406"/>
      <c r="B34" s="364" t="s">
        <v>1697</v>
      </c>
      <c r="C34" s="407">
        <f>清单!F7</f>
        <v>388.61</v>
      </c>
      <c r="D34" s="119">
        <v>100</v>
      </c>
      <c r="E34" s="369">
        <v>1380.21</v>
      </c>
      <c r="F34" s="364">
        <f>LOOKUP(E34,104:104,105:105)-LOOKUP(C34,104:104,105:105)+100</f>
        <v>98</v>
      </c>
      <c r="G34" s="368">
        <v>106.14</v>
      </c>
      <c r="H34" s="119">
        <f>LOOKUP(G34,104:104,105:105)-LOOKUP(C34,104:104,105:105)+100</f>
        <v>101</v>
      </c>
      <c r="I34" s="368">
        <v>160</v>
      </c>
      <c r="J34" s="119">
        <f>LOOKUP(I34,104:104,105:105)-LOOKUP(C34,104:104,105:105)+100</f>
        <v>101</v>
      </c>
      <c r="K34" s="539"/>
      <c r="L34" s="2491"/>
      <c r="M34" s="2493"/>
      <c r="N34" s="2493"/>
      <c r="O34" s="2493"/>
      <c r="P34" s="3391"/>
      <c r="Q34" s="531" t="str">
        <f t="shared" si="11"/>
        <v>项目建筑规模</v>
      </c>
      <c r="R34" s="669" t="s">
        <v>14</v>
      </c>
      <c r="S34" s="670">
        <f t="shared" si="12"/>
        <v>98</v>
      </c>
      <c r="T34" s="669" t="s">
        <v>14</v>
      </c>
      <c r="U34" s="670">
        <f t="shared" si="13"/>
        <v>101</v>
      </c>
      <c r="V34" s="669" t="s">
        <v>14</v>
      </c>
      <c r="W34" s="670">
        <f t="shared" si="14"/>
        <v>101</v>
      </c>
      <c r="X34" s="671"/>
      <c r="Y34" s="3393"/>
      <c r="Z34" s="672" t="str">
        <f t="shared" si="15"/>
        <v>项目建筑规模</v>
      </c>
      <c r="AA34" s="1263">
        <f t="shared" si="3"/>
        <v>1.0204081632653061</v>
      </c>
      <c r="AB34" s="1263">
        <f t="shared" si="4"/>
        <v>0.99009900990099009</v>
      </c>
      <c r="AC34" s="1811">
        <f t="shared" si="5"/>
        <v>0.99009900990099009</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2</v>
      </c>
      <c r="L35" s="2492"/>
      <c r="M35" s="2487"/>
      <c r="N35" s="2487"/>
      <c r="O35" s="2487"/>
      <c r="P35" s="3391"/>
      <c r="Q35" s="1262" t="str">
        <f t="shared" si="11"/>
        <v>建筑结构</v>
      </c>
      <c r="R35" s="667" t="s">
        <v>14</v>
      </c>
      <c r="S35" s="668">
        <f t="shared" si="12"/>
        <v>100</v>
      </c>
      <c r="T35" s="667" t="s">
        <v>14</v>
      </c>
      <c r="U35" s="668">
        <f t="shared" si="13"/>
        <v>100</v>
      </c>
      <c r="V35" s="667" t="s">
        <v>14</v>
      </c>
      <c r="W35" s="668">
        <f t="shared" si="14"/>
        <v>100</v>
      </c>
      <c r="X35" s="1264"/>
      <c r="Y35" s="3393"/>
      <c r="Z35" s="1263" t="str">
        <f t="shared" si="15"/>
        <v>建筑结构</v>
      </c>
      <c r="AA35" s="1263">
        <f t="shared" si="3"/>
        <v>1</v>
      </c>
      <c r="AB35" s="1263">
        <f t="shared" si="4"/>
        <v>1</v>
      </c>
      <c r="AC35" s="1811">
        <f t="shared" si="5"/>
        <v>1</v>
      </c>
    </row>
    <row r="36" spans="1:29" ht="15">
      <c r="A36" s="409"/>
      <c r="B36" s="364" t="s">
        <v>1785</v>
      </c>
      <c r="C36" s="399" t="s">
        <v>3476</v>
      </c>
      <c r="D36" s="374">
        <v>100</v>
      </c>
      <c r="E36" s="399" t="s">
        <v>3476</v>
      </c>
      <c r="F36" s="400">
        <f>SUMIF(108:108,E36,109:109)-SUMIF(108:108,C36,109:109)+100</f>
        <v>100</v>
      </c>
      <c r="G36" s="399" t="s">
        <v>3476</v>
      </c>
      <c r="H36" s="374">
        <f>SUMIF(108:108,G36,109:109)-SUMIF(108:108,C36,109:109)+100</f>
        <v>100</v>
      </c>
      <c r="I36" s="399" t="s">
        <v>3476</v>
      </c>
      <c r="J36" s="374">
        <f>SUMIF(108:108,I36,109:109)-SUMIF(108:108,C36,109:109)+100</f>
        <v>100</v>
      </c>
      <c r="K36" s="538">
        <v>2</v>
      </c>
      <c r="L36" s="2492"/>
      <c r="M36" s="2487"/>
      <c r="N36" s="2487"/>
      <c r="O36" s="2487"/>
      <c r="P36" s="3391"/>
      <c r="Q36" s="1262" t="str">
        <f t="shared" si="11"/>
        <v>公共部分装修</v>
      </c>
      <c r="R36" s="667" t="s">
        <v>14</v>
      </c>
      <c r="S36" s="668">
        <f t="shared" si="12"/>
        <v>100</v>
      </c>
      <c r="T36" s="667" t="s">
        <v>14</v>
      </c>
      <c r="U36" s="668">
        <f t="shared" si="13"/>
        <v>100</v>
      </c>
      <c r="V36" s="667" t="s">
        <v>14</v>
      </c>
      <c r="W36" s="668">
        <f t="shared" si="14"/>
        <v>100</v>
      </c>
      <c r="X36" s="1264"/>
      <c r="Y36" s="3393"/>
      <c r="Z36" s="1263" t="str">
        <f t="shared" si="15"/>
        <v>公共部分装修</v>
      </c>
      <c r="AA36" s="1263">
        <f t="shared" si="3"/>
        <v>1</v>
      </c>
      <c r="AB36" s="1263">
        <f t="shared" si="4"/>
        <v>1</v>
      </c>
      <c r="AC36" s="1811">
        <f t="shared" si="5"/>
        <v>1</v>
      </c>
    </row>
    <row r="37" spans="1:29" ht="15">
      <c r="A37" s="409"/>
      <c r="B37" s="364" t="s">
        <v>1786</v>
      </c>
      <c r="C37" s="411">
        <v>0.8</v>
      </c>
      <c r="D37" s="374">
        <v>100</v>
      </c>
      <c r="E37" s="411">
        <v>0.9</v>
      </c>
      <c r="F37" s="400">
        <f>LOOKUP(E37,111:111,112:112)-LOOKUP(C37,111:111,112:112)+100</f>
        <v>102</v>
      </c>
      <c r="G37" s="411">
        <v>0.9</v>
      </c>
      <c r="H37" s="400">
        <f>LOOKUP(G37,111:111,112:112)-LOOKUP(C37,111:111,112:112)+100</f>
        <v>102</v>
      </c>
      <c r="I37" s="411">
        <v>0.9</v>
      </c>
      <c r="J37" s="374">
        <f>LOOKUP(I37,111:111,112:112)-LOOKUP(C37,111:111,112:112)+100</f>
        <v>102</v>
      </c>
      <c r="K37" s="538">
        <v>2</v>
      </c>
      <c r="L37" s="2492"/>
      <c r="M37" s="2487"/>
      <c r="N37" s="2487"/>
      <c r="O37" s="2487"/>
      <c r="P37" s="3391"/>
      <c r="Q37" s="1262" t="str">
        <f t="shared" si="11"/>
        <v>成新度</v>
      </c>
      <c r="R37" s="667" t="s">
        <v>14</v>
      </c>
      <c r="S37" s="668">
        <f t="shared" si="12"/>
        <v>102</v>
      </c>
      <c r="T37" s="667" t="s">
        <v>14</v>
      </c>
      <c r="U37" s="668">
        <f t="shared" si="13"/>
        <v>102</v>
      </c>
      <c r="V37" s="667" t="s">
        <v>14</v>
      </c>
      <c r="W37" s="668">
        <f t="shared" si="14"/>
        <v>102</v>
      </c>
      <c r="X37" s="1264"/>
      <c r="Y37" s="3393"/>
      <c r="Z37" s="1263" t="str">
        <f t="shared" si="15"/>
        <v>成新度</v>
      </c>
      <c r="AA37" s="1263">
        <f t="shared" si="3"/>
        <v>0.98039215686274506</v>
      </c>
      <c r="AB37" s="1263">
        <f t="shared" si="4"/>
        <v>0.98039215686274506</v>
      </c>
      <c r="AC37" s="1811">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1" t="s">
        <v>1696</v>
      </c>
      <c r="Q39" s="1262" t="str">
        <f t="shared" si="11"/>
        <v>物业管理</v>
      </c>
      <c r="R39" s="667" t="s">
        <v>14</v>
      </c>
      <c r="S39" s="668">
        <f t="shared" si="12"/>
        <v>100</v>
      </c>
      <c r="T39" s="667" t="s">
        <v>14</v>
      </c>
      <c r="U39" s="668">
        <f t="shared" si="13"/>
        <v>100</v>
      </c>
      <c r="V39" s="667" t="s">
        <v>14</v>
      </c>
      <c r="W39" s="668">
        <f t="shared" si="14"/>
        <v>100</v>
      </c>
      <c r="X39" s="1264"/>
      <c r="Y39" s="339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1"/>
      <c r="Q40" s="1262" t="str">
        <f t="shared" si="11"/>
        <v>市政基础设施</v>
      </c>
      <c r="R40" s="667" t="s">
        <v>14</v>
      </c>
      <c r="S40" s="668">
        <f t="shared" si="12"/>
        <v>100</v>
      </c>
      <c r="T40" s="667" t="s">
        <v>14</v>
      </c>
      <c r="U40" s="668">
        <f t="shared" si="13"/>
        <v>100</v>
      </c>
      <c r="V40" s="667" t="s">
        <v>14</v>
      </c>
      <c r="W40" s="668">
        <f t="shared" si="14"/>
        <v>100</v>
      </c>
      <c r="X40" s="1264"/>
      <c r="Y40" s="339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1"/>
      <c r="Q41" s="1262" t="str">
        <f t="shared" si="11"/>
        <v>层高</v>
      </c>
      <c r="R41" s="667" t="s">
        <v>14</v>
      </c>
      <c r="S41" s="668">
        <f t="shared" si="12"/>
        <v>100</v>
      </c>
      <c r="T41" s="667" t="s">
        <v>14</v>
      </c>
      <c r="U41" s="668">
        <f t="shared" si="13"/>
        <v>100</v>
      </c>
      <c r="V41" s="667" t="s">
        <v>14</v>
      </c>
      <c r="W41" s="668">
        <f t="shared" si="14"/>
        <v>100</v>
      </c>
      <c r="X41" s="1264"/>
      <c r="Y41" s="339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3">
        <f t="shared" si="3"/>
        <v>1</v>
      </c>
      <c r="AB42" s="1263">
        <f t="shared" si="4"/>
        <v>1</v>
      </c>
      <c r="AC42" s="1811">
        <f t="shared" si="5"/>
        <v>1</v>
      </c>
    </row>
    <row r="43" spans="1:29" ht="15">
      <c r="A43" s="409"/>
      <c r="B43" s="364" t="s">
        <v>1792</v>
      </c>
      <c r="C43" s="399" t="s">
        <v>3479</v>
      </c>
      <c r="D43" s="374">
        <v>100</v>
      </c>
      <c r="E43" s="399" t="s">
        <v>3481</v>
      </c>
      <c r="F43" s="400">
        <f>SUMIF(123:123,E43,124:124)-SUMIF(123:123,C43,124:124)+100</f>
        <v>98</v>
      </c>
      <c r="G43" s="399" t="s">
        <v>3479</v>
      </c>
      <c r="H43" s="374">
        <f>SUMIF(123:123,G43,124:124)-SUMIF(123:123,C43,124:124)+100</f>
        <v>100</v>
      </c>
      <c r="I43" s="399" t="s">
        <v>3479</v>
      </c>
      <c r="J43" s="374">
        <f>SUMIF(123:123,I43,124:124)-SUMIF(123:123,C43,124:124)+100</f>
        <v>100</v>
      </c>
      <c r="K43" s="538">
        <v>2</v>
      </c>
      <c r="L43" s="2492"/>
      <c r="M43" s="2487"/>
      <c r="N43" s="2487"/>
      <c r="O43" s="2487"/>
      <c r="P43" s="3391"/>
      <c r="Q43" s="1262" t="str">
        <f t="shared" si="11"/>
        <v>内部装修</v>
      </c>
      <c r="R43" s="667" t="s">
        <v>14</v>
      </c>
      <c r="S43" s="668">
        <f t="shared" si="12"/>
        <v>98</v>
      </c>
      <c r="T43" s="667" t="s">
        <v>14</v>
      </c>
      <c r="U43" s="668">
        <f t="shared" si="13"/>
        <v>100</v>
      </c>
      <c r="V43" s="667" t="s">
        <v>14</v>
      </c>
      <c r="W43" s="668">
        <f t="shared" si="14"/>
        <v>100</v>
      </c>
      <c r="X43" s="1264"/>
      <c r="Y43" s="3393"/>
      <c r="Z43" s="1263" t="str">
        <f t="shared" si="15"/>
        <v>内部装修</v>
      </c>
      <c r="AA43" s="1263">
        <f t="shared" si="3"/>
        <v>1.0204081632653061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v>2</v>
      </c>
      <c r="L44" s="2492"/>
      <c r="M44" s="2487"/>
      <c r="N44" s="2487"/>
      <c r="O44" s="2487"/>
      <c r="P44" s="3391"/>
      <c r="Q44" s="1262" t="str">
        <f t="shared" si="11"/>
        <v>内部装修维护情况</v>
      </c>
      <c r="R44" s="667" t="s">
        <v>14</v>
      </c>
      <c r="S44" s="668">
        <f t="shared" si="12"/>
        <v>100</v>
      </c>
      <c r="T44" s="667" t="s">
        <v>14</v>
      </c>
      <c r="U44" s="668">
        <f t="shared" si="13"/>
        <v>100</v>
      </c>
      <c r="V44" s="667" t="s">
        <v>14</v>
      </c>
      <c r="W44" s="668">
        <f t="shared" si="14"/>
        <v>100</v>
      </c>
      <c r="X44" s="1264"/>
      <c r="Y44" s="3393"/>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1"/>
      <c r="Q46" s="1262">
        <f t="shared" si="11"/>
        <v>111</v>
      </c>
      <c r="R46" s="667" t="s">
        <v>14</v>
      </c>
      <c r="S46" s="668">
        <f t="shared" si="12"/>
        <v>100</v>
      </c>
      <c r="T46" s="667" t="s">
        <v>14</v>
      </c>
      <c r="U46" s="668">
        <f t="shared" si="13"/>
        <v>100</v>
      </c>
      <c r="V46" s="667" t="s">
        <v>14</v>
      </c>
      <c r="W46" s="668">
        <f t="shared" si="14"/>
        <v>100</v>
      </c>
      <c r="X46" s="1264"/>
      <c r="Y46" s="339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2"/>
      <c r="Q47" s="1262">
        <f t="shared" si="11"/>
        <v>111</v>
      </c>
      <c r="R47" s="667" t="s">
        <v>14</v>
      </c>
      <c r="S47" s="668">
        <f t="shared" si="12"/>
        <v>100</v>
      </c>
      <c r="T47" s="667" t="s">
        <v>14</v>
      </c>
      <c r="U47" s="668">
        <f t="shared" si="13"/>
        <v>100</v>
      </c>
      <c r="V47" s="667" t="s">
        <v>14</v>
      </c>
      <c r="W47" s="668">
        <f t="shared" si="14"/>
        <v>100</v>
      </c>
      <c r="X47" s="1264"/>
      <c r="Y47" s="3394"/>
      <c r="Z47" s="1263">
        <f t="shared" si="15"/>
        <v>111</v>
      </c>
      <c r="AA47" s="1263">
        <f t="shared" si="3"/>
        <v>1</v>
      </c>
      <c r="AB47" s="1263">
        <f t="shared" si="4"/>
        <v>1</v>
      </c>
      <c r="AC47" s="1811">
        <f t="shared" si="5"/>
        <v>1</v>
      </c>
    </row>
    <row r="48" spans="1:29" ht="15">
      <c r="A48" s="416" t="s">
        <v>1708</v>
      </c>
      <c r="B48" s="417"/>
      <c r="C48" s="1080" t="s">
        <v>0</v>
      </c>
      <c r="D48" s="418"/>
      <c r="E48" s="419">
        <v>20000</v>
      </c>
      <c r="F48" s="420"/>
      <c r="G48" s="421">
        <v>25439</v>
      </c>
      <c r="H48" s="422"/>
      <c r="I48" s="419">
        <v>25000</v>
      </c>
      <c r="J48" s="422"/>
      <c r="K48" s="674"/>
      <c r="L48" s="2494"/>
      <c r="M48" s="2487"/>
      <c r="N48" s="2487"/>
      <c r="O48" s="2487"/>
      <c r="P48" s="3366" t="str">
        <f>A48</f>
        <v>成交单价（元/平方米）</v>
      </c>
      <c r="Q48" s="3395"/>
      <c r="R48" s="3383">
        <f>E48</f>
        <v>20000</v>
      </c>
      <c r="S48" s="3383"/>
      <c r="T48" s="3383">
        <f>G48</f>
        <v>25439</v>
      </c>
      <c r="U48" s="3383"/>
      <c r="V48" s="3383">
        <f>I48</f>
        <v>25000</v>
      </c>
      <c r="W48" s="3383"/>
      <c r="X48" s="385"/>
      <c r="Y48" s="673"/>
      <c r="Z48" s="385"/>
      <c r="AA48" s="385"/>
      <c r="AB48" s="385"/>
      <c r="AC48" s="555"/>
    </row>
    <row r="49" spans="1:29" ht="15.75" thickBot="1">
      <c r="A49" s="423" t="s">
        <v>1793</v>
      </c>
      <c r="B49" s="424"/>
      <c r="C49" s="1081">
        <f>R50</f>
        <v>18803</v>
      </c>
      <c r="D49" s="2140" t="s">
        <v>2137</v>
      </c>
      <c r="E49" s="1082">
        <f>R49</f>
        <v>17470</v>
      </c>
      <c r="F49" s="2141"/>
      <c r="G49" s="1081">
        <f>T49</f>
        <v>20612</v>
      </c>
      <c r="H49" s="2141"/>
      <c r="I49" s="1082">
        <f>V49</f>
        <v>18328</v>
      </c>
      <c r="J49" s="2141"/>
      <c r="K49" s="2143">
        <f>F49+H49+J49</f>
        <v>0</v>
      </c>
      <c r="L49" s="2494"/>
      <c r="M49" s="2487"/>
      <c r="N49" s="2487"/>
      <c r="O49" s="2487"/>
      <c r="P49" s="3366" t="str">
        <f>A49</f>
        <v>比较价值（元/平方米）</v>
      </c>
      <c r="Q49" s="3395"/>
      <c r="R49" s="3383">
        <f>IF(F1="售价",ROUND(PRODUCT(R48,AA7:AA47),0),ROUND(PRODUCT(R48,AA7:AA47),1))</f>
        <v>17470</v>
      </c>
      <c r="S49" s="3383"/>
      <c r="T49" s="3383">
        <f>IF(F1="售价",ROUND(PRODUCT(T48,AB7:AB47),0),ROUND(PRODUCT(T48,AB7:AB47),1))</f>
        <v>20612</v>
      </c>
      <c r="U49" s="3383"/>
      <c r="V49" s="3383">
        <f>IF(F1="售价",ROUND(PRODUCT(V48,AC7:AC47),0),ROUND(PRODUCT(V48,AC7:AC47),1))</f>
        <v>18328</v>
      </c>
      <c r="W49" s="3383"/>
      <c r="X49" s="385"/>
      <c r="Y49" s="385"/>
      <c r="Z49" s="385"/>
      <c r="AA49" s="385"/>
      <c r="AB49" s="385"/>
      <c r="AC49" s="555"/>
    </row>
    <row r="50" spans="1:29" ht="15.75" thickBot="1">
      <c r="A50" s="427" t="s">
        <v>1794</v>
      </c>
      <c r="B50" s="428"/>
      <c r="C50" s="351">
        <f>R50</f>
        <v>18803</v>
      </c>
      <c r="D50" s="351"/>
      <c r="E50" s="351"/>
      <c r="F50" s="351"/>
      <c r="G50" s="351"/>
      <c r="H50" s="351"/>
      <c r="I50" s="351"/>
      <c r="J50" s="429"/>
      <c r="K50" s="675"/>
      <c r="L50" s="2494"/>
      <c r="M50" s="2487"/>
      <c r="N50" s="2487"/>
      <c r="O50" s="2487"/>
      <c r="P50" s="3396" t="str">
        <f>A50</f>
        <v>估价对象XX用房的比较价值（楼面单价，元/平方米）</v>
      </c>
      <c r="Q50" s="3397"/>
      <c r="R50" s="3398">
        <f>IF(F1="售价",ROUND(IF(D49="简单平均",AVERAGE(R49:V49),R49*F49+T49*H49+V49*J49),0),ROUND(IF(D49="简单平均",AVERAGE(R49:V49),R49*F49+T49*H49+V49*J49),1))</f>
        <v>18803</v>
      </c>
      <c r="S50" s="3398"/>
      <c r="T50" s="3398"/>
      <c r="U50" s="3398"/>
      <c r="V50" s="3398"/>
      <c r="W50" s="3398"/>
      <c r="X50" s="1797"/>
      <c r="Y50" s="1797"/>
      <c r="Z50" s="1797"/>
      <c r="AA50" s="1797"/>
      <c r="AB50" s="1797"/>
      <c r="AC50" s="1798"/>
    </row>
    <row r="51" spans="1:29">
      <c r="A51" s="2487"/>
      <c r="B51" s="2487"/>
      <c r="C51" s="2487">
        <v>2010</v>
      </c>
      <c r="D51" s="2487"/>
      <c r="E51" s="2487" t="s">
        <v>3467</v>
      </c>
      <c r="F51" s="2487"/>
      <c r="G51" s="2487">
        <v>2018</v>
      </c>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0.14481969089868341</v>
      </c>
      <c r="F53" s="435" t="str">
        <f>IF(OR(E53&gt;=0.3,E53&lt;=-0.3),"超过30%","")</f>
        <v/>
      </c>
      <c r="G53" s="434">
        <f>IF(G48&lt;G49,G49/G48-1,G48/G49-1)</f>
        <v>0.23418397050261985</v>
      </c>
      <c r="H53" s="435" t="str">
        <f>IF(OR(G53&gt;=0.3,G53&lt;=-0.3),"超过30%","")</f>
        <v/>
      </c>
      <c r="I53" s="434">
        <f>IF(I48&lt;I49,I49/I48-1,I48/I49-1)</f>
        <v>0.36403317328677431</v>
      </c>
      <c r="J53" s="435" t="str">
        <f>IF(OR(I53&gt;=0.3,I53&lt;=-0.3),"超过30%","")</f>
        <v>超过30%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0.17985117344018309</v>
      </c>
      <c r="F54" s="435" t="str">
        <f>IF(OR(E54&gt;=0.2,E54&lt;=-0.2),"超过20%","")</f>
        <v/>
      </c>
      <c r="G54" s="434">
        <f>IF(G49&lt;I49,I49/G49-1,G49/I49-1)</f>
        <v>0.12461807071147968</v>
      </c>
      <c r="H54" s="435" t="str">
        <f>IF(OR(G54&gt;=0.2,G54&lt;=-0.2),"超过20%","")</f>
        <v/>
      </c>
      <c r="I54" s="434">
        <f>IF(I49&lt;E49,E49/I49-1,I49/E49-1)</f>
        <v>4.9112764739553505E-2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0.27194999999999991</v>
      </c>
      <c r="F55" s="435" t="str">
        <f>IF(OR(E55&gt;=0.3,E55&lt;=-0.3),"超过30%","")</f>
        <v/>
      </c>
      <c r="G55" s="434">
        <f>IF(G48&lt;I48,I48/G48-1,G48/I48-1)</f>
        <v>1.756000000000002E-2</v>
      </c>
      <c r="H55" s="435" t="str">
        <f>IF(OR(G55&gt;=0.3,G55&lt;=-0.3),"超过30%","")</f>
        <v/>
      </c>
      <c r="I55" s="434">
        <f>IF(I48&lt;E48,E48/I48-1,I48/E48-1)</f>
        <v>0.25</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57" t="s">
        <v>3460</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105</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办公（工业）</v>
      </c>
      <c r="D64" s="3159" t="s">
        <v>3463</v>
      </c>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v>110</v>
      </c>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3468</v>
      </c>
      <c r="D66" s="513" t="s">
        <v>3469</v>
      </c>
      <c r="E66" s="513" t="s">
        <v>3470</v>
      </c>
      <c r="F66" s="513" t="s">
        <v>3465</v>
      </c>
      <c r="G66" s="513"/>
      <c r="H66" s="513"/>
      <c r="I66" s="513"/>
      <c r="J66" s="513"/>
      <c r="K66" s="514"/>
      <c r="L66" s="515"/>
      <c r="M66" s="516"/>
      <c r="N66" s="2521">
        <v>3</v>
      </c>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f>C67-$N$66</f>
        <v>97</v>
      </c>
      <c r="E67" s="467">
        <f t="shared" ref="E67:F67" si="17">D67-$N$66</f>
        <v>94</v>
      </c>
      <c r="F67" s="467">
        <f t="shared" si="17"/>
        <v>91</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60" t="s">
        <v>3492</v>
      </c>
      <c r="D87" s="3160" t="s">
        <v>3494</v>
      </c>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97</v>
      </c>
      <c r="E88" s="475">
        <f t="shared" si="20"/>
        <v>94</v>
      </c>
      <c r="F88" s="475">
        <f t="shared" si="20"/>
        <v>91</v>
      </c>
      <c r="G88" s="475">
        <f t="shared" si="20"/>
        <v>88</v>
      </c>
      <c r="H88" s="475">
        <f t="shared" si="20"/>
        <v>85</v>
      </c>
      <c r="I88" s="475">
        <f t="shared" si="20"/>
        <v>82</v>
      </c>
      <c r="J88" s="475">
        <f t="shared" si="20"/>
        <v>79</v>
      </c>
      <c r="K88" s="475">
        <f t="shared" si="20"/>
        <v>76</v>
      </c>
      <c r="L88" s="475">
        <f t="shared" si="20"/>
        <v>73</v>
      </c>
      <c r="M88" s="475">
        <f t="shared" si="20"/>
        <v>70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60" t="s">
        <v>3486</v>
      </c>
      <c r="D89" s="3160" t="s">
        <v>3488</v>
      </c>
      <c r="E89" s="3160" t="s">
        <v>3490</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95</v>
      </c>
      <c r="E90" s="475">
        <f t="shared" ref="E90:M90" si="21">D90-$K27</f>
        <v>90</v>
      </c>
      <c r="F90" s="475">
        <f t="shared" si="21"/>
        <v>85</v>
      </c>
      <c r="G90" s="475">
        <f t="shared" si="21"/>
        <v>80</v>
      </c>
      <c r="H90" s="475">
        <f t="shared" si="21"/>
        <v>75</v>
      </c>
      <c r="I90" s="475">
        <f t="shared" si="21"/>
        <v>70</v>
      </c>
      <c r="J90" s="475">
        <f t="shared" si="21"/>
        <v>65</v>
      </c>
      <c r="K90" s="475">
        <f t="shared" si="21"/>
        <v>60</v>
      </c>
      <c r="L90" s="475">
        <f t="shared" si="21"/>
        <v>55</v>
      </c>
      <c r="M90" s="475">
        <f t="shared" si="21"/>
        <v>50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0(含)-200</v>
      </c>
      <c r="D103" s="509" t="str">
        <f t="shared" ref="D103:L103" si="24">D104&amp;"(含)"&amp;"-"&amp;E104</f>
        <v>200(含)-500</v>
      </c>
      <c r="E103" s="509" t="str">
        <f t="shared" si="24"/>
        <v>500(含)-1000</v>
      </c>
      <c r="F103" s="509" t="str">
        <f t="shared" si="24"/>
        <v>1000(含)-1500</v>
      </c>
      <c r="G103" s="509" t="str">
        <f t="shared" si="24"/>
        <v>1500(含)-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200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67">
        <v>98</v>
      </c>
      <c r="F105" s="467">
        <v>97</v>
      </c>
      <c r="G105" s="467">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60" t="s">
        <v>3475</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60" t="s">
        <v>3477</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60" t="s">
        <v>3477</v>
      </c>
      <c r="D123" s="3160" t="s">
        <v>3478</v>
      </c>
      <c r="E123" s="3160" t="s">
        <v>3480</v>
      </c>
      <c r="F123" s="3161" t="s">
        <v>3482</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40CD5-FA08-4BB3-AB1C-7B2805ACEBC8}">
  <dimension ref="A1"/>
  <sheetViews>
    <sheetView topLeftCell="A13" workbookViewId="0">
      <selection activeCell="B71" sqref="B71"/>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401" t="s">
        <v>694</v>
      </c>
      <c r="C6" s="1010">
        <f ca="1">ROUND(F6*F8*F7*(1-F9)/10000,0)</f>
        <v>0</v>
      </c>
      <c r="D6" s="147" t="s">
        <v>2108</v>
      </c>
      <c r="E6" s="294" t="s">
        <v>696</v>
      </c>
      <c r="F6" s="295">
        <f ca="1">INDIRECT("'数据-取费表'!u"&amp;$G$1)</f>
        <v>0</v>
      </c>
      <c r="G6" s="1291"/>
      <c r="H6" s="1005" t="s">
        <v>398</v>
      </c>
      <c r="I6" s="3401" t="s">
        <v>694</v>
      </c>
      <c r="J6" s="293">
        <f ca="1">ROUND(M6*M8*M7*(1-M9)/10000,0)</f>
        <v>0</v>
      </c>
      <c r="K6" s="147" t="s">
        <v>2107</v>
      </c>
      <c r="L6" s="294" t="s">
        <v>696</v>
      </c>
      <c r="M6" s="295">
        <f ca="1">INDIRECT("'数据-取费表'!z"&amp;$G$1)</f>
        <v>0</v>
      </c>
    </row>
    <row r="7" spans="1:37" ht="18" customHeight="1">
      <c r="A7" s="1009"/>
      <c r="B7" s="3402"/>
      <c r="C7" s="1011"/>
      <c r="D7" s="299"/>
      <c r="E7" s="1012" t="s">
        <v>697</v>
      </c>
      <c r="F7" s="295">
        <f ca="1">IF(INDIRECT("'数据-取费表'!ah"&amp;$G$1)="",INDIRECT("'数据-取费表'!k"&amp;$G$1),INDIRECT("'数据-取费表'!ah"&amp;$G$1))</f>
        <v>0</v>
      </c>
      <c r="G7" s="1291"/>
      <c r="H7" s="296"/>
      <c r="I7" s="3402"/>
      <c r="J7" s="298"/>
      <c r="K7" s="299"/>
      <c r="L7" s="294" t="s">
        <v>697</v>
      </c>
      <c r="M7" s="295">
        <f ca="1">F7</f>
        <v>0</v>
      </c>
    </row>
    <row r="8" spans="1:37" ht="18" customHeight="1">
      <c r="A8" s="296"/>
      <c r="B8" s="3402"/>
      <c r="C8" s="298"/>
      <c r="D8" s="299"/>
      <c r="E8" s="294" t="s">
        <v>698</v>
      </c>
      <c r="F8" s="295">
        <f ca="1">INDIRECT("'数据-取费表'!ai"&amp;$G$1)</f>
        <v>0</v>
      </c>
      <c r="G8" s="1291"/>
      <c r="H8" s="296"/>
      <c r="I8" s="3402"/>
      <c r="J8" s="298"/>
      <c r="K8" s="299"/>
      <c r="L8" s="294" t="s">
        <v>698</v>
      </c>
      <c r="M8" s="295">
        <f ca="1">INDIRECT("'数据-取费表'!ai"&amp;$G$1)</f>
        <v>0</v>
      </c>
    </row>
    <row r="9" spans="1:37" ht="18" customHeight="1">
      <c r="A9" s="296"/>
      <c r="B9" s="3403"/>
      <c r="C9" s="298"/>
      <c r="D9" s="299"/>
      <c r="E9" s="294" t="s">
        <v>699</v>
      </c>
      <c r="F9" s="304">
        <f ca="1">INDIRECT("'数据-取费表'!w"&amp;$G$1)</f>
        <v>0</v>
      </c>
      <c r="G9" s="1291"/>
      <c r="H9" s="296"/>
      <c r="I9" s="340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2305</v>
      </c>
      <c r="I31" s="1304"/>
      <c r="J31" s="1305"/>
      <c r="K31" s="121"/>
      <c r="L31" s="2471"/>
      <c r="M31" s="2472"/>
    </row>
    <row r="32" spans="1:37" ht="18" customHeight="1">
      <c r="A32" s="928" t="s">
        <v>397</v>
      </c>
      <c r="B32" s="294" t="s">
        <v>723</v>
      </c>
      <c r="C32" s="21">
        <f ca="1">IF(项目基本情况!B11="自然人","——",ROUND(C6*F32/(1+'数据-取费表'!C42),2))</f>
        <v>0</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0">
        <f ca="1">ROUND(F49*F51*F50*(1-F52)/10000,0)</f>
        <v>0</v>
      </c>
      <c r="D49" s="991" t="s">
        <v>2109</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4"/>
      <c r="D50" s="899"/>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99" t="s">
        <v>837</v>
      </c>
      <c r="L53" s="3400"/>
      <c r="O53" s="1324" t="s">
        <v>409</v>
      </c>
      <c r="P53" s="1325" t="s">
        <v>838</v>
      </c>
      <c r="Q53" s="1326" t="e">
        <f ca="1">Q47+Q48</f>
        <v>#DIV/0!</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0"/>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v>501</v>
      </c>
      <c r="D1" s="1270" t="s">
        <v>43</v>
      </c>
      <c r="E1" s="1271" t="s">
        <v>678</v>
      </c>
      <c r="F1" s="998">
        <f ca="1">J53</f>
        <v>33</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442.99869999999999</v>
      </c>
      <c r="C2" s="1288" t="s">
        <v>879</v>
      </c>
      <c r="D2" s="1374">
        <f ca="1">C40+J29+L46</f>
        <v>4429987</v>
      </c>
      <c r="E2" s="1294" t="s">
        <v>880</v>
      </c>
      <c r="F2" s="1295"/>
      <c r="G2" s="2478"/>
      <c r="H2" s="2468"/>
      <c r="I2" s="2468"/>
      <c r="J2" s="2468"/>
      <c r="K2" s="2469"/>
      <c r="L2" s="2468"/>
      <c r="M2" s="2468"/>
    </row>
    <row r="3" spans="1:37" ht="18" customHeight="1" thickBot="1">
      <c r="A3" s="1296" t="s">
        <v>881</v>
      </c>
      <c r="B3" s="1297">
        <f ca="1">IF(ISERROR(D2/F43),0,ROUND(D2/F43,0))</f>
        <v>11400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281199</v>
      </c>
      <c r="D5" s="1272" t="s">
        <v>889</v>
      </c>
      <c r="E5" s="1007"/>
      <c r="F5" s="1008"/>
      <c r="G5" s="1291"/>
      <c r="H5" s="291">
        <v>1</v>
      </c>
      <c r="I5" s="292" t="s">
        <v>888</v>
      </c>
      <c r="J5" s="1006">
        <f ca="1">J6+J10+J12</f>
        <v>0</v>
      </c>
      <c r="K5" s="1272" t="s">
        <v>889</v>
      </c>
      <c r="L5" s="1007"/>
      <c r="M5" s="1008"/>
    </row>
    <row r="6" spans="1:37" ht="18" customHeight="1">
      <c r="A6" s="1005" t="s">
        <v>398</v>
      </c>
      <c r="B6" s="3401" t="s">
        <v>694</v>
      </c>
      <c r="C6" s="1010">
        <f ca="1">ROUND(F6*F8*F7*(1-F9),0)</f>
        <v>280848</v>
      </c>
      <c r="D6" s="147" t="s">
        <v>2105</v>
      </c>
      <c r="E6" s="294" t="s">
        <v>696</v>
      </c>
      <c r="F6" s="295">
        <f ca="1">INDIRECT("'数据-取费表'!u"&amp;$G$1)</f>
        <v>2.2000000000000002</v>
      </c>
      <c r="G6" s="1291"/>
      <c r="H6" s="1005" t="s">
        <v>398</v>
      </c>
      <c r="I6" s="3401" t="s">
        <v>694</v>
      </c>
      <c r="J6" s="293">
        <f ca="1">ROUND(M6*M8*M7*(1-M9),0)</f>
        <v>0</v>
      </c>
      <c r="K6" s="1283" t="s">
        <v>2106</v>
      </c>
      <c r="L6" s="294" t="s">
        <v>696</v>
      </c>
      <c r="M6" s="295">
        <f ca="1">INDIRECT("'数据-取费表'!z"&amp;$G$1)</f>
        <v>0</v>
      </c>
    </row>
    <row r="7" spans="1:37" ht="18" customHeight="1">
      <c r="A7" s="1009"/>
      <c r="B7" s="3402"/>
      <c r="C7" s="1011"/>
      <c r="D7" s="299"/>
      <c r="E7" s="1012" t="s">
        <v>697</v>
      </c>
      <c r="F7" s="295">
        <f ca="1">IF(INDIRECT("'数据-取费表'!ah"&amp;$G$1)="",INDIRECT("'数据-取费表'!k"&amp;$G$1),INDIRECT("'数据-取费表'!ah"&amp;$G$1))</f>
        <v>388.61</v>
      </c>
      <c r="G7" s="1291"/>
      <c r="H7" s="296"/>
      <c r="I7" s="3402"/>
      <c r="J7" s="298"/>
      <c r="K7" s="299"/>
      <c r="L7" s="294" t="s">
        <v>697</v>
      </c>
      <c r="M7" s="295">
        <f ca="1">F7</f>
        <v>388.61</v>
      </c>
    </row>
    <row r="8" spans="1:37" ht="18" customHeight="1">
      <c r="A8" s="296"/>
      <c r="B8" s="3402"/>
      <c r="C8" s="298"/>
      <c r="D8" s="299"/>
      <c r="E8" s="294" t="s">
        <v>698</v>
      </c>
      <c r="F8" s="295">
        <f ca="1">INDIRECT("'数据-取费表'!ai"&amp;$G$1)</f>
        <v>365</v>
      </c>
      <c r="G8" s="1291"/>
      <c r="H8" s="296"/>
      <c r="I8" s="3402"/>
      <c r="J8" s="298"/>
      <c r="K8" s="299"/>
      <c r="L8" s="294" t="s">
        <v>698</v>
      </c>
      <c r="M8" s="295">
        <f ca="1">INDIRECT("'数据-取费表'!ai"&amp;$G$1)</f>
        <v>365</v>
      </c>
    </row>
    <row r="9" spans="1:37" ht="18" customHeight="1">
      <c r="A9" s="296"/>
      <c r="B9" s="3403"/>
      <c r="C9" s="298"/>
      <c r="D9" s="299"/>
      <c r="E9" s="294" t="s">
        <v>699</v>
      </c>
      <c r="F9" s="304">
        <f ca="1">INDIRECT("'数据-取费表'!w"&amp;$G$1)</f>
        <v>0.1</v>
      </c>
      <c r="G9" s="1291"/>
      <c r="H9" s="296"/>
      <c r="I9" s="3403"/>
      <c r="J9" s="298"/>
      <c r="K9" s="299"/>
      <c r="L9" s="305" t="s">
        <v>699</v>
      </c>
      <c r="M9" s="306">
        <f ca="1">INDIRECT("'数据-取费表'!ab"&amp;$G$1)</f>
        <v>0</v>
      </c>
    </row>
    <row r="10" spans="1:37" ht="18" customHeight="1">
      <c r="A10" s="1005" t="s">
        <v>402</v>
      </c>
      <c r="B10" s="1273" t="s">
        <v>700</v>
      </c>
      <c r="C10" s="308">
        <f ca="1">ROUND(IF(F10="押一",C6/12*F11,IF(F10="押二",C6/12*2*F11,IF(F10="押三",C6/12*3*F11,C11*F11))),0)</f>
        <v>351</v>
      </c>
      <c r="D10" s="150" t="s">
        <v>2115</v>
      </c>
      <c r="E10" s="305" t="s">
        <v>701</v>
      </c>
      <c r="F10" s="1052" t="s">
        <v>3451</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1902959</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1709884</v>
      </c>
      <c r="D14" s="1256" t="s">
        <v>708</v>
      </c>
      <c r="E14" s="1254"/>
      <c r="F14" s="311"/>
      <c r="G14" s="1291"/>
      <c r="H14" s="928" t="s">
        <v>398</v>
      </c>
      <c r="I14" s="294" t="s">
        <v>709</v>
      </c>
      <c r="J14" s="21">
        <f ca="1">C29</f>
        <v>2378699</v>
      </c>
      <c r="K14" s="12"/>
      <c r="L14" s="759"/>
      <c r="M14" s="760"/>
    </row>
    <row r="15" spans="1:37" s="1303" customFormat="1" ht="18" customHeight="1" thickBot="1">
      <c r="A15" s="928" t="s">
        <v>399</v>
      </c>
      <c r="B15" s="294" t="s">
        <v>710</v>
      </c>
      <c r="C15" s="21">
        <f ca="1">ROUND(C14*F15,0)</f>
        <v>85494</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4757</v>
      </c>
      <c r="K16" s="1023" t="s">
        <v>715</v>
      </c>
      <c r="L16" s="1024"/>
      <c r="M16" s="1008"/>
    </row>
    <row r="17" spans="1:37" s="1303" customFormat="1" ht="18" customHeight="1">
      <c r="A17" s="928" t="s">
        <v>681</v>
      </c>
      <c r="B17" s="294" t="s">
        <v>716</v>
      </c>
      <c r="C17" s="21">
        <f ca="1">ROUND(F17*(F43+INDIRECT("'数据-取费表'!S"&amp;$G$1)),0)</f>
        <v>77722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34198</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1907298</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38146</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4757</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60309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-4757</v>
      </c>
      <c r="K25" s="1031" t="s">
        <v>753</v>
      </c>
      <c r="L25" s="1032"/>
      <c r="M25" s="1033"/>
    </row>
    <row r="26" spans="1:37" ht="18" customHeight="1">
      <c r="A26" s="928" t="s">
        <v>397</v>
      </c>
      <c r="B26" s="294" t="s">
        <v>754</v>
      </c>
      <c r="C26" s="21">
        <f ca="1">ROUND((C19+C20)*F26,0)</f>
        <v>194544</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2378699</v>
      </c>
      <c r="D29" s="1028"/>
      <c r="E29" s="1026"/>
      <c r="F29" s="1029"/>
      <c r="G29" s="1302"/>
      <c r="H29" s="325" t="s">
        <v>396</v>
      </c>
      <c r="I29" s="326" t="s">
        <v>768</v>
      </c>
      <c r="J29" s="327">
        <f ca="1">ROUND(J26/(1+F40)^F41,0)</f>
        <v>0</v>
      </c>
      <c r="K29" s="328" t="s">
        <v>769</v>
      </c>
      <c r="L29" s="329"/>
      <c r="M29" s="330">
        <f ca="1">INDIRECT("'数据-取费表'!k"&amp;$G$1)</f>
        <v>388.61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54874</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46808</v>
      </c>
      <c r="D31" s="1256" t="s">
        <v>720</v>
      </c>
      <c r="E31" s="1255" t="s">
        <v>770</v>
      </c>
      <c r="F31" s="2138">
        <f ca="1">IF(项目基本情况!B11="企业","——",IF(M47="住宅",IF(F6*F7*F8/12/(1+'数据-取费表'!F30)&gt;100000,4%,2.5%),IF(F6*F7*F8/12/(1+'数据-取费表'!F30)&gt;100000,12%,7%)))</f>
        <v>7.0000000000000007E-2</v>
      </c>
      <c r="G31" s="1291"/>
      <c r="H31" s="2569" t="s">
        <v>2305</v>
      </c>
      <c r="I31" s="1304"/>
      <c r="J31" s="1305"/>
      <c r="K31" s="121"/>
      <c r="L31" s="2471"/>
      <c r="M31" s="2472"/>
    </row>
    <row r="32" spans="1:37" ht="18" customHeight="1">
      <c r="A32" s="928" t="s">
        <v>397</v>
      </c>
      <c r="B32" s="294" t="s">
        <v>723</v>
      </c>
      <c r="C32" s="21">
        <f ca="1">IF(项目基本情况!B11="自然人","——",ROUND(C6*F32/(1+'数据-取费表'!C42),0))</f>
        <v>14711</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32097</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4757</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ROUND(C13*F37,0)</f>
        <v>1903</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1406</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226325</v>
      </c>
      <c r="D39" s="1031" t="s">
        <v>773</v>
      </c>
      <c r="E39" s="1032"/>
      <c r="F39" s="1033"/>
      <c r="G39" s="1291"/>
      <c r="H39" s="2473"/>
      <c r="I39" s="1304"/>
      <c r="J39" s="1305"/>
      <c r="K39" s="2471"/>
      <c r="L39" s="2473"/>
      <c r="M39" s="2473"/>
    </row>
    <row r="40" spans="1:18" ht="18" customHeight="1">
      <c r="A40" s="291" t="s">
        <v>395</v>
      </c>
      <c r="B40" s="292" t="s">
        <v>774</v>
      </c>
      <c r="C40" s="293">
        <f ca="1">ROUND(C39*(1-((1+F42)/(1+F40))^F41)/(F40-F42),0)</f>
        <v>4342505</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33</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11174</v>
      </c>
      <c r="D43" s="328" t="s">
        <v>777</v>
      </c>
      <c r="E43" s="329" t="s">
        <v>778</v>
      </c>
      <c r="F43" s="330">
        <f ca="1">INDIRECT("'数据-取费表'!k"&amp;$G$1)</f>
        <v>388.61</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3351</v>
      </c>
      <c r="B45" s="1306"/>
      <c r="C45" s="1375">
        <f ca="1">ROUND((C68-C40)/10000,4)</f>
        <v>-444.29050000000001</v>
      </c>
      <c r="D45" s="3130" t="s">
        <v>3352</v>
      </c>
      <c r="E45" s="1306"/>
      <c r="F45" s="1306"/>
      <c r="O45" s="1309" t="s">
        <v>808</v>
      </c>
      <c r="P45" s="1365"/>
      <c r="Q45" s="1365"/>
      <c r="R45" s="1365"/>
    </row>
    <row r="46" spans="1:18" s="1291" customFormat="1" ht="13.5" thickBot="1">
      <c r="A46" s="1310" t="s">
        <v>809</v>
      </c>
      <c r="C46" s="1311">
        <f ca="1">ROUND(C45,0)</f>
        <v>-444</v>
      </c>
      <c r="D46" s="1312" t="str">
        <f>C2</f>
        <v>万元</v>
      </c>
      <c r="I46" s="1313" t="s">
        <v>810</v>
      </c>
      <c r="J46" s="1314"/>
      <c r="K46" s="1315"/>
      <c r="L46" s="1316">
        <f ca="1">IF(M47="住宅",0,IF(L48&gt;J51,L60,J60))</f>
        <v>87482</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3428</v>
      </c>
      <c r="K47" s="1322" t="s">
        <v>816</v>
      </c>
      <c r="L47" s="1323">
        <f ca="1">INDIRECT("'数据-取费表'!d"&amp;$G$1)</f>
        <v>50</v>
      </c>
      <c r="M47" s="1287" t="str">
        <f>IF(ISNUMBER(FIND("住宅",C1)),"住宅","非住宅")</f>
        <v>非住宅</v>
      </c>
      <c r="O47" s="1324" t="s">
        <v>403</v>
      </c>
      <c r="P47" s="1325" t="s">
        <v>817</v>
      </c>
      <c r="Q47" s="1326">
        <f ca="1">C40+J29</f>
        <v>4342505</v>
      </c>
      <c r="R47" s="1326" t="s">
        <v>818</v>
      </c>
    </row>
    <row r="48" spans="1:18" s="1291" customFormat="1" ht="28.5" thickBot="1">
      <c r="A48" s="1046" t="s">
        <v>438</v>
      </c>
      <c r="B48" s="292" t="s">
        <v>692</v>
      </c>
      <c r="C48" s="1267">
        <f ca="1">C49+C53+C55</f>
        <v>0</v>
      </c>
      <c r="D48" s="1048"/>
      <c r="E48" s="1049"/>
      <c r="F48" s="908"/>
      <c r="G48" s="681"/>
      <c r="H48" s="682"/>
      <c r="I48" s="1327" t="s">
        <v>819</v>
      </c>
      <c r="J48" s="1328" t="s">
        <v>3452</v>
      </c>
      <c r="K48" s="1329" t="s">
        <v>820</v>
      </c>
      <c r="L48" s="1330">
        <f ca="1">INDIRECT("'数据-取费表'!f"&amp;$G$1)</f>
        <v>33</v>
      </c>
      <c r="O48" s="1324" t="s">
        <v>404</v>
      </c>
      <c r="P48" s="1325" t="s">
        <v>821</v>
      </c>
      <c r="Q48" s="1326">
        <f ca="1">J60</f>
        <v>87482</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f>'数据-取费表'!N18</f>
        <v>2010</v>
      </c>
      <c r="K49" s="1329" t="s">
        <v>824</v>
      </c>
      <c r="L49" s="1332"/>
      <c r="O49" s="1333" t="s">
        <v>405</v>
      </c>
      <c r="P49" s="1325" t="s">
        <v>825</v>
      </c>
      <c r="Q49" s="1326">
        <f ca="1">C29</f>
        <v>2378699</v>
      </c>
      <c r="R49" s="1326" t="s">
        <v>818</v>
      </c>
    </row>
    <row r="50" spans="1:18" s="1291" customFormat="1" ht="13.5" thickBot="1">
      <c r="A50" s="922"/>
      <c r="B50" s="925"/>
      <c r="C50" s="926"/>
      <c r="D50" s="899"/>
      <c r="E50" s="992" t="s">
        <v>697</v>
      </c>
      <c r="F50" s="993">
        <f ca="1">F7</f>
        <v>388.61</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45</v>
      </c>
      <c r="K51" s="1338" t="s">
        <v>830</v>
      </c>
      <c r="L51" s="1339">
        <f ca="1">ROUND(-PV(INDIRECT("'数据-取费表'!h"&amp;$G$1),J51,(C39-C13*C76),0),0)</f>
        <v>1655084</v>
      </c>
      <c r="M51" s="1340"/>
      <c r="O51" s="1333" t="s">
        <v>407</v>
      </c>
      <c r="P51" s="1325" t="s">
        <v>831</v>
      </c>
      <c r="Q51" s="1336">
        <f>J52</f>
        <v>7.5000000000000011E-2</v>
      </c>
      <c r="R51" s="1326"/>
    </row>
    <row r="52" spans="1:18" s="1291" customFormat="1" ht="13.5" thickBot="1">
      <c r="A52" s="923"/>
      <c r="B52" s="925"/>
      <c r="C52" s="926"/>
      <c r="D52" s="899"/>
      <c r="E52" s="927" t="s">
        <v>699</v>
      </c>
      <c r="F52" s="990"/>
      <c r="I52" s="1341" t="s">
        <v>832</v>
      </c>
      <c r="J52" s="1342">
        <f>'数据-取费表'!J6+0.005</f>
        <v>7.5000000000000011E-2</v>
      </c>
      <c r="K52" s="1341" t="s">
        <v>833</v>
      </c>
      <c r="L52" s="1342"/>
      <c r="O52" s="1333" t="s">
        <v>408</v>
      </c>
      <c r="P52" s="1325" t="s">
        <v>834</v>
      </c>
      <c r="Q52" s="1326">
        <f ca="1">J53</f>
        <v>33</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33</v>
      </c>
      <c r="K53" s="3399" t="s">
        <v>837</v>
      </c>
      <c r="L53" s="3400"/>
      <c r="O53" s="1324" t="s">
        <v>409</v>
      </c>
      <c r="P53" s="1325" t="s">
        <v>838</v>
      </c>
      <c r="Q53" s="1326">
        <f ca="1">Q47+Q48</f>
        <v>4429987</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1902959</v>
      </c>
      <c r="D56" s="1351"/>
      <c r="E56" s="1352"/>
      <c r="F56" s="1344"/>
      <c r="I56" s="1353" t="s">
        <v>842</v>
      </c>
      <c r="J56" s="1354" t="s">
        <v>3453</v>
      </c>
      <c r="K56" s="1327" t="s">
        <v>843</v>
      </c>
      <c r="L56" s="1330" t="str">
        <f ca="1">IF(L48&lt;J51,"——",L48-J51)</f>
        <v>——</v>
      </c>
      <c r="O56" s="1324" t="s">
        <v>403</v>
      </c>
      <c r="P56" s="1325" t="s">
        <v>817</v>
      </c>
      <c r="Q56" s="1326">
        <f ca="1">C40+J29</f>
        <v>4342505</v>
      </c>
      <c r="R56" s="1326" t="s">
        <v>818</v>
      </c>
    </row>
    <row r="57" spans="1:18" s="1291" customFormat="1" ht="24.75" thickBot="1">
      <c r="A57" s="1355"/>
      <c r="B57" s="896" t="s">
        <v>767</v>
      </c>
      <c r="C57" s="230">
        <f ca="1">C29</f>
        <v>2378699</v>
      </c>
      <c r="D57" s="1356"/>
      <c r="E57" s="1357"/>
      <c r="F57" s="1358"/>
      <c r="I57" s="1359" t="s">
        <v>844</v>
      </c>
      <c r="J57" s="1360">
        <f ca="1">IF(OR(M47="住宅",J51&lt;L48,J56="是"),"——",J51-L48)</f>
        <v>12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6660</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951480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f ca="1">IF(OR(M47="住宅",J51&lt;L48,J56="是"),"0",ROUND(J59/(1+J52)^J53,0))</f>
        <v>87482</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f ca="1">Q56+Q57</f>
        <v>4342505</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4757</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1903</v>
      </c>
      <c r="D65" s="910" t="s">
        <v>743</v>
      </c>
      <c r="E65" s="896" t="s">
        <v>744</v>
      </c>
      <c r="F65" s="321">
        <f t="shared" ca="1" si="0"/>
        <v>1E-3</v>
      </c>
      <c r="I65" s="1366" t="s">
        <v>867</v>
      </c>
      <c r="J65" s="610">
        <v>40</v>
      </c>
      <c r="K65" s="610">
        <v>30</v>
      </c>
      <c r="L65" s="610">
        <v>50</v>
      </c>
      <c r="M65" s="1368">
        <v>0.02</v>
      </c>
      <c r="O65" s="1324" t="s">
        <v>403</v>
      </c>
      <c r="P65" s="1325" t="s">
        <v>868</v>
      </c>
      <c r="Q65" s="1326">
        <f ca="1">C40+J29</f>
        <v>4342505</v>
      </c>
      <c r="R65" s="1326" t="s">
        <v>818</v>
      </c>
    </row>
    <row r="66" spans="1:18" s="1291" customFormat="1" ht="16.5" thickBot="1">
      <c r="A66" s="928" t="s">
        <v>793</v>
      </c>
      <c r="B66" s="896" t="s">
        <v>728</v>
      </c>
      <c r="C66" s="21">
        <f ca="1">ROUND(C48*F66,0)</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-6660</v>
      </c>
      <c r="D67" s="909" t="s">
        <v>753</v>
      </c>
      <c r="E67" s="914"/>
      <c r="F67" s="915"/>
      <c r="O67" s="1333" t="s">
        <v>405</v>
      </c>
      <c r="P67" s="1325" t="s">
        <v>850</v>
      </c>
      <c r="Q67" s="1369">
        <f ca="1">L51</f>
        <v>1655084</v>
      </c>
      <c r="R67" s="1326" t="s">
        <v>870</v>
      </c>
    </row>
    <row r="68" spans="1:18" s="1291" customFormat="1" ht="16.5" thickBot="1">
      <c r="A68" s="893" t="s">
        <v>395</v>
      </c>
      <c r="B68" s="894" t="s">
        <v>774</v>
      </c>
      <c r="C68" s="293">
        <f ca="1">ROUND(C67*(1-((1+F70)/(1+F68))^F69)/(F68-F70),0)</f>
        <v>-100400</v>
      </c>
      <c r="D68" s="911" t="s">
        <v>758</v>
      </c>
      <c r="E68" s="896" t="s">
        <v>759</v>
      </c>
      <c r="F68" s="304">
        <f ca="1">F40</f>
        <v>5.5E-2</v>
      </c>
      <c r="O68" s="1333" t="s">
        <v>406</v>
      </c>
      <c r="P68" s="1370" t="s">
        <v>871</v>
      </c>
      <c r="Q68" s="1326">
        <f ca="1">ROUND(Q69-Q70*Q71,0)</f>
        <v>93118</v>
      </c>
      <c r="R68" s="1326" t="s">
        <v>414</v>
      </c>
    </row>
    <row r="69" spans="1:18" s="1291" customFormat="1" ht="13.5" thickBot="1">
      <c r="A69" s="897"/>
      <c r="B69" s="898"/>
      <c r="C69" s="298"/>
      <c r="D69" s="916" t="s">
        <v>762</v>
      </c>
      <c r="E69" s="896" t="s">
        <v>763</v>
      </c>
      <c r="F69" s="324">
        <f ca="1">F41</f>
        <v>33</v>
      </c>
      <c r="O69" s="1333" t="s">
        <v>411</v>
      </c>
      <c r="P69" s="1370" t="s">
        <v>872</v>
      </c>
      <c r="Q69" s="1326">
        <f ca="1">C39</f>
        <v>226325</v>
      </c>
      <c r="R69" s="1326" t="s">
        <v>818</v>
      </c>
    </row>
    <row r="70" spans="1:18" s="1291" customFormat="1" ht="13.5" thickBot="1">
      <c r="A70" s="900"/>
      <c r="B70" s="901"/>
      <c r="C70" s="302"/>
      <c r="D70" s="912"/>
      <c r="E70" s="896" t="s">
        <v>766</v>
      </c>
      <c r="F70" s="990"/>
      <c r="O70" s="1333" t="s">
        <v>412</v>
      </c>
      <c r="P70" s="1370" t="s">
        <v>873</v>
      </c>
      <c r="Q70" s="1326">
        <f ca="1">C13</f>
        <v>1902959</v>
      </c>
      <c r="R70" s="1326" t="s">
        <v>818</v>
      </c>
    </row>
    <row r="71" spans="1:18" s="1291" customFormat="1" ht="13.5" thickBot="1">
      <c r="A71" s="917" t="s">
        <v>396</v>
      </c>
      <c r="B71" s="918" t="s">
        <v>776</v>
      </c>
      <c r="C71" s="327">
        <f ca="1">ROUND(C68/F71,0)</f>
        <v>-258</v>
      </c>
      <c r="D71" s="919" t="s">
        <v>777</v>
      </c>
      <c r="E71" s="920" t="s">
        <v>778</v>
      </c>
      <c r="F71" s="330">
        <f ca="1">F43</f>
        <v>388.61</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133207</v>
      </c>
      <c r="D75" s="1291"/>
      <c r="E75" s="1291"/>
      <c r="F75" s="1291"/>
      <c r="K75" s="1308"/>
      <c r="L75" s="1291"/>
      <c r="O75" s="1324" t="s">
        <v>409</v>
      </c>
      <c r="P75" s="1325" t="s">
        <v>838</v>
      </c>
      <c r="Q75" s="1326">
        <f ca="1">Q65+Q66</f>
        <v>4342505</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0.41100000000000003</v>
      </c>
    </row>
    <row r="80" spans="1:18">
      <c r="B80" s="331" t="s">
        <v>800</v>
      </c>
      <c r="C80" s="266">
        <f ca="1">ROUND(C75/C39,3)</f>
        <v>0.58899999999999997</v>
      </c>
    </row>
    <row r="81" spans="2:3">
      <c r="B81" s="262" t="s">
        <v>801</v>
      </c>
      <c r="C81" s="230"/>
    </row>
    <row r="82" spans="2:3">
      <c r="B82" s="265" t="s">
        <v>802</v>
      </c>
      <c r="C82" s="267">
        <f ca="1">1-C83</f>
        <v>0.56200000000000006</v>
      </c>
    </row>
    <row r="83" spans="2:3">
      <c r="B83" s="265" t="s">
        <v>803</v>
      </c>
      <c r="C83" s="266">
        <f ca="1">ROUND(C13/C40,3)</f>
        <v>0.438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2" t="s">
        <v>2314</v>
      </c>
      <c r="B2" s="2594" t="e">
        <f>IF(D2="——",C40,C40+E2)</f>
        <v>#DIV/0!</v>
      </c>
      <c r="C2" s="2595" t="s">
        <v>2315</v>
      </c>
      <c r="D2" s="3138" t="s">
        <v>3358</v>
      </c>
      <c r="E2" s="3139"/>
      <c r="F2" s="2597"/>
      <c r="G2" s="2598"/>
      <c r="H2" s="2599"/>
      <c r="I2" s="2600"/>
      <c r="J2" s="3404" t="s">
        <v>2316</v>
      </c>
      <c r="K2" s="3405"/>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06" t="s">
        <v>2326</v>
      </c>
      <c r="K3" s="3407"/>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06" t="s">
        <v>2328</v>
      </c>
      <c r="K4" s="3407"/>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408" t="s">
        <v>2332</v>
      </c>
      <c r="B6" s="3409"/>
      <c r="C6" s="3410"/>
      <c r="D6" s="2621"/>
      <c r="E6" s="2622"/>
      <c r="F6" s="2623"/>
      <c r="G6" s="2624"/>
      <c r="H6" s="2599"/>
      <c r="I6" s="2600"/>
      <c r="J6" s="3411">
        <v>1</v>
      </c>
      <c r="K6" s="3412"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11"/>
      <c r="K7" s="3413"/>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415" t="s">
        <v>2346</v>
      </c>
      <c r="C8" s="3416"/>
      <c r="D8" s="2640" t="s">
        <v>2347</v>
      </c>
      <c r="E8" s="2641" t="s">
        <v>2348</v>
      </c>
      <c r="F8" s="2642" t="s">
        <v>2349</v>
      </c>
      <c r="G8" s="2643"/>
      <c r="H8" s="2599"/>
      <c r="I8" s="2600"/>
      <c r="J8" s="3411"/>
      <c r="K8" s="3413"/>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415" t="s">
        <v>2352</v>
      </c>
      <c r="C9" s="3416"/>
      <c r="D9" s="2640">
        <f>ROUND(D6*E9,0)</f>
        <v>0</v>
      </c>
      <c r="E9" s="2644"/>
      <c r="F9" s="2645" t="s">
        <v>2353</v>
      </c>
      <c r="G9" s="2624"/>
      <c r="H9" s="2599"/>
      <c r="I9" s="2600"/>
      <c r="J9" s="3411"/>
      <c r="K9" s="3413"/>
      <c r="L9" s="2634" t="s">
        <v>2354</v>
      </c>
      <c r="M9" s="2635"/>
      <c r="N9" s="2611"/>
      <c r="O9" s="2636"/>
      <c r="P9" s="2636"/>
      <c r="Q9" s="2637">
        <v>365</v>
      </c>
      <c r="R9" s="2638">
        <f t="shared" si="0"/>
        <v>0</v>
      </c>
      <c r="S9" s="2592"/>
      <c r="T9" s="2592"/>
      <c r="U9" s="2592"/>
      <c r="V9" s="2600"/>
    </row>
    <row r="10" spans="1:22" s="2604" customFormat="1" ht="13.15" customHeight="1">
      <c r="A10" s="2639">
        <v>2</v>
      </c>
      <c r="B10" s="3415" t="s">
        <v>2355</v>
      </c>
      <c r="C10" s="3416"/>
      <c r="D10" s="2640">
        <f>ROUND(D6*E10,0)</f>
        <v>0</v>
      </c>
      <c r="E10" s="2644"/>
      <c r="F10" s="2645" t="s">
        <v>2356</v>
      </c>
      <c r="G10" s="2624"/>
      <c r="H10" s="2599"/>
      <c r="I10" s="2600"/>
      <c r="J10" s="3411"/>
      <c r="K10" s="3413"/>
      <c r="L10" s="2634" t="s">
        <v>2357</v>
      </c>
      <c r="M10" s="2635"/>
      <c r="N10" s="2611"/>
      <c r="O10" s="2636"/>
      <c r="P10" s="2636"/>
      <c r="Q10" s="2637">
        <v>365</v>
      </c>
      <c r="R10" s="2638">
        <f t="shared" si="0"/>
        <v>0</v>
      </c>
      <c r="S10" s="2592"/>
      <c r="T10" s="2592"/>
      <c r="U10" s="2592"/>
      <c r="V10" s="2600"/>
    </row>
    <row r="11" spans="1:22" s="2604" customFormat="1" ht="13.15" customHeight="1">
      <c r="A11" s="2639">
        <v>3</v>
      </c>
      <c r="B11" s="3415" t="s">
        <v>2358</v>
      </c>
      <c r="C11" s="3416"/>
      <c r="D11" s="2640">
        <f>D12+D14+D15+D16</f>
        <v>0</v>
      </c>
      <c r="E11" s="2646" t="e">
        <f>D11/D6</f>
        <v>#DIV/0!</v>
      </c>
      <c r="F11" s="2642"/>
      <c r="G11" s="2643"/>
      <c r="H11" s="2599"/>
      <c r="I11" s="2600"/>
      <c r="J11" s="3411"/>
      <c r="K11" s="3413"/>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17" t="s">
        <v>2361</v>
      </c>
      <c r="C12" s="3418"/>
      <c r="D12" s="2648">
        <f>ROUND(D13*1.2%*(1-30%),0)</f>
        <v>0</v>
      </c>
      <c r="E12" s="2649">
        <v>1.2E-2</v>
      </c>
      <c r="F12" s="2642" t="s">
        <v>2362</v>
      </c>
      <c r="G12" s="2643"/>
      <c r="H12" s="2599"/>
      <c r="I12" s="2600"/>
      <c r="J12" s="3411"/>
      <c r="K12" s="3413"/>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11"/>
      <c r="K13" s="3413"/>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17" t="s">
        <v>2367</v>
      </c>
      <c r="C14" s="3418"/>
      <c r="D14" s="2648">
        <f>ROUND(E14*B5/10000,0)</f>
        <v>0</v>
      </c>
      <c r="E14" s="2637"/>
      <c r="F14" s="2642" t="s">
        <v>2368</v>
      </c>
      <c r="G14" s="2643"/>
      <c r="H14" s="2599"/>
      <c r="I14" s="2600"/>
      <c r="J14" s="3411"/>
      <c r="K14" s="3414"/>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17" t="s">
        <v>2371</v>
      </c>
      <c r="C15" s="3418"/>
      <c r="D15" s="2648">
        <f>ROUND(D6*E15,0)</f>
        <v>0</v>
      </c>
      <c r="E15" s="2649">
        <v>5.5E-2</v>
      </c>
      <c r="F15" s="2642" t="s">
        <v>2372</v>
      </c>
      <c r="G15" s="2624"/>
      <c r="H15" s="2599"/>
      <c r="I15" s="2600"/>
      <c r="J15" s="3411">
        <v>2</v>
      </c>
      <c r="K15" s="3412"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17" t="s">
        <v>2380</v>
      </c>
      <c r="C16" s="3418"/>
      <c r="D16" s="2659">
        <f>D6*E16</f>
        <v>0</v>
      </c>
      <c r="E16" s="2660"/>
      <c r="F16" s="2645" t="s">
        <v>2381</v>
      </c>
      <c r="G16" s="2624"/>
      <c r="H16" s="2599"/>
      <c r="I16" s="2600"/>
      <c r="J16" s="3411"/>
      <c r="K16" s="3413"/>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19" t="s">
        <v>2383</v>
      </c>
      <c r="C17" s="3420"/>
      <c r="D17" s="2662">
        <f>ROUND(D6*E17,0)</f>
        <v>0</v>
      </c>
      <c r="E17" s="2663"/>
      <c r="F17" s="2664" t="s">
        <v>2384</v>
      </c>
      <c r="G17" s="2624"/>
      <c r="H17" s="2599"/>
      <c r="I17" s="2600"/>
      <c r="J17" s="3411"/>
      <c r="K17" s="3413"/>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11"/>
      <c r="K18" s="3413"/>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11"/>
      <c r="K19" s="3414"/>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1">
        <v>3</v>
      </c>
      <c r="K20" s="3412"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11"/>
      <c r="K21" s="3413"/>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11"/>
      <c r="K22" s="3413"/>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11"/>
      <c r="K23" s="3413"/>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11"/>
      <c r="K24" s="3414"/>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21">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2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04" t="s">
        <v>2316</v>
      </c>
      <c r="K32" s="3405"/>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06" t="s">
        <v>2326</v>
      </c>
      <c r="K33" s="3407"/>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06" t="s">
        <v>2328</v>
      </c>
      <c r="K34" s="340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11">
        <v>1</v>
      </c>
      <c r="K36" s="3412"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11"/>
      <c r="K37" s="3413"/>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1"/>
      <c r="K38" s="3413"/>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11"/>
      <c r="K39" s="3413"/>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11"/>
      <c r="K40" s="3414"/>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1">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2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442.99869999999999</v>
      </c>
      <c r="C2" s="1728" t="s">
        <v>1651</v>
      </c>
      <c r="D2" s="1729" t="s">
        <v>1652</v>
      </c>
      <c r="E2" s="2392">
        <f>SUM(E6:E13)</f>
        <v>388.61</v>
      </c>
      <c r="F2" s="2479"/>
      <c r="G2" s="459"/>
      <c r="H2" s="459"/>
      <c r="I2" s="459"/>
      <c r="J2" s="459"/>
      <c r="K2" s="459"/>
      <c r="L2" s="459"/>
      <c r="M2" s="459"/>
      <c r="N2" s="459"/>
      <c r="O2" s="459"/>
      <c r="P2" s="459"/>
      <c r="Q2" s="459"/>
      <c r="R2" s="459"/>
      <c r="S2" s="459"/>
    </row>
    <row r="3" spans="1:22" ht="15.75">
      <c r="A3" s="1727" t="s">
        <v>686</v>
      </c>
      <c r="B3" s="2386">
        <f ca="1">ROUND(B2*10000/E2,0)</f>
        <v>11400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23" t="s">
        <v>1654</v>
      </c>
      <c r="C5" s="3424"/>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442.99869999999999</v>
      </c>
      <c r="C6" s="1728" t="s">
        <v>1651</v>
      </c>
      <c r="D6" s="2479"/>
      <c r="E6" s="2391">
        <f>IF(OR(A6=0,F6="否"),0,'数据-取费表'!K6+'数据-取费表'!S6)</f>
        <v>388.61</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388.61</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70" t="s">
        <v>1667</v>
      </c>
      <c r="D4" s="3371"/>
      <c r="E4" s="3372" t="s">
        <v>1668</v>
      </c>
      <c r="F4" s="3373"/>
      <c r="G4" s="3370" t="s">
        <v>1669</v>
      </c>
      <c r="H4" s="3371"/>
      <c r="I4" s="3370" t="s">
        <v>1670</v>
      </c>
      <c r="J4" s="3371"/>
      <c r="K4" s="1743" t="s">
        <v>1671</v>
      </c>
      <c r="L4" s="2486"/>
      <c r="M4" s="2487"/>
      <c r="N4" s="2487"/>
      <c r="O4" s="2487"/>
      <c r="P4" s="3429" t="s">
        <v>1672</v>
      </c>
      <c r="Q4" s="3430"/>
      <c r="R4" s="3426" t="s">
        <v>1668</v>
      </c>
      <c r="S4" s="3427"/>
      <c r="T4" s="3426" t="s">
        <v>1669</v>
      </c>
      <c r="U4" s="3427"/>
      <c r="V4" s="3383" t="s">
        <v>1670</v>
      </c>
      <c r="W4" s="3383"/>
      <c r="X4" s="1264"/>
      <c r="Y4" s="3426" t="s">
        <v>1672</v>
      </c>
      <c r="Z4" s="3427"/>
      <c r="AA4" s="3425" t="s">
        <v>1668</v>
      </c>
      <c r="AB4" s="3425" t="s">
        <v>1669</v>
      </c>
      <c r="AC4" s="3425" t="s">
        <v>1670</v>
      </c>
    </row>
    <row r="5" spans="1:29" ht="15">
      <c r="A5" s="348"/>
      <c r="B5" s="349"/>
      <c r="C5" s="3359" t="s">
        <v>1673</v>
      </c>
      <c r="D5" s="3360"/>
      <c r="E5" s="3428" t="s">
        <v>1674</v>
      </c>
      <c r="F5" s="3358"/>
      <c r="G5" s="3359" t="s">
        <v>1675</v>
      </c>
      <c r="H5" s="3360"/>
      <c r="I5" s="3359" t="s">
        <v>1676</v>
      </c>
      <c r="J5" s="3360"/>
      <c r="K5" s="1744"/>
      <c r="L5" s="2486"/>
      <c r="M5" s="2487"/>
      <c r="N5" s="2487"/>
      <c r="O5" s="2487"/>
      <c r="P5" s="3431"/>
      <c r="Q5" s="3377"/>
      <c r="R5" s="3355"/>
      <c r="S5" s="3356"/>
      <c r="T5" s="3355"/>
      <c r="U5" s="3356"/>
      <c r="V5" s="3383"/>
      <c r="W5" s="3383"/>
      <c r="X5" s="1264"/>
      <c r="Y5" s="3355"/>
      <c r="Z5" s="3356"/>
      <c r="AA5" s="3349"/>
      <c r="AB5" s="3349"/>
      <c r="AC5" s="3349"/>
    </row>
    <row r="6" spans="1:29" ht="15.75" thickBot="1">
      <c r="A6" s="350"/>
      <c r="B6" s="351"/>
      <c r="C6" s="3361" t="s">
        <v>1677</v>
      </c>
      <c r="D6" s="3362"/>
      <c r="E6" s="3364" t="s">
        <v>1677</v>
      </c>
      <c r="F6" s="3365"/>
      <c r="G6" s="3361" t="s">
        <v>1677</v>
      </c>
      <c r="H6" s="3362"/>
      <c r="I6" s="3361" t="s">
        <v>1677</v>
      </c>
      <c r="J6" s="3362"/>
      <c r="K6" s="1744" t="s">
        <v>1678</v>
      </c>
      <c r="L6" s="2486"/>
      <c r="M6" s="2487"/>
      <c r="N6" s="2487"/>
      <c r="O6" s="2487"/>
      <c r="P6" s="3432"/>
      <c r="Q6" s="3379"/>
      <c r="R6" s="3355"/>
      <c r="S6" s="3356"/>
      <c r="T6" s="3380"/>
      <c r="U6" s="3381"/>
      <c r="V6" s="3383"/>
      <c r="W6" s="3383"/>
      <c r="X6" s="1264"/>
      <c r="Y6" s="3380"/>
      <c r="Z6" s="3381"/>
      <c r="AA6" s="3350"/>
      <c r="AB6" s="3350"/>
      <c r="AC6" s="3350"/>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51" t="s">
        <v>1680</v>
      </c>
      <c r="Q7" s="3385"/>
      <c r="R7" s="664" t="s">
        <v>20</v>
      </c>
      <c r="S7" s="665">
        <f t="shared" ref="S7:S15" si="0">F7</f>
        <v>0</v>
      </c>
      <c r="T7" s="664" t="s">
        <v>20</v>
      </c>
      <c r="U7" s="665">
        <f t="shared" ref="U7:U15" si="1">H7</f>
        <v>0</v>
      </c>
      <c r="V7" s="664" t="s">
        <v>20</v>
      </c>
      <c r="W7" s="665">
        <f t="shared" ref="W7:W15" si="2">J7</f>
        <v>0</v>
      </c>
      <c r="X7" s="666"/>
      <c r="Y7" s="3351" t="s">
        <v>1680</v>
      </c>
      <c r="Z7" s="3352"/>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51" t="s">
        <v>1683</v>
      </c>
      <c r="Q8" s="3352"/>
      <c r="R8" s="664" t="s">
        <v>20</v>
      </c>
      <c r="S8" s="665">
        <f t="shared" si="0"/>
        <v>100</v>
      </c>
      <c r="T8" s="664" t="s">
        <v>20</v>
      </c>
      <c r="U8" s="665">
        <f t="shared" si="1"/>
        <v>100</v>
      </c>
      <c r="V8" s="664" t="s">
        <v>20</v>
      </c>
      <c r="W8" s="665">
        <f t="shared" si="2"/>
        <v>100</v>
      </c>
      <c r="X8" s="666"/>
      <c r="Y8" s="3351" t="s">
        <v>1683</v>
      </c>
      <c r="Z8" s="335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66"/>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66"/>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66"/>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66"/>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66"/>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6" t="s">
        <v>1691</v>
      </c>
      <c r="Q15" s="1262" t="str">
        <f t="shared" si="6"/>
        <v>居住社区成熟度</v>
      </c>
      <c r="R15" s="667" t="s">
        <v>18</v>
      </c>
      <c r="S15" s="668">
        <f t="shared" si="0"/>
        <v>100</v>
      </c>
      <c r="T15" s="667" t="s">
        <v>18</v>
      </c>
      <c r="U15" s="668">
        <f t="shared" si="1"/>
        <v>100</v>
      </c>
      <c r="V15" s="667" t="s">
        <v>18</v>
      </c>
      <c r="W15" s="668">
        <f t="shared" si="2"/>
        <v>100</v>
      </c>
      <c r="X15" s="1264"/>
      <c r="Y15" s="338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87"/>
      <c r="Q16" s="1262"/>
      <c r="R16" s="667"/>
      <c r="S16" s="668"/>
      <c r="T16" s="667"/>
      <c r="U16" s="668"/>
      <c r="V16" s="667"/>
      <c r="W16" s="668"/>
      <c r="X16" s="1264"/>
      <c r="Y16" s="3389"/>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7"/>
      <c r="Q17" s="1262" t="str">
        <f>B17</f>
        <v>交通便捷度</v>
      </c>
      <c r="R17" s="667" t="s">
        <v>18</v>
      </c>
      <c r="S17" s="668">
        <f>F17</f>
        <v>100</v>
      </c>
      <c r="T17" s="667" t="s">
        <v>18</v>
      </c>
      <c r="U17" s="668">
        <f>H17</f>
        <v>100</v>
      </c>
      <c r="V17" s="667" t="s">
        <v>18</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87"/>
      <c r="Q18" s="1262"/>
      <c r="R18" s="667"/>
      <c r="S18" s="668"/>
      <c r="T18" s="667"/>
      <c r="U18" s="668"/>
      <c r="V18" s="667"/>
      <c r="W18" s="668"/>
      <c r="X18" s="1264"/>
      <c r="Y18" s="3389"/>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7"/>
      <c r="Q19" s="1262" t="str">
        <f>B19</f>
        <v>公共配套设施</v>
      </c>
      <c r="R19" s="667" t="s">
        <v>18</v>
      </c>
      <c r="S19" s="668">
        <f>F19</f>
        <v>100</v>
      </c>
      <c r="T19" s="667" t="s">
        <v>18</v>
      </c>
      <c r="U19" s="668">
        <f>H19</f>
        <v>100</v>
      </c>
      <c r="V19" s="667" t="s">
        <v>18</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87"/>
      <c r="Q20" s="1262"/>
      <c r="R20" s="667"/>
      <c r="S20" s="668"/>
      <c r="T20" s="667"/>
      <c r="U20" s="668"/>
      <c r="V20" s="667"/>
      <c r="W20" s="668"/>
      <c r="X20" s="1264"/>
      <c r="Y20" s="3389"/>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7"/>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87"/>
      <c r="Q22" s="1262"/>
      <c r="R22" s="667"/>
      <c r="S22" s="668"/>
      <c r="T22" s="667"/>
      <c r="U22" s="668"/>
      <c r="V22" s="667"/>
      <c r="W22" s="668"/>
      <c r="X22" s="1264"/>
      <c r="Y22" s="3389"/>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7"/>
      <c r="Q23" s="1262" t="str">
        <f>B23</f>
        <v>自然及人文环境</v>
      </c>
      <c r="R23" s="667" t="s">
        <v>18</v>
      </c>
      <c r="S23" s="668">
        <f>F23</f>
        <v>100</v>
      </c>
      <c r="T23" s="667" t="s">
        <v>18</v>
      </c>
      <c r="U23" s="668">
        <f>H23</f>
        <v>100</v>
      </c>
      <c r="V23" s="667" t="s">
        <v>18</v>
      </c>
      <c r="W23" s="668">
        <f>J23</f>
        <v>100</v>
      </c>
      <c r="X23" s="1264"/>
      <c r="Y23" s="338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87"/>
      <c r="Q24" s="1262"/>
      <c r="R24" s="667"/>
      <c r="S24" s="668"/>
      <c r="T24" s="667"/>
      <c r="U24" s="668"/>
      <c r="V24" s="667"/>
      <c r="W24" s="668"/>
      <c r="X24" s="1264"/>
      <c r="Y24" s="338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9"/>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87"/>
      <c r="Q26" s="1262" t="str">
        <f t="shared" si="11"/>
        <v>朝向</v>
      </c>
      <c r="R26" s="667" t="s">
        <v>18</v>
      </c>
      <c r="S26" s="668">
        <f t="shared" si="12"/>
        <v>100</v>
      </c>
      <c r="T26" s="667" t="s">
        <v>18</v>
      </c>
      <c r="U26" s="668">
        <f t="shared" si="13"/>
        <v>100</v>
      </c>
      <c r="V26" s="667" t="s">
        <v>18</v>
      </c>
      <c r="W26" s="668">
        <f t="shared" si="14"/>
        <v>100</v>
      </c>
      <c r="X26" s="1264"/>
      <c r="Y26" s="3389"/>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87"/>
      <c r="Q27" s="530">
        <f t="shared" si="11"/>
        <v>111</v>
      </c>
      <c r="R27" s="664" t="s">
        <v>18</v>
      </c>
      <c r="S27" s="665">
        <f t="shared" si="12"/>
        <v>100</v>
      </c>
      <c r="T27" s="664" t="s">
        <v>18</v>
      </c>
      <c r="U27" s="665">
        <f t="shared" si="13"/>
        <v>100</v>
      </c>
      <c r="V27" s="664" t="s">
        <v>18</v>
      </c>
      <c r="W27" s="665">
        <f t="shared" si="14"/>
        <v>100</v>
      </c>
      <c r="X27" s="666"/>
      <c r="Y27" s="3389"/>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7"/>
      <c r="Q28" s="1262">
        <f t="shared" si="11"/>
        <v>111</v>
      </c>
      <c r="R28" s="667" t="s">
        <v>18</v>
      </c>
      <c r="S28" s="668">
        <f t="shared" si="12"/>
        <v>100</v>
      </c>
      <c r="T28" s="667" t="s">
        <v>18</v>
      </c>
      <c r="U28" s="668">
        <f t="shared" si="13"/>
        <v>100</v>
      </c>
      <c r="V28" s="667" t="s">
        <v>18</v>
      </c>
      <c r="W28" s="668">
        <f t="shared" si="14"/>
        <v>100</v>
      </c>
      <c r="X28" s="1264"/>
      <c r="Y28" s="3389"/>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7"/>
      <c r="Q29" s="1262">
        <f t="shared" si="11"/>
        <v>111</v>
      </c>
      <c r="R29" s="667" t="s">
        <v>18</v>
      </c>
      <c r="S29" s="668">
        <f t="shared" si="12"/>
        <v>100</v>
      </c>
      <c r="T29" s="667" t="s">
        <v>18</v>
      </c>
      <c r="U29" s="668">
        <f t="shared" si="13"/>
        <v>100</v>
      </c>
      <c r="V29" s="667" t="s">
        <v>18</v>
      </c>
      <c r="W29" s="668">
        <f t="shared" si="14"/>
        <v>100</v>
      </c>
      <c r="X29" s="1264"/>
      <c r="Y29" s="3389"/>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7"/>
      <c r="Q30" s="1262">
        <f t="shared" si="11"/>
        <v>111</v>
      </c>
      <c r="R30" s="667" t="s">
        <v>18</v>
      </c>
      <c r="S30" s="668">
        <f t="shared" si="12"/>
        <v>100</v>
      </c>
      <c r="T30" s="667" t="s">
        <v>18</v>
      </c>
      <c r="U30" s="668">
        <f t="shared" si="13"/>
        <v>100</v>
      </c>
      <c r="V30" s="667" t="s">
        <v>18</v>
      </c>
      <c r="W30" s="668">
        <f t="shared" si="14"/>
        <v>100</v>
      </c>
      <c r="X30" s="1264"/>
      <c r="Y30" s="3389"/>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7"/>
      <c r="Q31" s="1262">
        <f t="shared" si="11"/>
        <v>111</v>
      </c>
      <c r="R31" s="667" t="s">
        <v>18</v>
      </c>
      <c r="S31" s="668">
        <f t="shared" si="12"/>
        <v>100</v>
      </c>
      <c r="T31" s="667" t="s">
        <v>18</v>
      </c>
      <c r="U31" s="668">
        <f t="shared" si="13"/>
        <v>100</v>
      </c>
      <c r="V31" s="667" t="s">
        <v>18</v>
      </c>
      <c r="W31" s="668">
        <f t="shared" si="14"/>
        <v>100</v>
      </c>
      <c r="X31" s="1264"/>
      <c r="Y31" s="3389"/>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0" t="s">
        <v>1696</v>
      </c>
      <c r="Q32" s="1262" t="str">
        <f t="shared" si="11"/>
        <v>建筑类型</v>
      </c>
      <c r="R32" s="667" t="s">
        <v>18</v>
      </c>
      <c r="S32" s="668">
        <f t="shared" si="12"/>
        <v>100</v>
      </c>
      <c r="T32" s="667" t="s">
        <v>18</v>
      </c>
      <c r="U32" s="668">
        <f t="shared" si="13"/>
        <v>100</v>
      </c>
      <c r="V32" s="667" t="s">
        <v>18</v>
      </c>
      <c r="W32" s="668">
        <f t="shared" si="14"/>
        <v>100</v>
      </c>
      <c r="X32" s="1264"/>
      <c r="Y32" s="3393"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91"/>
      <c r="Q33" s="531" t="str">
        <f t="shared" si="11"/>
        <v>项目建筑规模</v>
      </c>
      <c r="R33" s="669" t="s">
        <v>18</v>
      </c>
      <c r="S33" s="670" t="e">
        <f t="shared" si="12"/>
        <v>#N/A</v>
      </c>
      <c r="T33" s="669" t="s">
        <v>18</v>
      </c>
      <c r="U33" s="670" t="e">
        <f t="shared" si="13"/>
        <v>#N/A</v>
      </c>
      <c r="V33" s="669" t="s">
        <v>18</v>
      </c>
      <c r="W33" s="670" t="e">
        <f t="shared" si="14"/>
        <v>#N/A</v>
      </c>
      <c r="X33" s="671"/>
      <c r="Y33" s="3393"/>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1"/>
      <c r="Q34" s="1262" t="str">
        <f t="shared" si="11"/>
        <v>建筑结构</v>
      </c>
      <c r="R34" s="667" t="s">
        <v>18</v>
      </c>
      <c r="S34" s="668">
        <f t="shared" si="12"/>
        <v>100</v>
      </c>
      <c r="T34" s="667" t="s">
        <v>18</v>
      </c>
      <c r="U34" s="668">
        <f t="shared" si="13"/>
        <v>100</v>
      </c>
      <c r="V34" s="667" t="s">
        <v>18</v>
      </c>
      <c r="W34" s="668">
        <f t="shared" si="14"/>
        <v>100</v>
      </c>
      <c r="X34" s="1264"/>
      <c r="Y34" s="339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1"/>
      <c r="Q35" s="1262" t="str">
        <f t="shared" si="11"/>
        <v>建筑品质</v>
      </c>
      <c r="R35" s="667" t="s">
        <v>18</v>
      </c>
      <c r="S35" s="668">
        <f t="shared" si="12"/>
        <v>100</v>
      </c>
      <c r="T35" s="667" t="s">
        <v>18</v>
      </c>
      <c r="U35" s="668">
        <f t="shared" si="13"/>
        <v>100</v>
      </c>
      <c r="V35" s="667" t="s">
        <v>18</v>
      </c>
      <c r="W35" s="668">
        <f t="shared" si="14"/>
        <v>100</v>
      </c>
      <c r="X35" s="1264"/>
      <c r="Y35" s="339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1"/>
      <c r="Q36" s="1262" t="str">
        <f t="shared" si="11"/>
        <v>公共部分装修</v>
      </c>
      <c r="R36" s="667" t="s">
        <v>18</v>
      </c>
      <c r="S36" s="668">
        <f t="shared" si="12"/>
        <v>100</v>
      </c>
      <c r="T36" s="667" t="s">
        <v>18</v>
      </c>
      <c r="U36" s="668">
        <f t="shared" si="13"/>
        <v>100</v>
      </c>
      <c r="V36" s="667" t="s">
        <v>18</v>
      </c>
      <c r="W36" s="668">
        <f t="shared" si="14"/>
        <v>100</v>
      </c>
      <c r="X36" s="1264"/>
      <c r="Y36" s="3393"/>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1"/>
      <c r="Q37" s="530" t="str">
        <f t="shared" si="11"/>
        <v>成新度</v>
      </c>
      <c r="R37" s="664" t="s">
        <v>18</v>
      </c>
      <c r="S37" s="665" t="e">
        <f t="shared" si="12"/>
        <v>#N/A</v>
      </c>
      <c r="T37" s="664" t="s">
        <v>18</v>
      </c>
      <c r="U37" s="665" t="e">
        <f t="shared" si="13"/>
        <v>#N/A</v>
      </c>
      <c r="V37" s="664" t="s">
        <v>18</v>
      </c>
      <c r="W37" s="665" t="e">
        <f t="shared" si="14"/>
        <v>#N/A</v>
      </c>
      <c r="X37" s="666"/>
      <c r="Y37" s="3393"/>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1" t="s">
        <v>1696</v>
      </c>
      <c r="Q38" s="1262" t="str">
        <f t="shared" si="11"/>
        <v>物业管理</v>
      </c>
      <c r="R38" s="667" t="s">
        <v>18</v>
      </c>
      <c r="S38" s="668">
        <f t="shared" si="12"/>
        <v>100</v>
      </c>
      <c r="T38" s="667" t="s">
        <v>18</v>
      </c>
      <c r="U38" s="668">
        <f t="shared" si="13"/>
        <v>100</v>
      </c>
      <c r="V38" s="667" t="s">
        <v>18</v>
      </c>
      <c r="W38" s="668">
        <f t="shared" si="14"/>
        <v>100</v>
      </c>
      <c r="X38" s="1264"/>
      <c r="Y38" s="339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1"/>
      <c r="Q39" s="1262" t="str">
        <f t="shared" si="11"/>
        <v>市政基础设施</v>
      </c>
      <c r="R39" s="667" t="s">
        <v>18</v>
      </c>
      <c r="S39" s="668">
        <f t="shared" si="12"/>
        <v>100</v>
      </c>
      <c r="T39" s="667" t="s">
        <v>18</v>
      </c>
      <c r="U39" s="668">
        <f t="shared" si="13"/>
        <v>100</v>
      </c>
      <c r="V39" s="667" t="s">
        <v>18</v>
      </c>
      <c r="W39" s="668">
        <f t="shared" si="14"/>
        <v>100</v>
      </c>
      <c r="X39" s="1264"/>
      <c r="Y39" s="339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1"/>
      <c r="Q40" s="1262" t="str">
        <f t="shared" si="11"/>
        <v>房型</v>
      </c>
      <c r="R40" s="667" t="s">
        <v>18</v>
      </c>
      <c r="S40" s="668">
        <f t="shared" si="12"/>
        <v>100</v>
      </c>
      <c r="T40" s="667" t="s">
        <v>18</v>
      </c>
      <c r="U40" s="668">
        <f t="shared" si="13"/>
        <v>100</v>
      </c>
      <c r="V40" s="667" t="s">
        <v>18</v>
      </c>
      <c r="W40" s="668">
        <f t="shared" si="14"/>
        <v>100</v>
      </c>
      <c r="X40" s="1264"/>
      <c r="Y40" s="339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91"/>
      <c r="Q42" s="1262" t="str">
        <f t="shared" si="11"/>
        <v>内部装修</v>
      </c>
      <c r="R42" s="667" t="s">
        <v>18</v>
      </c>
      <c r="S42" s="668">
        <f t="shared" si="12"/>
        <v>100</v>
      </c>
      <c r="T42" s="667" t="s">
        <v>18</v>
      </c>
      <c r="U42" s="668">
        <f t="shared" si="13"/>
        <v>100</v>
      </c>
      <c r="V42" s="667" t="s">
        <v>18</v>
      </c>
      <c r="W42" s="668">
        <f t="shared" si="14"/>
        <v>100</v>
      </c>
      <c r="X42" s="1264"/>
      <c r="Y42" s="3393"/>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91"/>
      <c r="Q43" s="1262" t="str">
        <f t="shared" si="11"/>
        <v>内部装修维护情况</v>
      </c>
      <c r="R43" s="667" t="s">
        <v>18</v>
      </c>
      <c r="S43" s="668">
        <f t="shared" si="12"/>
        <v>100</v>
      </c>
      <c r="T43" s="667" t="s">
        <v>18</v>
      </c>
      <c r="U43" s="668">
        <f t="shared" si="13"/>
        <v>100</v>
      </c>
      <c r="V43" s="667" t="s">
        <v>18</v>
      </c>
      <c r="W43" s="668">
        <f t="shared" si="14"/>
        <v>100</v>
      </c>
      <c r="X43" s="1264"/>
      <c r="Y43" s="3393"/>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1"/>
      <c r="Q44" s="530">
        <f t="shared" si="11"/>
        <v>111</v>
      </c>
      <c r="R44" s="664" t="s">
        <v>18</v>
      </c>
      <c r="S44" s="665">
        <f t="shared" si="12"/>
        <v>100</v>
      </c>
      <c r="T44" s="664" t="s">
        <v>18</v>
      </c>
      <c r="U44" s="665">
        <f t="shared" si="13"/>
        <v>100</v>
      </c>
      <c r="V44" s="664" t="s">
        <v>18</v>
      </c>
      <c r="W44" s="665">
        <f t="shared" si="14"/>
        <v>100</v>
      </c>
      <c r="X44" s="666"/>
      <c r="Y44" s="3393"/>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1"/>
      <c r="Q45" s="1262">
        <f t="shared" si="11"/>
        <v>111</v>
      </c>
      <c r="R45" s="667" t="s">
        <v>18</v>
      </c>
      <c r="S45" s="668">
        <f t="shared" si="12"/>
        <v>100</v>
      </c>
      <c r="T45" s="667" t="s">
        <v>18</v>
      </c>
      <c r="U45" s="668">
        <f t="shared" si="13"/>
        <v>100</v>
      </c>
      <c r="V45" s="667" t="s">
        <v>18</v>
      </c>
      <c r="W45" s="668">
        <f t="shared" si="14"/>
        <v>100</v>
      </c>
      <c r="X45" s="1264"/>
      <c r="Y45" s="339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2"/>
      <c r="Q46" s="1262">
        <f t="shared" si="11"/>
        <v>111</v>
      </c>
      <c r="R46" s="667" t="s">
        <v>17</v>
      </c>
      <c r="S46" s="668">
        <f t="shared" si="12"/>
        <v>100</v>
      </c>
      <c r="T46" s="667" t="s">
        <v>17</v>
      </c>
      <c r="U46" s="668">
        <f t="shared" si="13"/>
        <v>100</v>
      </c>
      <c r="V46" s="667" t="s">
        <v>17</v>
      </c>
      <c r="W46" s="668">
        <f t="shared" si="14"/>
        <v>100</v>
      </c>
      <c r="X46" s="1264"/>
      <c r="Y46" s="3394"/>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95" t="str">
        <f>A47</f>
        <v>成交单价（元/平方米）</v>
      </c>
      <c r="Q47" s="3395"/>
      <c r="R47" s="3383">
        <f>E47</f>
        <v>0</v>
      </c>
      <c r="S47" s="3383"/>
      <c r="T47" s="3383">
        <f>G47</f>
        <v>0</v>
      </c>
      <c r="U47" s="3383"/>
      <c r="V47" s="3383">
        <f>I47</f>
        <v>0</v>
      </c>
      <c r="W47" s="3383"/>
      <c r="X47" s="385"/>
      <c r="Y47" s="673"/>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95" t="str">
        <f>A48</f>
        <v>比较价值（元/平方米）</v>
      </c>
      <c r="Q48" s="3395"/>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388.61</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29" t="s">
        <v>1775</v>
      </c>
      <c r="Q4" s="3430"/>
      <c r="R4" s="3426" t="s">
        <v>1771</v>
      </c>
      <c r="S4" s="3427"/>
      <c r="T4" s="3426" t="s">
        <v>1772</v>
      </c>
      <c r="U4" s="3427"/>
      <c r="V4" s="3383" t="s">
        <v>1773</v>
      </c>
      <c r="W4" s="3383"/>
      <c r="X4" s="1264"/>
      <c r="Y4" s="3426" t="s">
        <v>1775</v>
      </c>
      <c r="Z4" s="3427"/>
      <c r="AA4" s="3425" t="s">
        <v>1771</v>
      </c>
      <c r="AB4" s="3383" t="s">
        <v>1772</v>
      </c>
      <c r="AC4" s="3425" t="s">
        <v>1773</v>
      </c>
    </row>
    <row r="5" spans="1:29" ht="15">
      <c r="A5" s="348"/>
      <c r="B5" s="349"/>
      <c r="C5" s="3359" t="s">
        <v>1673</v>
      </c>
      <c r="D5" s="3360"/>
      <c r="E5" s="3428" t="s">
        <v>1674</v>
      </c>
      <c r="F5" s="3358"/>
      <c r="G5" s="3359" t="s">
        <v>1675</v>
      </c>
      <c r="H5" s="3360"/>
      <c r="I5" s="3359" t="s">
        <v>1676</v>
      </c>
      <c r="J5" s="3360"/>
      <c r="K5" s="537"/>
      <c r="L5" s="2486"/>
      <c r="M5" s="2487"/>
      <c r="N5" s="2487"/>
      <c r="O5" s="2487"/>
      <c r="P5" s="3431"/>
      <c r="Q5" s="3377"/>
      <c r="R5" s="3355"/>
      <c r="S5" s="3356"/>
      <c r="T5" s="3355"/>
      <c r="U5" s="3356"/>
      <c r="V5" s="3383"/>
      <c r="W5" s="3383"/>
      <c r="X5" s="1264"/>
      <c r="Y5" s="3355"/>
      <c r="Z5" s="3356"/>
      <c r="AA5" s="3349"/>
      <c r="AB5" s="3383"/>
      <c r="AC5" s="3349"/>
    </row>
    <row r="6" spans="1:29" ht="15.75" thickBot="1">
      <c r="A6" s="350"/>
      <c r="B6" s="351"/>
      <c r="C6" s="3361" t="s">
        <v>1677</v>
      </c>
      <c r="D6" s="3362"/>
      <c r="E6" s="3364" t="s">
        <v>1677</v>
      </c>
      <c r="F6" s="3365"/>
      <c r="G6" s="3361" t="s">
        <v>1677</v>
      </c>
      <c r="H6" s="3362"/>
      <c r="I6" s="3361" t="s">
        <v>1677</v>
      </c>
      <c r="J6" s="3362"/>
      <c r="K6" s="537" t="s">
        <v>1678</v>
      </c>
      <c r="L6" s="2486"/>
      <c r="M6" s="2487"/>
      <c r="N6" s="2487"/>
      <c r="O6" s="2487"/>
      <c r="P6" s="3432"/>
      <c r="Q6" s="3379"/>
      <c r="R6" s="3355"/>
      <c r="S6" s="3356"/>
      <c r="T6" s="3380"/>
      <c r="U6" s="3381"/>
      <c r="V6" s="3383"/>
      <c r="W6" s="3383"/>
      <c r="X6" s="1264"/>
      <c r="Y6" s="3380"/>
      <c r="Z6" s="3381"/>
      <c r="AA6" s="3350"/>
      <c r="AB6" s="3383"/>
      <c r="AC6" s="3350"/>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38"/>
      <c r="L7" s="2488"/>
      <c r="M7" s="2439"/>
      <c r="N7" s="2439"/>
      <c r="O7" s="2439"/>
      <c r="P7" s="3351" t="s">
        <v>1680</v>
      </c>
      <c r="Q7" s="3385"/>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51" t="s">
        <v>1683</v>
      </c>
      <c r="Q8" s="3352"/>
      <c r="R8" s="664" t="s">
        <v>14</v>
      </c>
      <c r="S8" s="665">
        <f t="shared" si="0"/>
        <v>100</v>
      </c>
      <c r="T8" s="664" t="s">
        <v>14</v>
      </c>
      <c r="U8" s="665">
        <f t="shared" si="1"/>
        <v>100</v>
      </c>
      <c r="V8" s="664" t="s">
        <v>14</v>
      </c>
      <c r="W8" s="665">
        <f t="shared" si="2"/>
        <v>100</v>
      </c>
      <c r="X8" s="666"/>
      <c r="Y8" s="3351" t="s">
        <v>1683</v>
      </c>
      <c r="Z8" s="335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66"/>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66"/>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66"/>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66"/>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66"/>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6" t="s">
        <v>1691</v>
      </c>
      <c r="Q15" s="1262" t="str">
        <f t="shared" si="6"/>
        <v>商业繁华度</v>
      </c>
      <c r="R15" s="667" t="s">
        <v>14</v>
      </c>
      <c r="S15" s="668">
        <f t="shared" si="0"/>
        <v>100</v>
      </c>
      <c r="T15" s="667" t="s">
        <v>14</v>
      </c>
      <c r="U15" s="668">
        <f t="shared" si="1"/>
        <v>100</v>
      </c>
      <c r="V15" s="667" t="s">
        <v>14</v>
      </c>
      <c r="W15" s="668">
        <f t="shared" si="2"/>
        <v>100</v>
      </c>
      <c r="X15" s="1264"/>
      <c r="Y15" s="338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87"/>
      <c r="Q16" s="1262"/>
      <c r="R16" s="667"/>
      <c r="S16" s="668"/>
      <c r="T16" s="667"/>
      <c r="U16" s="668"/>
      <c r="V16" s="667"/>
      <c r="W16" s="668"/>
      <c r="X16" s="1264"/>
      <c r="Y16" s="3389"/>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7"/>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87"/>
      <c r="Q18" s="1262"/>
      <c r="R18" s="667"/>
      <c r="S18" s="668"/>
      <c r="T18" s="667"/>
      <c r="U18" s="668"/>
      <c r="V18" s="667"/>
      <c r="W18" s="668"/>
      <c r="X18" s="1264"/>
      <c r="Y18" s="3389"/>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7"/>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87"/>
      <c r="Q20" s="1262"/>
      <c r="R20" s="667"/>
      <c r="S20" s="668"/>
      <c r="T20" s="667"/>
      <c r="U20" s="668"/>
      <c r="V20" s="667"/>
      <c r="W20" s="668"/>
      <c r="X20" s="1264"/>
      <c r="Y20" s="3389"/>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7"/>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87"/>
      <c r="Q22" s="1262"/>
      <c r="R22" s="667"/>
      <c r="S22" s="668"/>
      <c r="T22" s="667"/>
      <c r="U22" s="668"/>
      <c r="V22" s="667"/>
      <c r="W22" s="668"/>
      <c r="X22" s="1264"/>
      <c r="Y22" s="3389"/>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7"/>
      <c r="Q23" s="1262" t="str">
        <f>B23</f>
        <v>自然及人文环境</v>
      </c>
      <c r="R23" s="667" t="s">
        <v>14</v>
      </c>
      <c r="S23" s="668">
        <f>F23</f>
        <v>100</v>
      </c>
      <c r="T23" s="667" t="s">
        <v>14</v>
      </c>
      <c r="U23" s="668">
        <f>H23</f>
        <v>100</v>
      </c>
      <c r="V23" s="667" t="s">
        <v>14</v>
      </c>
      <c r="W23" s="668">
        <f>J23</f>
        <v>100</v>
      </c>
      <c r="X23" s="1264"/>
      <c r="Y23" s="338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87"/>
      <c r="Q24" s="1262"/>
      <c r="R24" s="667"/>
      <c r="S24" s="668"/>
      <c r="T24" s="667"/>
      <c r="U24" s="668"/>
      <c r="V24" s="667"/>
      <c r="W24" s="668"/>
      <c r="X24" s="1264"/>
      <c r="Y24" s="338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7"/>
      <c r="Q25" s="1262" t="str">
        <f t="shared" ref="Q25:Q46" si="11">B25</f>
        <v>临街状况</v>
      </c>
      <c r="R25" s="667" t="s">
        <v>14</v>
      </c>
      <c r="S25" s="668">
        <f>F25</f>
        <v>100</v>
      </c>
      <c r="T25" s="667" t="s">
        <v>14</v>
      </c>
      <c r="U25" s="668">
        <f>H25</f>
        <v>100</v>
      </c>
      <c r="V25" s="667" t="s">
        <v>14</v>
      </c>
      <c r="W25" s="668">
        <f>J25</f>
        <v>100</v>
      </c>
      <c r="X25" s="1264"/>
      <c r="Y25" s="3389"/>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7"/>
      <c r="Q26" s="1262" t="str">
        <f t="shared" si="11"/>
        <v>平面位置/可视性</v>
      </c>
      <c r="R26" s="667" t="s">
        <v>14</v>
      </c>
      <c r="S26" s="668">
        <f>F26</f>
        <v>100</v>
      </c>
      <c r="T26" s="667" t="s">
        <v>14</v>
      </c>
      <c r="U26" s="668">
        <f>H26</f>
        <v>100</v>
      </c>
      <c r="V26" s="667" t="s">
        <v>14</v>
      </c>
      <c r="W26" s="668">
        <f>J26</f>
        <v>100</v>
      </c>
      <c r="X26" s="1264"/>
      <c r="Y26" s="338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87"/>
      <c r="Q27" s="530" t="str">
        <f t="shared" si="11"/>
        <v>人流量</v>
      </c>
      <c r="R27" s="664" t="s">
        <v>14</v>
      </c>
      <c r="S27" s="665">
        <f>F27</f>
        <v>100</v>
      </c>
      <c r="T27" s="664" t="s">
        <v>14</v>
      </c>
      <c r="U27" s="665">
        <f>H27</f>
        <v>100</v>
      </c>
      <c r="V27" s="664" t="s">
        <v>14</v>
      </c>
      <c r="W27" s="665">
        <f>J27</f>
        <v>100</v>
      </c>
      <c r="X27" s="666"/>
      <c r="Y27" s="338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9"/>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7"/>
      <c r="Q29" s="1262">
        <f t="shared" si="11"/>
        <v>111</v>
      </c>
      <c r="R29" s="667" t="s">
        <v>14</v>
      </c>
      <c r="S29" s="668">
        <f t="shared" si="12"/>
        <v>100</v>
      </c>
      <c r="T29" s="667" t="s">
        <v>14</v>
      </c>
      <c r="U29" s="668">
        <f t="shared" si="13"/>
        <v>100</v>
      </c>
      <c r="V29" s="667" t="s">
        <v>14</v>
      </c>
      <c r="W29" s="668">
        <f t="shared" si="14"/>
        <v>100</v>
      </c>
      <c r="X29" s="1264"/>
      <c r="Y29" s="3389"/>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7"/>
      <c r="Q30" s="1262">
        <f t="shared" si="11"/>
        <v>111</v>
      </c>
      <c r="R30" s="667" t="s">
        <v>14</v>
      </c>
      <c r="S30" s="668">
        <f t="shared" si="12"/>
        <v>100</v>
      </c>
      <c r="T30" s="667" t="s">
        <v>14</v>
      </c>
      <c r="U30" s="668">
        <f t="shared" si="13"/>
        <v>100</v>
      </c>
      <c r="V30" s="667" t="s">
        <v>14</v>
      </c>
      <c r="W30" s="668">
        <f t="shared" si="14"/>
        <v>100</v>
      </c>
      <c r="X30" s="1264"/>
      <c r="Y30" s="3389"/>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7"/>
      <c r="Q31" s="1262">
        <f t="shared" si="11"/>
        <v>111</v>
      </c>
      <c r="R31" s="667" t="s">
        <v>14</v>
      </c>
      <c r="S31" s="668">
        <f t="shared" si="12"/>
        <v>100</v>
      </c>
      <c r="T31" s="667" t="s">
        <v>14</v>
      </c>
      <c r="U31" s="668">
        <f t="shared" si="13"/>
        <v>100</v>
      </c>
      <c r="V31" s="667" t="s">
        <v>14</v>
      </c>
      <c r="W31" s="668">
        <f t="shared" si="14"/>
        <v>100</v>
      </c>
      <c r="X31" s="1264"/>
      <c r="Y31" s="338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0" t="s">
        <v>1696</v>
      </c>
      <c r="Q32" s="1262" t="str">
        <f t="shared" si="11"/>
        <v>商业类型</v>
      </c>
      <c r="R32" s="667" t="s">
        <v>14</v>
      </c>
      <c r="S32" s="668">
        <f t="shared" si="12"/>
        <v>100</v>
      </c>
      <c r="T32" s="667" t="s">
        <v>14</v>
      </c>
      <c r="U32" s="668">
        <f t="shared" si="13"/>
        <v>100</v>
      </c>
      <c r="V32" s="667" t="s">
        <v>14</v>
      </c>
      <c r="W32" s="668">
        <f t="shared" si="14"/>
        <v>100</v>
      </c>
      <c r="X32" s="1264"/>
      <c r="Y32" s="339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1"/>
      <c r="Q34" s="1262" t="str">
        <f t="shared" si="11"/>
        <v>建筑结构</v>
      </c>
      <c r="R34" s="667" t="s">
        <v>14</v>
      </c>
      <c r="S34" s="668">
        <f t="shared" si="12"/>
        <v>100</v>
      </c>
      <c r="T34" s="667" t="s">
        <v>14</v>
      </c>
      <c r="U34" s="668">
        <f t="shared" si="13"/>
        <v>100</v>
      </c>
      <c r="V34" s="667" t="s">
        <v>14</v>
      </c>
      <c r="W34" s="668">
        <f t="shared" si="14"/>
        <v>100</v>
      </c>
      <c r="X34" s="1264"/>
      <c r="Y34" s="339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1"/>
      <c r="Q35" s="1262" t="str">
        <f t="shared" si="11"/>
        <v>公共部分装修</v>
      </c>
      <c r="R35" s="667" t="s">
        <v>14</v>
      </c>
      <c r="S35" s="668">
        <f t="shared" si="12"/>
        <v>100</v>
      </c>
      <c r="T35" s="667" t="s">
        <v>14</v>
      </c>
      <c r="U35" s="668">
        <f t="shared" si="13"/>
        <v>100</v>
      </c>
      <c r="V35" s="667" t="s">
        <v>14</v>
      </c>
      <c r="W35" s="668">
        <f t="shared" si="14"/>
        <v>100</v>
      </c>
      <c r="X35" s="1264"/>
      <c r="Y35" s="339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1"/>
      <c r="Q36" s="1262" t="str">
        <f t="shared" si="11"/>
        <v>成新度</v>
      </c>
      <c r="R36" s="667" t="s">
        <v>14</v>
      </c>
      <c r="S36" s="668" t="e">
        <f t="shared" si="12"/>
        <v>#N/A</v>
      </c>
      <c r="T36" s="667" t="s">
        <v>14</v>
      </c>
      <c r="U36" s="668" t="e">
        <f t="shared" si="13"/>
        <v>#N/A</v>
      </c>
      <c r="V36" s="667" t="s">
        <v>14</v>
      </c>
      <c r="W36" s="668" t="e">
        <f t="shared" si="14"/>
        <v>#N/A</v>
      </c>
      <c r="X36" s="1264"/>
      <c r="Y36" s="339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1" t="s">
        <v>1696</v>
      </c>
      <c r="Q38" s="1262" t="str">
        <f t="shared" si="11"/>
        <v>业态</v>
      </c>
      <c r="R38" s="667" t="s">
        <v>14</v>
      </c>
      <c r="S38" s="668">
        <f t="shared" si="12"/>
        <v>100</v>
      </c>
      <c r="T38" s="667" t="s">
        <v>14</v>
      </c>
      <c r="U38" s="668">
        <f t="shared" si="13"/>
        <v>100</v>
      </c>
      <c r="V38" s="667" t="s">
        <v>14</v>
      </c>
      <c r="W38" s="668">
        <f t="shared" si="14"/>
        <v>100</v>
      </c>
      <c r="X38" s="1264"/>
      <c r="Y38" s="339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1"/>
      <c r="Q39" s="1262" t="str">
        <f t="shared" si="11"/>
        <v>层高</v>
      </c>
      <c r="R39" s="667" t="s">
        <v>14</v>
      </c>
      <c r="S39" s="668">
        <f t="shared" si="12"/>
        <v>100</v>
      </c>
      <c r="T39" s="667" t="s">
        <v>14</v>
      </c>
      <c r="U39" s="668">
        <f t="shared" si="13"/>
        <v>100</v>
      </c>
      <c r="V39" s="667" t="s">
        <v>14</v>
      </c>
      <c r="W39" s="668">
        <f t="shared" si="14"/>
        <v>100</v>
      </c>
      <c r="X39" s="1264"/>
      <c r="Y39" s="339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1"/>
      <c r="Q40" s="1262" t="str">
        <f t="shared" si="11"/>
        <v>单套建筑面积</v>
      </c>
      <c r="R40" s="667" t="s">
        <v>14</v>
      </c>
      <c r="S40" s="668">
        <f t="shared" si="12"/>
        <v>100</v>
      </c>
      <c r="T40" s="667" t="s">
        <v>14</v>
      </c>
      <c r="U40" s="668">
        <f t="shared" si="13"/>
        <v>100</v>
      </c>
      <c r="V40" s="667" t="s">
        <v>14</v>
      </c>
      <c r="W40" s="668">
        <f t="shared" si="14"/>
        <v>100</v>
      </c>
      <c r="X40" s="1264"/>
      <c r="Y40" s="339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1"/>
      <c r="Q42" s="1262" t="str">
        <f t="shared" si="11"/>
        <v>内部装修</v>
      </c>
      <c r="R42" s="667" t="s">
        <v>14</v>
      </c>
      <c r="S42" s="668">
        <f t="shared" si="12"/>
        <v>100</v>
      </c>
      <c r="T42" s="667" t="s">
        <v>14</v>
      </c>
      <c r="U42" s="668">
        <f t="shared" si="13"/>
        <v>100</v>
      </c>
      <c r="V42" s="667" t="s">
        <v>14</v>
      </c>
      <c r="W42" s="668">
        <f t="shared" si="14"/>
        <v>100</v>
      </c>
      <c r="X42" s="1264"/>
      <c r="Y42" s="339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1"/>
      <c r="Q43" s="1262" t="str">
        <f t="shared" si="11"/>
        <v>内部装修维护情况</v>
      </c>
      <c r="R43" s="667" t="s">
        <v>14</v>
      </c>
      <c r="S43" s="668">
        <f t="shared" si="12"/>
        <v>100</v>
      </c>
      <c r="T43" s="667" t="s">
        <v>14</v>
      </c>
      <c r="U43" s="668">
        <f t="shared" si="13"/>
        <v>100</v>
      </c>
      <c r="V43" s="667" t="s">
        <v>14</v>
      </c>
      <c r="W43" s="668">
        <f t="shared" si="14"/>
        <v>100</v>
      </c>
      <c r="X43" s="1264"/>
      <c r="Y43" s="3393"/>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1"/>
      <c r="Q45" s="1262">
        <f t="shared" si="11"/>
        <v>111</v>
      </c>
      <c r="R45" s="667" t="s">
        <v>14</v>
      </c>
      <c r="S45" s="668">
        <f t="shared" si="12"/>
        <v>100</v>
      </c>
      <c r="T45" s="667" t="s">
        <v>14</v>
      </c>
      <c r="U45" s="668">
        <f t="shared" si="13"/>
        <v>100</v>
      </c>
      <c r="V45" s="667" t="s">
        <v>14</v>
      </c>
      <c r="W45" s="668">
        <f t="shared" si="14"/>
        <v>100</v>
      </c>
      <c r="X45" s="1264"/>
      <c r="Y45" s="339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2"/>
      <c r="Q46" s="1262">
        <f t="shared" si="11"/>
        <v>111</v>
      </c>
      <c r="R46" s="667" t="s">
        <v>14</v>
      </c>
      <c r="S46" s="668">
        <f t="shared" si="12"/>
        <v>100</v>
      </c>
      <c r="T46" s="667" t="s">
        <v>14</v>
      </c>
      <c r="U46" s="668">
        <f t="shared" si="13"/>
        <v>100</v>
      </c>
      <c r="V46" s="667" t="s">
        <v>14</v>
      </c>
      <c r="W46" s="668">
        <f t="shared" si="14"/>
        <v>100</v>
      </c>
      <c r="X46" s="1264"/>
      <c r="Y46" s="3394"/>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395" t="str">
        <f>A47</f>
        <v>成交单价（元/平方米）</v>
      </c>
      <c r="Q47" s="3395"/>
      <c r="R47" s="3383">
        <f>E47</f>
        <v>0</v>
      </c>
      <c r="S47" s="3383"/>
      <c r="T47" s="3383">
        <f>G47</f>
        <v>0</v>
      </c>
      <c r="U47" s="3383"/>
      <c r="V47" s="3383">
        <f>I47</f>
        <v>0</v>
      </c>
      <c r="W47" s="3383"/>
      <c r="X47" s="385"/>
      <c r="Y47" s="673"/>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395" t="str">
        <f>A48</f>
        <v>比较价值（元/平方米）</v>
      </c>
      <c r="Q48" s="3395"/>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估价对象为房地产，为所有。根据《国有土地使用证》[]，估价对象（分摊）出让国有建设用地使用权面积为0平方米，建筑面积为388.61平方米。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估价对象为房地产,属开发建设的，该项目尚在开发建设中。根据《国有土地使用证》[]，估价对象（分摊）出让国有建设用地使用权面积为0平方米，规划建筑面积为388.61平方米。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2025年4月1日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388.61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860"/>
      <c r="M4" s="861"/>
      <c r="N4" s="861"/>
      <c r="O4" s="861"/>
      <c r="P4" s="3429" t="s">
        <v>1775</v>
      </c>
      <c r="Q4" s="3430"/>
      <c r="R4" s="3426" t="s">
        <v>1771</v>
      </c>
      <c r="S4" s="3427"/>
      <c r="T4" s="3426" t="s">
        <v>1772</v>
      </c>
      <c r="U4" s="3427"/>
      <c r="V4" s="3383" t="s">
        <v>1773</v>
      </c>
      <c r="W4" s="3383"/>
      <c r="X4" s="1264"/>
      <c r="Y4" s="3426" t="s">
        <v>1775</v>
      </c>
      <c r="Z4" s="3427"/>
      <c r="AA4" s="3425" t="s">
        <v>1771</v>
      </c>
      <c r="AB4" s="3349" t="s">
        <v>1772</v>
      </c>
      <c r="AC4" s="3425" t="s">
        <v>1773</v>
      </c>
    </row>
    <row r="5" spans="1:29" ht="15">
      <c r="A5" s="348"/>
      <c r="B5" s="349"/>
      <c r="C5" s="3359" t="s">
        <v>1673</v>
      </c>
      <c r="D5" s="3360"/>
      <c r="E5" s="3428" t="s">
        <v>1674</v>
      </c>
      <c r="F5" s="3358"/>
      <c r="G5" s="3359" t="s">
        <v>1675</v>
      </c>
      <c r="H5" s="3360"/>
      <c r="I5" s="3359" t="s">
        <v>1676</v>
      </c>
      <c r="J5" s="3360"/>
      <c r="K5" s="537"/>
      <c r="L5" s="860"/>
      <c r="M5" s="861"/>
      <c r="N5" s="861"/>
      <c r="O5" s="861"/>
      <c r="P5" s="3431"/>
      <c r="Q5" s="3377"/>
      <c r="R5" s="3355"/>
      <c r="S5" s="3356"/>
      <c r="T5" s="3355"/>
      <c r="U5" s="3356"/>
      <c r="V5" s="3383"/>
      <c r="W5" s="3383"/>
      <c r="X5" s="1264"/>
      <c r="Y5" s="3355"/>
      <c r="Z5" s="3356"/>
      <c r="AA5" s="3349"/>
      <c r="AB5" s="3349"/>
      <c r="AC5" s="3349"/>
    </row>
    <row r="6" spans="1:29" ht="15.75" thickBot="1">
      <c r="A6" s="350"/>
      <c r="B6" s="351"/>
      <c r="C6" s="3361" t="s">
        <v>1677</v>
      </c>
      <c r="D6" s="3362"/>
      <c r="E6" s="3364" t="s">
        <v>1677</v>
      </c>
      <c r="F6" s="3365"/>
      <c r="G6" s="3361" t="s">
        <v>1677</v>
      </c>
      <c r="H6" s="3362"/>
      <c r="I6" s="3361" t="s">
        <v>1677</v>
      </c>
      <c r="J6" s="3362"/>
      <c r="K6" s="537" t="s">
        <v>1678</v>
      </c>
      <c r="L6" s="860"/>
      <c r="M6" s="861"/>
      <c r="N6" s="861"/>
      <c r="O6" s="861"/>
      <c r="P6" s="3432"/>
      <c r="Q6" s="3379"/>
      <c r="R6" s="3355"/>
      <c r="S6" s="3356"/>
      <c r="T6" s="3380"/>
      <c r="U6" s="3381"/>
      <c r="V6" s="3383"/>
      <c r="W6" s="3383"/>
      <c r="X6" s="1264"/>
      <c r="Y6" s="3380"/>
      <c r="Z6" s="3381"/>
      <c r="AA6" s="3350"/>
      <c r="AB6" s="3350"/>
      <c r="AC6" s="3350"/>
    </row>
    <row r="7" spans="1:29" s="102" customFormat="1" ht="15.75" thickBot="1">
      <c r="A7" s="352" t="s">
        <v>1679</v>
      </c>
      <c r="B7" s="353"/>
      <c r="C7" s="354">
        <f>'数据-取费表'!B2</f>
        <v>45748</v>
      </c>
      <c r="D7" s="355">
        <v>100</v>
      </c>
      <c r="E7" s="356"/>
      <c r="F7" s="357">
        <f>SUMIF(52:52,YEAR(E7)&amp;"-"&amp;MONTH(E7),53:53)</f>
        <v>0</v>
      </c>
      <c r="G7" s="356"/>
      <c r="H7" s="355">
        <f>SUMIF(52:52,YEAR(G7)&amp;"-"&amp;MONTH(G7),53:53)</f>
        <v>0</v>
      </c>
      <c r="I7" s="356"/>
      <c r="J7" s="355">
        <f>SUMIF(52:52,YEAR(I7)&amp;"-"&amp;MONTH(I7),53:53)</f>
        <v>0</v>
      </c>
      <c r="K7" s="38"/>
      <c r="L7" s="862"/>
      <c r="M7" s="863"/>
      <c r="N7" s="863"/>
      <c r="O7" s="863"/>
      <c r="P7" s="3351" t="s">
        <v>1680</v>
      </c>
      <c r="Q7" s="3385"/>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1" t="s">
        <v>1683</v>
      </c>
      <c r="Q8" s="3352"/>
      <c r="R8" s="664" t="s">
        <v>14</v>
      </c>
      <c r="S8" s="665">
        <f t="shared" si="0"/>
        <v>100</v>
      </c>
      <c r="T8" s="664" t="s">
        <v>14</v>
      </c>
      <c r="U8" s="665">
        <f t="shared" si="1"/>
        <v>100</v>
      </c>
      <c r="V8" s="664" t="s">
        <v>14</v>
      </c>
      <c r="W8" s="665">
        <f t="shared" si="2"/>
        <v>100</v>
      </c>
      <c r="X8" s="666"/>
      <c r="Y8" s="3351" t="s">
        <v>1683</v>
      </c>
      <c r="Z8" s="335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2" t="str">
        <f t="shared" si="6"/>
        <v>产业集聚程度</v>
      </c>
      <c r="R15" s="667" t="s">
        <v>14</v>
      </c>
      <c r="S15" s="668">
        <f t="shared" si="0"/>
        <v>100</v>
      </c>
      <c r="T15" s="667" t="s">
        <v>14</v>
      </c>
      <c r="U15" s="668">
        <f t="shared" si="1"/>
        <v>100</v>
      </c>
      <c r="V15" s="667" t="s">
        <v>14</v>
      </c>
      <c r="W15" s="668">
        <f t="shared" si="2"/>
        <v>100</v>
      </c>
      <c r="X15" s="1264"/>
      <c r="Y15" s="338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9"/>
      <c r="Q16" s="1262"/>
      <c r="R16" s="667"/>
      <c r="S16" s="668"/>
      <c r="T16" s="667"/>
      <c r="U16" s="668"/>
      <c r="V16" s="667"/>
      <c r="W16" s="668"/>
      <c r="X16" s="1264"/>
      <c r="Y16" s="3389"/>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89"/>
      <c r="Q18" s="1262"/>
      <c r="R18" s="667"/>
      <c r="S18" s="668"/>
      <c r="T18" s="667"/>
      <c r="U18" s="668"/>
      <c r="V18" s="667"/>
      <c r="W18" s="668"/>
      <c r="X18" s="1264"/>
      <c r="Y18" s="3389"/>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89"/>
      <c r="Q20" s="1262"/>
      <c r="R20" s="667"/>
      <c r="S20" s="668"/>
      <c r="T20" s="667"/>
      <c r="U20" s="668"/>
      <c r="V20" s="667"/>
      <c r="W20" s="668"/>
      <c r="X20" s="1264"/>
      <c r="Y20" s="3389"/>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389"/>
      <c r="Q22" s="1262"/>
      <c r="R22" s="667"/>
      <c r="S22" s="668"/>
      <c r="T22" s="667"/>
      <c r="U22" s="668"/>
      <c r="V22" s="667"/>
      <c r="W22" s="668"/>
      <c r="X22" s="1264"/>
      <c r="Y22" s="3389"/>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2" t="str">
        <f>B23</f>
        <v>环境质量</v>
      </c>
      <c r="R23" s="667" t="s">
        <v>14</v>
      </c>
      <c r="S23" s="668">
        <f>F23</f>
        <v>100</v>
      </c>
      <c r="T23" s="667" t="s">
        <v>14</v>
      </c>
      <c r="U23" s="668">
        <f>H23</f>
        <v>100</v>
      </c>
      <c r="V23" s="667" t="s">
        <v>14</v>
      </c>
      <c r="W23" s="668">
        <f>J23</f>
        <v>100</v>
      </c>
      <c r="X23" s="1264"/>
      <c r="Y23" s="338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89"/>
      <c r="Q24" s="1262"/>
      <c r="R24" s="667"/>
      <c r="S24" s="668"/>
      <c r="T24" s="667"/>
      <c r="U24" s="668"/>
      <c r="V24" s="667"/>
      <c r="W24" s="668"/>
      <c r="X24" s="1264"/>
      <c r="Y24" s="3389"/>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2">
        <f>B25</f>
        <v>111</v>
      </c>
      <c r="R25" s="667" t="s">
        <v>14</v>
      </c>
      <c r="S25" s="668">
        <f>F25</f>
        <v>100</v>
      </c>
      <c r="T25" s="667" t="s">
        <v>14</v>
      </c>
      <c r="U25" s="668">
        <f>H25</f>
        <v>100</v>
      </c>
      <c r="V25" s="667" t="s">
        <v>14</v>
      </c>
      <c r="W25" s="668">
        <f>J25</f>
        <v>100</v>
      </c>
      <c r="X25" s="1264"/>
      <c r="Y25" s="3389"/>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2">
        <f t="shared" ref="Q26:Q40" si="11">B26</f>
        <v>111</v>
      </c>
      <c r="R26" s="667" t="s">
        <v>14</v>
      </c>
      <c r="S26" s="668">
        <f>F26</f>
        <v>100</v>
      </c>
      <c r="T26" s="667" t="s">
        <v>14</v>
      </c>
      <c r="U26" s="668">
        <f>H26</f>
        <v>100</v>
      </c>
      <c r="V26" s="667" t="s">
        <v>14</v>
      </c>
      <c r="W26" s="668">
        <f>J26</f>
        <v>100</v>
      </c>
      <c r="X26" s="1264"/>
      <c r="Y26" s="3389"/>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2">
        <f t="shared" si="11"/>
        <v>111</v>
      </c>
      <c r="R28" s="667" t="s">
        <v>14</v>
      </c>
      <c r="S28" s="668">
        <f t="shared" ref="S28:S40" si="12">F28</f>
        <v>100</v>
      </c>
      <c r="T28" s="667" t="s">
        <v>14</v>
      </c>
      <c r="U28" s="668">
        <f t="shared" ref="U28:U40" si="13">H28</f>
        <v>100</v>
      </c>
      <c r="V28" s="667" t="s">
        <v>14</v>
      </c>
      <c r="W28" s="668">
        <f t="shared" ref="W28:W40" si="14">J28</f>
        <v>100</v>
      </c>
      <c r="X28" s="1264"/>
      <c r="Y28" s="338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6" t="s">
        <v>1696</v>
      </c>
      <c r="Q29" s="1262" t="str">
        <f t="shared" si="11"/>
        <v>建筑类型</v>
      </c>
      <c r="R29" s="667" t="s">
        <v>14</v>
      </c>
      <c r="S29" s="668">
        <f t="shared" si="12"/>
        <v>100</v>
      </c>
      <c r="T29" s="667" t="s">
        <v>14</v>
      </c>
      <c r="U29" s="668">
        <f t="shared" si="13"/>
        <v>100</v>
      </c>
      <c r="V29" s="667" t="s">
        <v>14</v>
      </c>
      <c r="W29" s="668">
        <f t="shared" si="14"/>
        <v>100</v>
      </c>
      <c r="X29" s="1264"/>
      <c r="Y29" s="339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2" t="str">
        <f t="shared" si="11"/>
        <v>建筑结构</v>
      </c>
      <c r="R31" s="667" t="s">
        <v>14</v>
      </c>
      <c r="S31" s="668">
        <f t="shared" si="12"/>
        <v>100</v>
      </c>
      <c r="T31" s="667" t="s">
        <v>14</v>
      </c>
      <c r="U31" s="668">
        <f t="shared" si="13"/>
        <v>100</v>
      </c>
      <c r="V31" s="667" t="s">
        <v>14</v>
      </c>
      <c r="W31" s="668">
        <f t="shared" si="14"/>
        <v>100</v>
      </c>
      <c r="X31" s="1264"/>
      <c r="Y31" s="339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2" t="str">
        <f t="shared" si="11"/>
        <v>公共部分装修</v>
      </c>
      <c r="R32" s="667" t="s">
        <v>14</v>
      </c>
      <c r="S32" s="668">
        <f t="shared" si="12"/>
        <v>100</v>
      </c>
      <c r="T32" s="667" t="s">
        <v>14</v>
      </c>
      <c r="U32" s="668">
        <f t="shared" si="13"/>
        <v>100</v>
      </c>
      <c r="V32" s="667" t="s">
        <v>14</v>
      </c>
      <c r="W32" s="668">
        <f t="shared" si="14"/>
        <v>100</v>
      </c>
      <c r="X32" s="1264"/>
      <c r="Y32" s="339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2" t="str">
        <f t="shared" si="11"/>
        <v>成新度</v>
      </c>
      <c r="R33" s="667" t="s">
        <v>14</v>
      </c>
      <c r="S33" s="668" t="e">
        <f t="shared" si="12"/>
        <v>#N/A</v>
      </c>
      <c r="T33" s="667" t="s">
        <v>14</v>
      </c>
      <c r="U33" s="668" t="e">
        <f t="shared" si="13"/>
        <v>#N/A</v>
      </c>
      <c r="V33" s="667" t="s">
        <v>14</v>
      </c>
      <c r="W33" s="668" t="e">
        <f t="shared" si="14"/>
        <v>#N/A</v>
      </c>
      <c r="X33" s="1264"/>
      <c r="Y33" s="339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2" t="str">
        <f t="shared" si="11"/>
        <v>市政基础设施</v>
      </c>
      <c r="R35" s="667" t="s">
        <v>14</v>
      </c>
      <c r="S35" s="668">
        <f t="shared" si="12"/>
        <v>100</v>
      </c>
      <c r="T35" s="667" t="s">
        <v>14</v>
      </c>
      <c r="U35" s="668">
        <f t="shared" si="13"/>
        <v>100</v>
      </c>
      <c r="V35" s="667" t="s">
        <v>14</v>
      </c>
      <c r="W35" s="668">
        <f t="shared" si="14"/>
        <v>100</v>
      </c>
      <c r="X35" s="1264"/>
      <c r="Y35" s="339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2" t="str">
        <f t="shared" si="11"/>
        <v>内部装修</v>
      </c>
      <c r="R36" s="667" t="s">
        <v>14</v>
      </c>
      <c r="S36" s="668">
        <f t="shared" si="12"/>
        <v>100</v>
      </c>
      <c r="T36" s="667" t="s">
        <v>14</v>
      </c>
      <c r="U36" s="668">
        <f t="shared" si="13"/>
        <v>100</v>
      </c>
      <c r="V36" s="667" t="s">
        <v>14</v>
      </c>
      <c r="W36" s="668">
        <f t="shared" si="14"/>
        <v>100</v>
      </c>
      <c r="X36" s="1264"/>
      <c r="Y36" s="339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2" t="str">
        <f t="shared" si="11"/>
        <v>内部装修状况</v>
      </c>
      <c r="R37" s="667" t="s">
        <v>14</v>
      </c>
      <c r="S37" s="668">
        <f t="shared" si="12"/>
        <v>100</v>
      </c>
      <c r="T37" s="667" t="s">
        <v>14</v>
      </c>
      <c r="U37" s="668">
        <f t="shared" si="13"/>
        <v>100</v>
      </c>
      <c r="V37" s="667" t="s">
        <v>14</v>
      </c>
      <c r="W37" s="668">
        <f t="shared" si="14"/>
        <v>100</v>
      </c>
      <c r="X37" s="1264"/>
      <c r="Y37" s="3393"/>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2">
        <f t="shared" si="11"/>
        <v>111</v>
      </c>
      <c r="R39" s="667" t="s">
        <v>14</v>
      </c>
      <c r="S39" s="668">
        <f t="shared" si="12"/>
        <v>100</v>
      </c>
      <c r="T39" s="667" t="s">
        <v>14</v>
      </c>
      <c r="U39" s="668">
        <f t="shared" si="13"/>
        <v>100</v>
      </c>
      <c r="V39" s="667" t="s">
        <v>14</v>
      </c>
      <c r="W39" s="668">
        <f t="shared" si="14"/>
        <v>100</v>
      </c>
      <c r="X39" s="1264"/>
      <c r="Y39" s="339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2">
        <f t="shared" si="11"/>
        <v>111</v>
      </c>
      <c r="R40" s="667" t="s">
        <v>14</v>
      </c>
      <c r="S40" s="668">
        <f t="shared" si="12"/>
        <v>100</v>
      </c>
      <c r="T40" s="667" t="s">
        <v>14</v>
      </c>
      <c r="U40" s="668">
        <f t="shared" si="13"/>
        <v>100</v>
      </c>
      <c r="V40" s="667" t="s">
        <v>14</v>
      </c>
      <c r="W40" s="668">
        <f t="shared" si="14"/>
        <v>100</v>
      </c>
      <c r="X40" s="1264"/>
      <c r="Y40" s="3394"/>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95" t="str">
        <f>A41</f>
        <v>成交单价（元/平方米）</v>
      </c>
      <c r="Q41" s="3395"/>
      <c r="R41" s="3383">
        <f>E41</f>
        <v>0</v>
      </c>
      <c r="S41" s="3383"/>
      <c r="T41" s="3383">
        <f>G41</f>
        <v>0</v>
      </c>
      <c r="U41" s="3383"/>
      <c r="V41" s="3383">
        <f>I41</f>
        <v>0</v>
      </c>
      <c r="W41" s="3383"/>
      <c r="X41" s="385"/>
      <c r="Y41" s="673"/>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3"/>
      <c r="M42" s="861"/>
      <c r="N42" s="861"/>
      <c r="O42" s="861"/>
      <c r="P42" s="3395" t="str">
        <f>A42</f>
        <v>比较价值（元/平方米）</v>
      </c>
      <c r="Q42" s="3395"/>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29" t="s">
        <v>1775</v>
      </c>
      <c r="Q4" s="3430"/>
      <c r="R4" s="3426" t="s">
        <v>1771</v>
      </c>
      <c r="S4" s="3427"/>
      <c r="T4" s="3426" t="s">
        <v>1772</v>
      </c>
      <c r="U4" s="3427"/>
      <c r="V4" s="3383" t="s">
        <v>1773</v>
      </c>
      <c r="W4" s="3383"/>
      <c r="X4" s="1264"/>
      <c r="Y4" s="3426" t="s">
        <v>1775</v>
      </c>
      <c r="Z4" s="3427"/>
      <c r="AA4" s="3425" t="s">
        <v>1771</v>
      </c>
      <c r="AB4" s="3349" t="s">
        <v>1772</v>
      </c>
      <c r="AC4" s="3425" t="s">
        <v>1773</v>
      </c>
    </row>
    <row r="5" spans="1:29" ht="15">
      <c r="A5" s="348"/>
      <c r="B5" s="349"/>
      <c r="C5" s="3359" t="s">
        <v>1673</v>
      </c>
      <c r="D5" s="3360"/>
      <c r="E5" s="3428" t="s">
        <v>1674</v>
      </c>
      <c r="F5" s="3358"/>
      <c r="G5" s="3359" t="s">
        <v>1675</v>
      </c>
      <c r="H5" s="3360"/>
      <c r="I5" s="3359" t="s">
        <v>1676</v>
      </c>
      <c r="J5" s="3360"/>
      <c r="K5" s="537"/>
      <c r="L5" s="2486"/>
      <c r="M5" s="2487"/>
      <c r="N5" s="2487"/>
      <c r="O5" s="2487"/>
      <c r="P5" s="3431"/>
      <c r="Q5" s="3377"/>
      <c r="R5" s="3355"/>
      <c r="S5" s="3356"/>
      <c r="T5" s="3355"/>
      <c r="U5" s="3356"/>
      <c r="V5" s="3383"/>
      <c r="W5" s="3383"/>
      <c r="X5" s="1264"/>
      <c r="Y5" s="3355"/>
      <c r="Z5" s="3356"/>
      <c r="AA5" s="3349"/>
      <c r="AB5" s="3349"/>
      <c r="AC5" s="3349"/>
    </row>
    <row r="6" spans="1:29" ht="15.75" thickBot="1">
      <c r="A6" s="350"/>
      <c r="B6" s="351"/>
      <c r="C6" s="3361" t="s">
        <v>1677</v>
      </c>
      <c r="D6" s="3362"/>
      <c r="E6" s="3364" t="s">
        <v>1677</v>
      </c>
      <c r="F6" s="3365"/>
      <c r="G6" s="3361" t="s">
        <v>1677</v>
      </c>
      <c r="H6" s="3362"/>
      <c r="I6" s="3361" t="s">
        <v>1677</v>
      </c>
      <c r="J6" s="3362"/>
      <c r="K6" s="537" t="s">
        <v>1678</v>
      </c>
      <c r="L6" s="2486"/>
      <c r="M6" s="2487"/>
      <c r="N6" s="2487"/>
      <c r="O6" s="2487"/>
      <c r="P6" s="3432"/>
      <c r="Q6" s="3379"/>
      <c r="R6" s="3355"/>
      <c r="S6" s="3356"/>
      <c r="T6" s="3380"/>
      <c r="U6" s="3381"/>
      <c r="V6" s="3383"/>
      <c r="W6" s="3383"/>
      <c r="X6" s="1264"/>
      <c r="Y6" s="3380"/>
      <c r="Z6" s="3381"/>
      <c r="AA6" s="3350"/>
      <c r="AB6" s="3350"/>
      <c r="AC6" s="3350"/>
    </row>
    <row r="7" spans="1:29" s="102" customFormat="1" ht="15.75" thickBot="1">
      <c r="A7" s="352" t="s">
        <v>1679</v>
      </c>
      <c r="B7" s="353"/>
      <c r="C7" s="354">
        <f>'数据-取费表'!B2</f>
        <v>45748</v>
      </c>
      <c r="D7" s="355">
        <v>100</v>
      </c>
      <c r="E7" s="356"/>
      <c r="F7" s="357">
        <f>SUMIF(48:48,YEAR(E7)&amp;"-"&amp;MONTH(E7),49:49)</f>
        <v>0</v>
      </c>
      <c r="G7" s="356"/>
      <c r="H7" s="355">
        <f>SUMIF(48:48,YEAR(G7)&amp;"-"&amp;MONTH(G7),49:49)</f>
        <v>0</v>
      </c>
      <c r="I7" s="356"/>
      <c r="J7" s="355">
        <f>SUMIF(48:48,YEAR(I7)&amp;"-"&amp;MONTH(I7),49:49)</f>
        <v>0</v>
      </c>
      <c r="K7" s="38"/>
      <c r="L7" s="2488"/>
      <c r="M7" s="2439"/>
      <c r="N7" s="2439"/>
      <c r="O7" s="2439"/>
      <c r="P7" s="3351" t="s">
        <v>1680</v>
      </c>
      <c r="Q7" s="3385"/>
      <c r="R7" s="664" t="s">
        <v>14</v>
      </c>
      <c r="S7" s="665">
        <f t="shared" ref="S7:S14" si="0">F7</f>
        <v>0</v>
      </c>
      <c r="T7" s="664" t="s">
        <v>14</v>
      </c>
      <c r="U7" s="665">
        <f t="shared" ref="U7:U14" si="1">H7</f>
        <v>0</v>
      </c>
      <c r="V7" s="664" t="s">
        <v>14</v>
      </c>
      <c r="W7" s="665">
        <f t="shared" ref="W7:W14" si="2">J7</f>
        <v>0</v>
      </c>
      <c r="X7" s="666"/>
      <c r="Y7" s="3351" t="s">
        <v>1680</v>
      </c>
      <c r="Z7" s="335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51" t="s">
        <v>1683</v>
      </c>
      <c r="Q8" s="3352"/>
      <c r="R8" s="664" t="s">
        <v>14</v>
      </c>
      <c r="S8" s="665">
        <f t="shared" si="0"/>
        <v>100</v>
      </c>
      <c r="T8" s="664" t="s">
        <v>14</v>
      </c>
      <c r="U8" s="665">
        <f t="shared" si="1"/>
        <v>100</v>
      </c>
      <c r="V8" s="664" t="s">
        <v>14</v>
      </c>
      <c r="W8" s="665">
        <f t="shared" si="2"/>
        <v>100</v>
      </c>
      <c r="X8" s="666"/>
      <c r="Y8" s="3351" t="s">
        <v>1683</v>
      </c>
      <c r="Z8" s="335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5"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5"/>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8" t="s">
        <v>1691</v>
      </c>
      <c r="Q14" s="1262" t="str">
        <f t="shared" si="6"/>
        <v>交通便捷度</v>
      </c>
      <c r="R14" s="667" t="s">
        <v>14</v>
      </c>
      <c r="S14" s="668">
        <f t="shared" si="0"/>
        <v>100</v>
      </c>
      <c r="T14" s="667" t="s">
        <v>14</v>
      </c>
      <c r="U14" s="668">
        <f t="shared" si="1"/>
        <v>100</v>
      </c>
      <c r="V14" s="667" t="s">
        <v>14</v>
      </c>
      <c r="W14" s="668">
        <f t="shared" si="2"/>
        <v>100</v>
      </c>
      <c r="X14" s="1264"/>
      <c r="Y14" s="338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89"/>
      <c r="Q15" s="1262"/>
      <c r="R15" s="667"/>
      <c r="S15" s="668"/>
      <c r="T15" s="667"/>
      <c r="U15" s="668"/>
      <c r="V15" s="667"/>
      <c r="W15" s="668"/>
      <c r="X15" s="1264"/>
      <c r="Y15" s="3389"/>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9"/>
      <c r="Q16" s="1262" t="str">
        <f>B16</f>
        <v>公共配套设施</v>
      </c>
      <c r="R16" s="667" t="s">
        <v>14</v>
      </c>
      <c r="S16" s="668">
        <f>F16</f>
        <v>100</v>
      </c>
      <c r="T16" s="667" t="s">
        <v>14</v>
      </c>
      <c r="U16" s="668">
        <f>H16</f>
        <v>100</v>
      </c>
      <c r="V16" s="667" t="s">
        <v>14</v>
      </c>
      <c r="W16" s="668">
        <f>J16</f>
        <v>100</v>
      </c>
      <c r="X16" s="1264"/>
      <c r="Y16" s="338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89"/>
      <c r="Q17" s="1262"/>
      <c r="R17" s="667"/>
      <c r="S17" s="668"/>
      <c r="T17" s="667"/>
      <c r="U17" s="668"/>
      <c r="V17" s="667"/>
      <c r="W17" s="668"/>
      <c r="X17" s="1264"/>
      <c r="Y17" s="3389"/>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9"/>
      <c r="Q18" s="1262" t="str">
        <f>B18</f>
        <v>基础设施水平</v>
      </c>
      <c r="R18" s="667" t="s">
        <v>14</v>
      </c>
      <c r="S18" s="668">
        <f>F18</f>
        <v>100</v>
      </c>
      <c r="T18" s="667" t="s">
        <v>14</v>
      </c>
      <c r="U18" s="668">
        <f>H18</f>
        <v>100</v>
      </c>
      <c r="V18" s="667" t="s">
        <v>14</v>
      </c>
      <c r="W18" s="668">
        <f>J18</f>
        <v>100</v>
      </c>
      <c r="X18" s="1264"/>
      <c r="Y18" s="338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89"/>
      <c r="Q19" s="1262"/>
      <c r="R19" s="667"/>
      <c r="S19" s="668"/>
      <c r="T19" s="667"/>
      <c r="U19" s="668"/>
      <c r="V19" s="667"/>
      <c r="W19" s="668"/>
      <c r="X19" s="1264"/>
      <c r="Y19" s="3389"/>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9"/>
      <c r="Q20" s="1262" t="str">
        <f>B20</f>
        <v>自然及人文环境</v>
      </c>
      <c r="R20" s="667" t="s">
        <v>14</v>
      </c>
      <c r="S20" s="668">
        <f>F20</f>
        <v>100</v>
      </c>
      <c r="T20" s="667" t="s">
        <v>14</v>
      </c>
      <c r="U20" s="668">
        <f>H20</f>
        <v>100</v>
      </c>
      <c r="V20" s="667" t="s">
        <v>14</v>
      </c>
      <c r="W20" s="668">
        <f>J20</f>
        <v>100</v>
      </c>
      <c r="X20" s="1264"/>
      <c r="Y20" s="338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89"/>
      <c r="Q21" s="1262"/>
      <c r="R21" s="667"/>
      <c r="S21" s="668"/>
      <c r="T21" s="667"/>
      <c r="U21" s="668"/>
      <c r="V21" s="667"/>
      <c r="W21" s="668"/>
      <c r="X21" s="1264"/>
      <c r="Y21" s="338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9"/>
      <c r="Q22" s="1262" t="str">
        <f>B22</f>
        <v>楼层</v>
      </c>
      <c r="R22" s="667" t="s">
        <v>14</v>
      </c>
      <c r="S22" s="668">
        <f>F22</f>
        <v>100</v>
      </c>
      <c r="T22" s="667" t="s">
        <v>14</v>
      </c>
      <c r="U22" s="668">
        <f>H22</f>
        <v>100</v>
      </c>
      <c r="V22" s="667" t="s">
        <v>14</v>
      </c>
      <c r="W22" s="668">
        <f>J22</f>
        <v>100</v>
      </c>
      <c r="X22" s="1264"/>
      <c r="Y22" s="338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9"/>
      <c r="Q23" s="1262">
        <f>B23</f>
        <v>111</v>
      </c>
      <c r="R23" s="667" t="s">
        <v>14</v>
      </c>
      <c r="S23" s="668">
        <f>F23</f>
        <v>100</v>
      </c>
      <c r="T23" s="667" t="s">
        <v>14</v>
      </c>
      <c r="U23" s="668">
        <f>H23</f>
        <v>100</v>
      </c>
      <c r="V23" s="667" t="s">
        <v>14</v>
      </c>
      <c r="W23" s="668">
        <f>J23</f>
        <v>100</v>
      </c>
      <c r="X23" s="1264"/>
      <c r="Y23" s="338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9"/>
      <c r="Q24" s="1262">
        <f t="shared" ref="Q24:Q36" si="11">B24</f>
        <v>111</v>
      </c>
      <c r="R24" s="667" t="s">
        <v>14</v>
      </c>
      <c r="S24" s="668">
        <f>F24</f>
        <v>100</v>
      </c>
      <c r="T24" s="667" t="s">
        <v>14</v>
      </c>
      <c r="U24" s="668">
        <f>H24</f>
        <v>100</v>
      </c>
      <c r="V24" s="667" t="s">
        <v>14</v>
      </c>
      <c r="W24" s="668">
        <f>J24</f>
        <v>100</v>
      </c>
      <c r="X24" s="1264"/>
      <c r="Y24" s="338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9"/>
      <c r="Q25" s="530">
        <f t="shared" si="11"/>
        <v>111</v>
      </c>
      <c r="R25" s="664" t="s">
        <v>14</v>
      </c>
      <c r="S25" s="665">
        <f>F25</f>
        <v>100</v>
      </c>
      <c r="T25" s="664" t="s">
        <v>14</v>
      </c>
      <c r="U25" s="665">
        <f>H25</f>
        <v>100</v>
      </c>
      <c r="V25" s="664" t="s">
        <v>14</v>
      </c>
      <c r="W25" s="665">
        <f>J25</f>
        <v>100</v>
      </c>
      <c r="X25" s="666"/>
      <c r="Y25" s="3389"/>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3"/>
      <c r="Q28" s="1262" t="str">
        <f t="shared" si="11"/>
        <v>公共部分装修</v>
      </c>
      <c r="R28" s="667" t="s">
        <v>14</v>
      </c>
      <c r="S28" s="668">
        <f t="shared" si="12"/>
        <v>100</v>
      </c>
      <c r="T28" s="667" t="s">
        <v>14</v>
      </c>
      <c r="U28" s="668">
        <f t="shared" si="13"/>
        <v>100</v>
      </c>
      <c r="V28" s="667" t="s">
        <v>14</v>
      </c>
      <c r="W28" s="668">
        <f t="shared" si="14"/>
        <v>100</v>
      </c>
      <c r="X28" s="1264"/>
      <c r="Y28" s="339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3"/>
      <c r="Q29" s="1262" t="str">
        <f t="shared" si="11"/>
        <v>成新率</v>
      </c>
      <c r="R29" s="667" t="s">
        <v>14</v>
      </c>
      <c r="S29" s="668" t="e">
        <f t="shared" si="12"/>
        <v>#N/A</v>
      </c>
      <c r="T29" s="667" t="s">
        <v>14</v>
      </c>
      <c r="U29" s="668" t="e">
        <f t="shared" si="13"/>
        <v>#N/A</v>
      </c>
      <c r="V29" s="667" t="s">
        <v>14</v>
      </c>
      <c r="W29" s="668" t="e">
        <f t="shared" si="14"/>
        <v>#N/A</v>
      </c>
      <c r="X29" s="1264"/>
      <c r="Y29" s="339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3"/>
      <c r="Q30" s="1262" t="str">
        <f t="shared" si="11"/>
        <v>物业等级</v>
      </c>
      <c r="R30" s="667" t="s">
        <v>14</v>
      </c>
      <c r="S30" s="668">
        <f t="shared" si="12"/>
        <v>100</v>
      </c>
      <c r="T30" s="667" t="s">
        <v>14</v>
      </c>
      <c r="U30" s="668">
        <f t="shared" si="13"/>
        <v>100</v>
      </c>
      <c r="V30" s="667" t="s">
        <v>14</v>
      </c>
      <c r="W30" s="668">
        <f t="shared" si="14"/>
        <v>100</v>
      </c>
      <c r="X30" s="1264"/>
      <c r="Y30" s="339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3" t="s">
        <v>1696</v>
      </c>
      <c r="Q32" s="1262" t="str">
        <f t="shared" si="11"/>
        <v>车位类型</v>
      </c>
      <c r="R32" s="667" t="s">
        <v>14</v>
      </c>
      <c r="S32" s="668">
        <f t="shared" si="12"/>
        <v>100</v>
      </c>
      <c r="T32" s="667" t="s">
        <v>14</v>
      </c>
      <c r="U32" s="668">
        <f t="shared" si="13"/>
        <v>100</v>
      </c>
      <c r="V32" s="667" t="s">
        <v>14</v>
      </c>
      <c r="W32" s="668">
        <f t="shared" si="14"/>
        <v>100</v>
      </c>
      <c r="X32" s="1264"/>
      <c r="Y32" s="339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3"/>
      <c r="Q33" s="1262" t="str">
        <f t="shared" si="11"/>
        <v>是否直接入户</v>
      </c>
      <c r="R33" s="667" t="s">
        <v>14</v>
      </c>
      <c r="S33" s="668">
        <f t="shared" si="12"/>
        <v>100</v>
      </c>
      <c r="T33" s="667" t="s">
        <v>14</v>
      </c>
      <c r="U33" s="668">
        <f t="shared" si="13"/>
        <v>100</v>
      </c>
      <c r="V33" s="667" t="s">
        <v>14</v>
      </c>
      <c r="W33" s="668">
        <f t="shared" si="14"/>
        <v>100</v>
      </c>
      <c r="X33" s="1264"/>
      <c r="Y33" s="339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3"/>
      <c r="Q36" s="1262">
        <f t="shared" si="11"/>
        <v>111</v>
      </c>
      <c r="R36" s="667" t="s">
        <v>14</v>
      </c>
      <c r="S36" s="668">
        <f t="shared" si="12"/>
        <v>100</v>
      </c>
      <c r="T36" s="667" t="s">
        <v>14</v>
      </c>
      <c r="U36" s="668">
        <f t="shared" si="13"/>
        <v>100</v>
      </c>
      <c r="V36" s="667" t="s">
        <v>14</v>
      </c>
      <c r="W36" s="668">
        <f t="shared" si="14"/>
        <v>100</v>
      </c>
      <c r="X36" s="1264"/>
      <c r="Y36" s="3393"/>
      <c r="Z36" s="1263">
        <f t="shared" si="15"/>
        <v>111</v>
      </c>
      <c r="AA36" s="1263">
        <f t="shared" si="3"/>
        <v>1</v>
      </c>
      <c r="AB36" s="1263">
        <f t="shared" si="4"/>
        <v>1</v>
      </c>
      <c r="AC36" s="1263">
        <f t="shared" si="5"/>
        <v>1</v>
      </c>
    </row>
    <row r="37" spans="1:29" ht="15">
      <c r="A37" s="416" t="s">
        <v>1844</v>
      </c>
      <c r="B37" s="1820" t="s">
        <v>3353</v>
      </c>
      <c r="C37" s="1080" t="s">
        <v>0</v>
      </c>
      <c r="D37" s="418"/>
      <c r="E37" s="419"/>
      <c r="F37" s="420"/>
      <c r="G37" s="421"/>
      <c r="H37" s="422"/>
      <c r="I37" s="419"/>
      <c r="J37" s="422"/>
      <c r="K37" s="545"/>
      <c r="L37" s="2494"/>
      <c r="M37" s="2487"/>
      <c r="N37" s="2487"/>
      <c r="O37" s="2487"/>
      <c r="P37" s="3395" t="str">
        <f>A37</f>
        <v>成交单价</v>
      </c>
      <c r="Q37" s="3395"/>
      <c r="R37" s="3383">
        <f>E37</f>
        <v>0</v>
      </c>
      <c r="S37" s="3383"/>
      <c r="T37" s="3383">
        <f>G37</f>
        <v>0</v>
      </c>
      <c r="U37" s="3383"/>
      <c r="V37" s="3383">
        <f>I37</f>
        <v>0</v>
      </c>
      <c r="W37" s="3383"/>
      <c r="X37" s="385"/>
      <c r="Y37" s="673"/>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95" t="str">
        <f>A38</f>
        <v>比较价值（元/平方米）</v>
      </c>
      <c r="Q38" s="3395"/>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33" t="str">
        <f>A39</f>
        <v>估价对象XX用房的比较价值（楼面单价，元/平方米）</v>
      </c>
      <c r="Q39" s="3434"/>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1"/>
      <c r="C47" s="886"/>
      <c r="D47" s="886"/>
      <c r="E47" s="886"/>
      <c r="F47" s="1087"/>
      <c r="G47" s="1087"/>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29" t="s">
        <v>1775</v>
      </c>
      <c r="Q4" s="3430"/>
      <c r="R4" s="3426" t="s">
        <v>1771</v>
      </c>
      <c r="S4" s="3427"/>
      <c r="T4" s="3426" t="s">
        <v>1772</v>
      </c>
      <c r="U4" s="3427"/>
      <c r="V4" s="3383" t="s">
        <v>1773</v>
      </c>
      <c r="W4" s="3383"/>
      <c r="X4" s="1264"/>
      <c r="Y4" s="3426" t="s">
        <v>1775</v>
      </c>
      <c r="Z4" s="3427"/>
      <c r="AA4" s="3425" t="s">
        <v>1771</v>
      </c>
      <c r="AB4" s="3349" t="s">
        <v>1772</v>
      </c>
      <c r="AC4" s="3425" t="s">
        <v>1773</v>
      </c>
    </row>
    <row r="5" spans="1:29" ht="15">
      <c r="A5" s="348"/>
      <c r="B5" s="349"/>
      <c r="C5" s="3359" t="s">
        <v>1673</v>
      </c>
      <c r="D5" s="3360"/>
      <c r="E5" s="3428" t="s">
        <v>1674</v>
      </c>
      <c r="F5" s="3358"/>
      <c r="G5" s="3359" t="s">
        <v>1675</v>
      </c>
      <c r="H5" s="3360"/>
      <c r="I5" s="3359" t="s">
        <v>1676</v>
      </c>
      <c r="J5" s="3360"/>
      <c r="K5" s="537"/>
      <c r="L5" s="2486"/>
      <c r="M5" s="2487"/>
      <c r="N5" s="2487"/>
      <c r="O5" s="2487"/>
      <c r="P5" s="3431"/>
      <c r="Q5" s="3377"/>
      <c r="R5" s="3355"/>
      <c r="S5" s="3356"/>
      <c r="T5" s="3355"/>
      <c r="U5" s="3356"/>
      <c r="V5" s="3383"/>
      <c r="W5" s="3383"/>
      <c r="X5" s="1264"/>
      <c r="Y5" s="3355"/>
      <c r="Z5" s="3356"/>
      <c r="AA5" s="3349"/>
      <c r="AB5" s="3349"/>
      <c r="AC5" s="3349"/>
    </row>
    <row r="6" spans="1:29" ht="15.75" thickBot="1">
      <c r="A6" s="350"/>
      <c r="B6" s="351"/>
      <c r="C6" s="3361" t="s">
        <v>1677</v>
      </c>
      <c r="D6" s="3362"/>
      <c r="E6" s="3364" t="s">
        <v>1677</v>
      </c>
      <c r="F6" s="3365"/>
      <c r="G6" s="3361" t="s">
        <v>1677</v>
      </c>
      <c r="H6" s="3362"/>
      <c r="I6" s="3361" t="s">
        <v>1677</v>
      </c>
      <c r="J6" s="3362"/>
      <c r="K6" s="537" t="s">
        <v>1678</v>
      </c>
      <c r="L6" s="2486"/>
      <c r="M6" s="2487"/>
      <c r="N6" s="2487"/>
      <c r="O6" s="2487"/>
      <c r="P6" s="3432"/>
      <c r="Q6" s="3379"/>
      <c r="R6" s="3355"/>
      <c r="S6" s="3356"/>
      <c r="T6" s="3380"/>
      <c r="U6" s="3381"/>
      <c r="V6" s="3383"/>
      <c r="W6" s="3383"/>
      <c r="X6" s="1264"/>
      <c r="Y6" s="3380"/>
      <c r="Z6" s="3381"/>
      <c r="AA6" s="3350"/>
      <c r="AB6" s="3350"/>
      <c r="AC6" s="3350"/>
    </row>
    <row r="7" spans="1:29" s="102" customFormat="1" ht="15.75" thickBot="1">
      <c r="A7" s="352" t="s">
        <v>1679</v>
      </c>
      <c r="B7" s="353"/>
      <c r="C7" s="354">
        <f>'数据-取费表'!B2</f>
        <v>45748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51" t="s">
        <v>1680</v>
      </c>
      <c r="Q7" s="3385"/>
      <c r="R7" s="664" t="s">
        <v>14</v>
      </c>
      <c r="S7" s="665">
        <f t="shared" ref="S7:S14" si="0">F7</f>
        <v>0</v>
      </c>
      <c r="T7" s="664" t="s">
        <v>14</v>
      </c>
      <c r="U7" s="665">
        <f t="shared" ref="U7:U14" si="1">H7</f>
        <v>0</v>
      </c>
      <c r="V7" s="664" t="s">
        <v>14</v>
      </c>
      <c r="W7" s="665">
        <f t="shared" ref="W7:W14" si="2">J7</f>
        <v>0</v>
      </c>
      <c r="X7" s="666"/>
      <c r="Y7" s="3351" t="s">
        <v>1680</v>
      </c>
      <c r="Z7" s="335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51" t="s">
        <v>1683</v>
      </c>
      <c r="Q8" s="3352"/>
      <c r="R8" s="664" t="s">
        <v>14</v>
      </c>
      <c r="S8" s="665">
        <f t="shared" si="0"/>
        <v>100</v>
      </c>
      <c r="T8" s="664" t="s">
        <v>14</v>
      </c>
      <c r="U8" s="665">
        <f t="shared" si="1"/>
        <v>100</v>
      </c>
      <c r="V8" s="664" t="s">
        <v>14</v>
      </c>
      <c r="W8" s="665">
        <f t="shared" si="2"/>
        <v>100</v>
      </c>
      <c r="X8" s="666"/>
      <c r="Y8" s="3351" t="s">
        <v>1683</v>
      </c>
      <c r="Z8" s="335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5"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5"/>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5"/>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5"/>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5"/>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8" t="s">
        <v>1691</v>
      </c>
      <c r="Q14" s="1262" t="str">
        <f t="shared" si="6"/>
        <v>交通便捷度</v>
      </c>
      <c r="R14" s="667" t="s">
        <v>14</v>
      </c>
      <c r="S14" s="668">
        <f t="shared" si="0"/>
        <v>100</v>
      </c>
      <c r="T14" s="667" t="s">
        <v>14</v>
      </c>
      <c r="U14" s="668">
        <f t="shared" si="1"/>
        <v>100</v>
      </c>
      <c r="V14" s="667" t="s">
        <v>14</v>
      </c>
      <c r="W14" s="668">
        <f t="shared" si="2"/>
        <v>100</v>
      </c>
      <c r="X14" s="1264"/>
      <c r="Y14" s="338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89"/>
      <c r="Q15" s="1262"/>
      <c r="R15" s="667"/>
      <c r="S15" s="668"/>
      <c r="T15" s="667"/>
      <c r="U15" s="668"/>
      <c r="V15" s="667"/>
      <c r="W15" s="668"/>
      <c r="X15" s="1264"/>
      <c r="Y15" s="3389"/>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9"/>
      <c r="Q16" s="1262" t="str">
        <f>B16</f>
        <v>公共配套设施</v>
      </c>
      <c r="R16" s="667" t="s">
        <v>14</v>
      </c>
      <c r="S16" s="668">
        <f>F16</f>
        <v>100</v>
      </c>
      <c r="T16" s="667" t="s">
        <v>14</v>
      </c>
      <c r="U16" s="668">
        <f>H16</f>
        <v>100</v>
      </c>
      <c r="V16" s="667" t="s">
        <v>14</v>
      </c>
      <c r="W16" s="668">
        <f>J16</f>
        <v>100</v>
      </c>
      <c r="X16" s="1264"/>
      <c r="Y16" s="338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89"/>
      <c r="Q17" s="1262"/>
      <c r="R17" s="667"/>
      <c r="S17" s="668"/>
      <c r="T17" s="667"/>
      <c r="U17" s="668"/>
      <c r="V17" s="667"/>
      <c r="W17" s="668"/>
      <c r="X17" s="1264"/>
      <c r="Y17" s="3389"/>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9"/>
      <c r="Q18" s="1262" t="str">
        <f>B18</f>
        <v>基础设施水平</v>
      </c>
      <c r="R18" s="667" t="s">
        <v>14</v>
      </c>
      <c r="S18" s="668">
        <f>F18</f>
        <v>100</v>
      </c>
      <c r="T18" s="667" t="s">
        <v>14</v>
      </c>
      <c r="U18" s="668">
        <f>H18</f>
        <v>100</v>
      </c>
      <c r="V18" s="667" t="s">
        <v>14</v>
      </c>
      <c r="W18" s="668">
        <f>J18</f>
        <v>100</v>
      </c>
      <c r="X18" s="1264"/>
      <c r="Y18" s="338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89"/>
      <c r="Q19" s="1262"/>
      <c r="R19" s="667"/>
      <c r="S19" s="668"/>
      <c r="T19" s="667"/>
      <c r="U19" s="668"/>
      <c r="V19" s="667"/>
      <c r="W19" s="668"/>
      <c r="X19" s="1264"/>
      <c r="Y19" s="3389"/>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9"/>
      <c r="Q20" s="1262" t="str">
        <f>B20</f>
        <v>自然及人文环境</v>
      </c>
      <c r="R20" s="667" t="s">
        <v>14</v>
      </c>
      <c r="S20" s="668">
        <f>F20</f>
        <v>100</v>
      </c>
      <c r="T20" s="667" t="s">
        <v>14</v>
      </c>
      <c r="U20" s="668">
        <f>H20</f>
        <v>100</v>
      </c>
      <c r="V20" s="667" t="s">
        <v>14</v>
      </c>
      <c r="W20" s="668">
        <f>J20</f>
        <v>100</v>
      </c>
      <c r="X20" s="1264"/>
      <c r="Y20" s="338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89"/>
      <c r="Q21" s="1262"/>
      <c r="R21" s="667"/>
      <c r="S21" s="668"/>
      <c r="T21" s="667"/>
      <c r="U21" s="668"/>
      <c r="V21" s="667"/>
      <c r="W21" s="668"/>
      <c r="X21" s="1264"/>
      <c r="Y21" s="338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9"/>
      <c r="Q22" s="1262" t="str">
        <f>B22</f>
        <v>楼层</v>
      </c>
      <c r="R22" s="667" t="s">
        <v>14</v>
      </c>
      <c r="S22" s="668">
        <f>F22</f>
        <v>100</v>
      </c>
      <c r="T22" s="667" t="s">
        <v>14</v>
      </c>
      <c r="U22" s="668">
        <f>H22</f>
        <v>100</v>
      </c>
      <c r="V22" s="667" t="s">
        <v>14</v>
      </c>
      <c r="W22" s="668">
        <f>J22</f>
        <v>100</v>
      </c>
      <c r="X22" s="1264"/>
      <c r="Y22" s="338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9"/>
      <c r="Q23" s="1262">
        <f>B23</f>
        <v>111</v>
      </c>
      <c r="R23" s="667" t="s">
        <v>14</v>
      </c>
      <c r="S23" s="668">
        <f>F23</f>
        <v>100</v>
      </c>
      <c r="T23" s="667" t="s">
        <v>14</v>
      </c>
      <c r="U23" s="668">
        <f>H23</f>
        <v>100</v>
      </c>
      <c r="V23" s="667" t="s">
        <v>14</v>
      </c>
      <c r="W23" s="668">
        <f>J23</f>
        <v>100</v>
      </c>
      <c r="X23" s="1264"/>
      <c r="Y23" s="338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9"/>
      <c r="Q24" s="1262">
        <f t="shared" ref="Q24:Q34" si="11">B24</f>
        <v>111</v>
      </c>
      <c r="R24" s="667" t="s">
        <v>14</v>
      </c>
      <c r="S24" s="668">
        <f>F24</f>
        <v>100</v>
      </c>
      <c r="T24" s="667" t="s">
        <v>14</v>
      </c>
      <c r="U24" s="668">
        <f>H24</f>
        <v>100</v>
      </c>
      <c r="V24" s="667" t="s">
        <v>14</v>
      </c>
      <c r="W24" s="668">
        <f>J24</f>
        <v>100</v>
      </c>
      <c r="X24" s="1264"/>
      <c r="Y24" s="3389"/>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89"/>
      <c r="Q25" s="530">
        <f t="shared" si="11"/>
        <v>111</v>
      </c>
      <c r="R25" s="664" t="s">
        <v>14</v>
      </c>
      <c r="S25" s="665">
        <f>F25</f>
        <v>100</v>
      </c>
      <c r="T25" s="664" t="s">
        <v>14</v>
      </c>
      <c r="U25" s="665">
        <f>H25</f>
        <v>100</v>
      </c>
      <c r="V25" s="664" t="s">
        <v>14</v>
      </c>
      <c r="W25" s="665">
        <f>J25</f>
        <v>100</v>
      </c>
      <c r="X25" s="666"/>
      <c r="Y25" s="338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3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3"/>
      <c r="Q28" s="1262" t="str">
        <f t="shared" si="11"/>
        <v>物业等级</v>
      </c>
      <c r="R28" s="667" t="s">
        <v>14</v>
      </c>
      <c r="S28" s="668">
        <f t="shared" si="12"/>
        <v>100</v>
      </c>
      <c r="T28" s="667" t="s">
        <v>14</v>
      </c>
      <c r="U28" s="668">
        <f t="shared" si="13"/>
        <v>100</v>
      </c>
      <c r="V28" s="667" t="s">
        <v>14</v>
      </c>
      <c r="W28" s="668">
        <f t="shared" si="14"/>
        <v>100</v>
      </c>
      <c r="X28" s="1264"/>
      <c r="Y28" s="339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3"/>
      <c r="Q29" s="1262" t="str">
        <f t="shared" si="11"/>
        <v>有无电梯</v>
      </c>
      <c r="R29" s="667" t="s">
        <v>14</v>
      </c>
      <c r="S29" s="668">
        <f t="shared" si="12"/>
        <v>100</v>
      </c>
      <c r="T29" s="667" t="s">
        <v>14</v>
      </c>
      <c r="U29" s="668">
        <f t="shared" si="13"/>
        <v>100</v>
      </c>
      <c r="V29" s="667" t="s">
        <v>14</v>
      </c>
      <c r="W29" s="668">
        <f t="shared" si="14"/>
        <v>100</v>
      </c>
      <c r="X29" s="1264"/>
      <c r="Y29" s="339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3"/>
      <c r="Q30" s="1262" t="str">
        <f t="shared" si="11"/>
        <v>建筑面积</v>
      </c>
      <c r="R30" s="667" t="s">
        <v>14</v>
      </c>
      <c r="S30" s="668" t="e">
        <f t="shared" si="12"/>
        <v>#N/A</v>
      </c>
      <c r="T30" s="667" t="s">
        <v>14</v>
      </c>
      <c r="U30" s="668" t="e">
        <f t="shared" si="13"/>
        <v>#N/A</v>
      </c>
      <c r="V30" s="667" t="s">
        <v>14</v>
      </c>
      <c r="W30" s="668" t="e">
        <f t="shared" si="14"/>
        <v>#N/A</v>
      </c>
      <c r="X30" s="1264"/>
      <c r="Y30" s="339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3" t="s">
        <v>1696</v>
      </c>
      <c r="Q32" s="1262">
        <f t="shared" si="11"/>
        <v>111</v>
      </c>
      <c r="R32" s="667" t="s">
        <v>14</v>
      </c>
      <c r="S32" s="668">
        <f t="shared" si="12"/>
        <v>100</v>
      </c>
      <c r="T32" s="667" t="s">
        <v>14</v>
      </c>
      <c r="U32" s="668">
        <f t="shared" si="13"/>
        <v>100</v>
      </c>
      <c r="V32" s="667" t="s">
        <v>14</v>
      </c>
      <c r="W32" s="668">
        <f t="shared" si="14"/>
        <v>100</v>
      </c>
      <c r="X32" s="1264"/>
      <c r="Y32" s="339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3"/>
      <c r="Q33" s="1262">
        <f t="shared" si="11"/>
        <v>111</v>
      </c>
      <c r="R33" s="667" t="s">
        <v>14</v>
      </c>
      <c r="S33" s="668">
        <f t="shared" si="12"/>
        <v>100</v>
      </c>
      <c r="T33" s="667" t="s">
        <v>14</v>
      </c>
      <c r="U33" s="668">
        <f t="shared" si="13"/>
        <v>100</v>
      </c>
      <c r="V33" s="667" t="s">
        <v>14</v>
      </c>
      <c r="W33" s="668">
        <f t="shared" si="14"/>
        <v>100</v>
      </c>
      <c r="X33" s="1264"/>
      <c r="Y33" s="339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395" t="str">
        <f>A35</f>
        <v>成交单价（元/平方米）</v>
      </c>
      <c r="Q35" s="3395"/>
      <c r="R35" s="3383">
        <f>E35</f>
        <v>0</v>
      </c>
      <c r="S35" s="3383"/>
      <c r="T35" s="3383">
        <f>G35</f>
        <v>0</v>
      </c>
      <c r="U35" s="3383"/>
      <c r="V35" s="3383">
        <f>I35</f>
        <v>0</v>
      </c>
      <c r="W35" s="3383"/>
      <c r="X35" s="385"/>
      <c r="Y35" s="673"/>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95" t="str">
        <f>A36</f>
        <v>比较价值（元/平方米）</v>
      </c>
      <c r="Q36" s="3395"/>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33" t="str">
        <f>A37</f>
        <v>估价对象XX用房的比较价值（楼面单价，元/平方米）</v>
      </c>
      <c r="Q37" s="3434"/>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29" t="s">
        <v>1775</v>
      </c>
      <c r="Q4" s="3430"/>
      <c r="R4" s="3426" t="s">
        <v>1771</v>
      </c>
      <c r="S4" s="3427"/>
      <c r="T4" s="3426" t="s">
        <v>1772</v>
      </c>
      <c r="U4" s="3427"/>
      <c r="V4" s="3383" t="s">
        <v>1773</v>
      </c>
      <c r="W4" s="3383"/>
      <c r="X4" s="1264"/>
      <c r="Y4" s="3426" t="s">
        <v>1775</v>
      </c>
      <c r="Z4" s="3427"/>
      <c r="AA4" s="3425" t="s">
        <v>1771</v>
      </c>
      <c r="AB4" s="3349" t="s">
        <v>1772</v>
      </c>
      <c r="AC4" s="3425" t="s">
        <v>1773</v>
      </c>
    </row>
    <row r="5" spans="1:29" ht="15">
      <c r="A5" s="348"/>
      <c r="B5" s="349"/>
      <c r="C5" s="3359" t="s">
        <v>1673</v>
      </c>
      <c r="D5" s="3360"/>
      <c r="E5" s="3428" t="s">
        <v>1674</v>
      </c>
      <c r="F5" s="3358"/>
      <c r="G5" s="3359" t="s">
        <v>1675</v>
      </c>
      <c r="H5" s="3360"/>
      <c r="I5" s="3359" t="s">
        <v>1676</v>
      </c>
      <c r="J5" s="3360"/>
      <c r="K5" s="537"/>
      <c r="L5" s="2486"/>
      <c r="M5" s="2487"/>
      <c r="N5" s="2487"/>
      <c r="O5" s="2487"/>
      <c r="P5" s="3431"/>
      <c r="Q5" s="3377"/>
      <c r="R5" s="3355"/>
      <c r="S5" s="3356"/>
      <c r="T5" s="3355"/>
      <c r="U5" s="3356"/>
      <c r="V5" s="3383"/>
      <c r="W5" s="3383"/>
      <c r="X5" s="1264"/>
      <c r="Y5" s="3355"/>
      <c r="Z5" s="3356"/>
      <c r="AA5" s="3349"/>
      <c r="AB5" s="3349"/>
      <c r="AC5" s="3349"/>
    </row>
    <row r="6" spans="1:29" ht="15.75" thickBot="1">
      <c r="A6" s="350"/>
      <c r="B6" s="351"/>
      <c r="C6" s="3361" t="s">
        <v>1677</v>
      </c>
      <c r="D6" s="3362"/>
      <c r="E6" s="3364" t="s">
        <v>1677</v>
      </c>
      <c r="F6" s="3365"/>
      <c r="G6" s="3361" t="s">
        <v>1677</v>
      </c>
      <c r="H6" s="3362"/>
      <c r="I6" s="3361" t="s">
        <v>1677</v>
      </c>
      <c r="J6" s="3362"/>
      <c r="K6" s="537" t="s">
        <v>1678</v>
      </c>
      <c r="L6" s="2486"/>
      <c r="M6" s="2487"/>
      <c r="N6" s="2487"/>
      <c r="O6" s="2487"/>
      <c r="P6" s="3432"/>
      <c r="Q6" s="3379"/>
      <c r="R6" s="3355"/>
      <c r="S6" s="3356"/>
      <c r="T6" s="3380"/>
      <c r="U6" s="3381"/>
      <c r="V6" s="3383"/>
      <c r="W6" s="3383"/>
      <c r="X6" s="1264"/>
      <c r="Y6" s="3380"/>
      <c r="Z6" s="3381"/>
      <c r="AA6" s="3350"/>
      <c r="AB6" s="3350"/>
      <c r="AC6" s="3350"/>
    </row>
    <row r="7" spans="1:29" s="102" customFormat="1" ht="15.75" thickBot="1">
      <c r="A7" s="352" t="s">
        <v>1679</v>
      </c>
      <c r="B7" s="353"/>
      <c r="C7" s="354">
        <f>'数据-取费表'!B2</f>
        <v>45748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51" t="s">
        <v>1680</v>
      </c>
      <c r="Q7" s="3385"/>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51" t="s">
        <v>1683</v>
      </c>
      <c r="Q8" s="3352"/>
      <c r="R8" s="664" t="s">
        <v>14</v>
      </c>
      <c r="S8" s="665">
        <f t="shared" si="0"/>
        <v>0</v>
      </c>
      <c r="T8" s="664" t="s">
        <v>14</v>
      </c>
      <c r="U8" s="665">
        <f t="shared" si="1"/>
        <v>0</v>
      </c>
      <c r="V8" s="664" t="s">
        <v>14</v>
      </c>
      <c r="W8" s="665">
        <f t="shared" si="2"/>
        <v>0</v>
      </c>
      <c r="X8" s="666"/>
      <c r="Y8" s="3351" t="s">
        <v>1683</v>
      </c>
      <c r="Z8" s="335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5"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395"/>
      <c r="Q10" s="530" t="str">
        <f t="shared" si="6"/>
        <v>土地使用年限（年）</v>
      </c>
      <c r="R10" s="664" t="s">
        <v>14</v>
      </c>
      <c r="S10" s="665">
        <f t="shared" si="0"/>
        <v>114</v>
      </c>
      <c r="T10" s="664" t="s">
        <v>14</v>
      </c>
      <c r="U10" s="665">
        <f t="shared" si="1"/>
        <v>114</v>
      </c>
      <c r="V10" s="664" t="s">
        <v>14</v>
      </c>
      <c r="W10" s="665">
        <f t="shared" si="2"/>
        <v>114</v>
      </c>
      <c r="X10" s="666"/>
      <c r="Y10" s="3321"/>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5"/>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95"/>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5"/>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5"/>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8" t="s">
        <v>1691</v>
      </c>
      <c r="Q15" s="1262" t="str">
        <f t="shared" si="6"/>
        <v>居住社区成熟度</v>
      </c>
      <c r="R15" s="667" t="s">
        <v>14</v>
      </c>
      <c r="S15" s="668">
        <f t="shared" si="0"/>
        <v>100</v>
      </c>
      <c r="T15" s="667" t="s">
        <v>14</v>
      </c>
      <c r="U15" s="668">
        <f t="shared" si="1"/>
        <v>100</v>
      </c>
      <c r="V15" s="667" t="s">
        <v>14</v>
      </c>
      <c r="W15" s="668">
        <f t="shared" si="2"/>
        <v>100</v>
      </c>
      <c r="X15" s="1264"/>
      <c r="Y15" s="338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89"/>
      <c r="Q16" s="1262"/>
      <c r="R16" s="667"/>
      <c r="S16" s="668"/>
      <c r="T16" s="667"/>
      <c r="U16" s="668"/>
      <c r="V16" s="667"/>
      <c r="W16" s="668"/>
      <c r="X16" s="1264"/>
      <c r="Y16" s="3389"/>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9"/>
      <c r="Q17" s="1262" t="str">
        <f>B17</f>
        <v>商业繁华度</v>
      </c>
      <c r="R17" s="667" t="s">
        <v>14</v>
      </c>
      <c r="S17" s="668">
        <f>F17</f>
        <v>100</v>
      </c>
      <c r="T17" s="667" t="s">
        <v>14</v>
      </c>
      <c r="U17" s="668">
        <f>H17</f>
        <v>100</v>
      </c>
      <c r="V17" s="667" t="s">
        <v>14</v>
      </c>
      <c r="W17" s="668">
        <f>J17</f>
        <v>100</v>
      </c>
      <c r="X17" s="1264"/>
      <c r="Y17" s="338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89"/>
      <c r="Q18" s="1262"/>
      <c r="R18" s="667"/>
      <c r="S18" s="668"/>
      <c r="T18" s="667"/>
      <c r="U18" s="668"/>
      <c r="V18" s="667"/>
      <c r="W18" s="668"/>
      <c r="X18" s="1264"/>
      <c r="Y18" s="3389"/>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9"/>
      <c r="Q19" s="1262" t="str">
        <f>B19</f>
        <v>办公集聚程度</v>
      </c>
      <c r="R19" s="667" t="s">
        <v>14</v>
      </c>
      <c r="S19" s="668">
        <f>F19</f>
        <v>100</v>
      </c>
      <c r="T19" s="667" t="s">
        <v>14</v>
      </c>
      <c r="U19" s="668">
        <f>H19</f>
        <v>100</v>
      </c>
      <c r="V19" s="667" t="s">
        <v>14</v>
      </c>
      <c r="W19" s="668">
        <f>J19</f>
        <v>100</v>
      </c>
      <c r="X19" s="1264"/>
      <c r="Y19" s="338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89"/>
      <c r="Q20" s="1262"/>
      <c r="R20" s="667"/>
      <c r="S20" s="668"/>
      <c r="T20" s="667"/>
      <c r="U20" s="668"/>
      <c r="V20" s="667"/>
      <c r="W20" s="668"/>
      <c r="X20" s="1264"/>
      <c r="Y20" s="3389"/>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9"/>
      <c r="Q21" s="1262" t="str">
        <f>B21</f>
        <v>交通便捷度</v>
      </c>
      <c r="R21" s="667" t="s">
        <v>14</v>
      </c>
      <c r="S21" s="668">
        <f>F21</f>
        <v>100</v>
      </c>
      <c r="T21" s="667" t="s">
        <v>14</v>
      </c>
      <c r="U21" s="668">
        <f>H21</f>
        <v>100</v>
      </c>
      <c r="V21" s="667" t="s">
        <v>14</v>
      </c>
      <c r="W21" s="668">
        <f>J21</f>
        <v>100</v>
      </c>
      <c r="X21" s="1264"/>
      <c r="Y21" s="338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89"/>
      <c r="Q22" s="1262"/>
      <c r="R22" s="667"/>
      <c r="S22" s="668"/>
      <c r="T22" s="667"/>
      <c r="U22" s="668"/>
      <c r="V22" s="667"/>
      <c r="W22" s="668"/>
      <c r="X22" s="1264"/>
      <c r="Y22" s="3389"/>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9"/>
      <c r="Q23" s="1262" t="str">
        <f t="shared" ref="Q23:Q37" si="8">B23</f>
        <v>区域土地利用方向</v>
      </c>
      <c r="R23" s="667" t="s">
        <v>14</v>
      </c>
      <c r="S23" s="668">
        <f>F23</f>
        <v>100</v>
      </c>
      <c r="T23" s="667" t="s">
        <v>14</v>
      </c>
      <c r="U23" s="668">
        <f>H23</f>
        <v>100</v>
      </c>
      <c r="V23" s="667" t="s">
        <v>14</v>
      </c>
      <c r="W23" s="668">
        <f>J23</f>
        <v>100</v>
      </c>
      <c r="X23" s="1264"/>
      <c r="Y23" s="338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89"/>
      <c r="Q24" s="1262"/>
      <c r="R24" s="667"/>
      <c r="S24" s="668"/>
      <c r="T24" s="667"/>
      <c r="U24" s="668"/>
      <c r="V24" s="667"/>
      <c r="W24" s="668"/>
      <c r="X24" s="1264"/>
      <c r="Y24" s="3389"/>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9"/>
      <c r="Q25" s="1262" t="str">
        <f t="shared" si="8"/>
        <v>自然及人文环境状况</v>
      </c>
      <c r="R25" s="667" t="s">
        <v>14</v>
      </c>
      <c r="S25" s="668">
        <f>F25</f>
        <v>100</v>
      </c>
      <c r="T25" s="667" t="s">
        <v>14</v>
      </c>
      <c r="U25" s="668">
        <f>H25</f>
        <v>100</v>
      </c>
      <c r="V25" s="667" t="s">
        <v>14</v>
      </c>
      <c r="W25" s="668">
        <f>J25</f>
        <v>100</v>
      </c>
      <c r="X25" s="1264"/>
      <c r="Y25" s="338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89"/>
      <c r="Q26" s="1262"/>
      <c r="R26" s="667"/>
      <c r="S26" s="668"/>
      <c r="T26" s="667"/>
      <c r="U26" s="668"/>
      <c r="V26" s="667"/>
      <c r="W26" s="668"/>
      <c r="X26" s="1264"/>
      <c r="Y26" s="3389"/>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89"/>
      <c r="Q28" s="530"/>
      <c r="R28" s="664"/>
      <c r="S28" s="665"/>
      <c r="T28" s="664"/>
      <c r="U28" s="665"/>
      <c r="V28" s="664"/>
      <c r="W28" s="665"/>
      <c r="X28" s="666"/>
      <c r="Y28" s="3389"/>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89"/>
      <c r="Q30" s="530"/>
      <c r="R30" s="664"/>
      <c r="S30" s="665"/>
      <c r="T30" s="664"/>
      <c r="U30" s="665"/>
      <c r="V30" s="664"/>
      <c r="W30" s="665"/>
      <c r="X30" s="666"/>
      <c r="Y30" s="338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9"/>
      <c r="Q32" s="1262" t="str">
        <f t="shared" si="8"/>
        <v>毗邻道路的类型与等级</v>
      </c>
      <c r="R32" s="667" t="s">
        <v>14</v>
      </c>
      <c r="S32" s="668">
        <f t="shared" si="10"/>
        <v>100</v>
      </c>
      <c r="T32" s="667" t="s">
        <v>14</v>
      </c>
      <c r="U32" s="668">
        <f t="shared" si="11"/>
        <v>100</v>
      </c>
      <c r="V32" s="667" t="s">
        <v>14</v>
      </c>
      <c r="W32" s="668">
        <f t="shared" si="12"/>
        <v>100</v>
      </c>
      <c r="X32" s="1264"/>
      <c r="Y32" s="338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89"/>
      <c r="Q33" s="1262"/>
      <c r="R33" s="667"/>
      <c r="S33" s="668"/>
      <c r="T33" s="667"/>
      <c r="U33" s="668"/>
      <c r="V33" s="667"/>
      <c r="W33" s="668"/>
      <c r="X33" s="1264"/>
      <c r="Y33" s="338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9"/>
      <c r="Q34" s="1262" t="str">
        <f t="shared" si="8"/>
        <v>土地级别</v>
      </c>
      <c r="R34" s="667" t="s">
        <v>14</v>
      </c>
      <c r="S34" s="668">
        <f t="shared" si="10"/>
        <v>100</v>
      </c>
      <c r="T34" s="667" t="s">
        <v>14</v>
      </c>
      <c r="U34" s="668">
        <f t="shared" si="11"/>
        <v>100</v>
      </c>
      <c r="V34" s="667" t="s">
        <v>14</v>
      </c>
      <c r="W34" s="668">
        <f t="shared" si="12"/>
        <v>100</v>
      </c>
      <c r="X34" s="1264"/>
      <c r="Y34" s="3389"/>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9"/>
      <c r="Q35" s="1262">
        <f t="shared" si="8"/>
        <v>111</v>
      </c>
      <c r="R35" s="667" t="s">
        <v>14</v>
      </c>
      <c r="S35" s="668">
        <f t="shared" si="10"/>
        <v>100</v>
      </c>
      <c r="T35" s="667" t="s">
        <v>14</v>
      </c>
      <c r="U35" s="668">
        <f t="shared" si="11"/>
        <v>100</v>
      </c>
      <c r="V35" s="667" t="s">
        <v>14</v>
      </c>
      <c r="W35" s="668">
        <f t="shared" si="12"/>
        <v>100</v>
      </c>
      <c r="X35" s="1264"/>
      <c r="Y35" s="3389"/>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6" t="s">
        <v>1696</v>
      </c>
      <c r="Q36" s="1262">
        <f t="shared" si="8"/>
        <v>111</v>
      </c>
      <c r="R36" s="667" t="s">
        <v>14</v>
      </c>
      <c r="S36" s="668">
        <f t="shared" si="10"/>
        <v>100</v>
      </c>
      <c r="T36" s="667" t="s">
        <v>14</v>
      </c>
      <c r="U36" s="668">
        <f t="shared" si="11"/>
        <v>100</v>
      </c>
      <c r="V36" s="667" t="s">
        <v>14</v>
      </c>
      <c r="W36" s="668">
        <f t="shared" si="12"/>
        <v>100</v>
      </c>
      <c r="X36" s="1264"/>
      <c r="Y36" s="3393"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3"/>
      <c r="Q37" s="1262">
        <f t="shared" si="8"/>
        <v>111</v>
      </c>
      <c r="R37" s="669" t="s">
        <v>14</v>
      </c>
      <c r="S37" s="670">
        <f t="shared" si="10"/>
        <v>100</v>
      </c>
      <c r="T37" s="669" t="s">
        <v>14</v>
      </c>
      <c r="U37" s="670">
        <f t="shared" si="11"/>
        <v>100</v>
      </c>
      <c r="V37" s="669" t="s">
        <v>14</v>
      </c>
      <c r="W37" s="670">
        <f t="shared" si="12"/>
        <v>100</v>
      </c>
      <c r="X37" s="671"/>
      <c r="Y37" s="339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3"/>
      <c r="Q38" s="1262" t="str">
        <f>B38</f>
        <v>宗地面积</v>
      </c>
      <c r="R38" s="667" t="s">
        <v>14</v>
      </c>
      <c r="S38" s="668" t="e">
        <f t="shared" si="10"/>
        <v>#N/A</v>
      </c>
      <c r="T38" s="667" t="s">
        <v>14</v>
      </c>
      <c r="U38" s="668" t="e">
        <f t="shared" si="11"/>
        <v>#N/A</v>
      </c>
      <c r="V38" s="667" t="s">
        <v>14</v>
      </c>
      <c r="W38" s="668" t="e">
        <f t="shared" si="12"/>
        <v>#N/A</v>
      </c>
      <c r="X38" s="1264"/>
      <c r="Y38" s="339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3"/>
      <c r="Q39" s="1262" t="str">
        <f t="shared" ref="Q39:Q45" si="14">B39</f>
        <v>宗地形状</v>
      </c>
      <c r="R39" s="667" t="s">
        <v>14</v>
      </c>
      <c r="S39" s="668">
        <f t="shared" si="10"/>
        <v>100</v>
      </c>
      <c r="T39" s="667" t="s">
        <v>14</v>
      </c>
      <c r="U39" s="668">
        <f t="shared" si="11"/>
        <v>100</v>
      </c>
      <c r="V39" s="667" t="s">
        <v>14</v>
      </c>
      <c r="W39" s="668">
        <f t="shared" si="12"/>
        <v>100</v>
      </c>
      <c r="X39" s="1264"/>
      <c r="Y39" s="339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3"/>
      <c r="Q40" s="1262" t="str">
        <f t="shared" si="14"/>
        <v>临街宽度及深度</v>
      </c>
      <c r="R40" s="667" t="s">
        <v>14</v>
      </c>
      <c r="S40" s="668">
        <f t="shared" si="10"/>
        <v>100</v>
      </c>
      <c r="T40" s="667" t="s">
        <v>14</v>
      </c>
      <c r="U40" s="668">
        <f t="shared" si="11"/>
        <v>100</v>
      </c>
      <c r="V40" s="667" t="s">
        <v>14</v>
      </c>
      <c r="W40" s="668">
        <f t="shared" si="12"/>
        <v>100</v>
      </c>
      <c r="X40" s="1264"/>
      <c r="Y40" s="339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3"/>
      <c r="Q41" s="1262"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3" t="s">
        <v>1696</v>
      </c>
      <c r="Q42" s="1262" t="str">
        <f t="shared" si="14"/>
        <v>工程地质条件</v>
      </c>
      <c r="R42" s="667" t="s">
        <v>14</v>
      </c>
      <c r="S42" s="668">
        <f t="shared" si="10"/>
        <v>100</v>
      </c>
      <c r="T42" s="667" t="s">
        <v>14</v>
      </c>
      <c r="U42" s="668">
        <f t="shared" si="11"/>
        <v>100</v>
      </c>
      <c r="V42" s="667" t="s">
        <v>14</v>
      </c>
      <c r="W42" s="668">
        <f t="shared" si="12"/>
        <v>100</v>
      </c>
      <c r="X42" s="1264"/>
      <c r="Y42" s="3393"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3"/>
      <c r="Q43" s="1262">
        <f t="shared" si="14"/>
        <v>111</v>
      </c>
      <c r="R43" s="667" t="s">
        <v>14</v>
      </c>
      <c r="S43" s="668">
        <f t="shared" si="10"/>
        <v>100</v>
      </c>
      <c r="T43" s="667" t="s">
        <v>14</v>
      </c>
      <c r="U43" s="668">
        <f t="shared" si="11"/>
        <v>100</v>
      </c>
      <c r="V43" s="667" t="s">
        <v>14</v>
      </c>
      <c r="W43" s="668">
        <f t="shared" si="12"/>
        <v>100</v>
      </c>
      <c r="X43" s="1264"/>
      <c r="Y43" s="3393"/>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3"/>
      <c r="Q44" s="1262">
        <f t="shared" si="14"/>
        <v>111</v>
      </c>
      <c r="R44" s="667" t="s">
        <v>14</v>
      </c>
      <c r="S44" s="668">
        <f t="shared" si="10"/>
        <v>100</v>
      </c>
      <c r="T44" s="667" t="s">
        <v>14</v>
      </c>
      <c r="U44" s="668">
        <f t="shared" si="11"/>
        <v>100</v>
      </c>
      <c r="V44" s="667" t="s">
        <v>14</v>
      </c>
      <c r="W44" s="668">
        <f t="shared" si="12"/>
        <v>100</v>
      </c>
      <c r="X44" s="1264"/>
      <c r="Y44" s="3393"/>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3"/>
      <c r="Q45" s="1262">
        <f t="shared" si="14"/>
        <v>111</v>
      </c>
      <c r="R45" s="669" t="s">
        <v>14</v>
      </c>
      <c r="S45" s="670">
        <f t="shared" si="10"/>
        <v>100</v>
      </c>
      <c r="T45" s="669" t="s">
        <v>14</v>
      </c>
      <c r="U45" s="670">
        <f t="shared" si="11"/>
        <v>100</v>
      </c>
      <c r="V45" s="669" t="s">
        <v>14</v>
      </c>
      <c r="W45" s="670">
        <f t="shared" si="12"/>
        <v>100</v>
      </c>
      <c r="X45" s="671"/>
      <c r="Y45" s="3393"/>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395" t="str">
        <f>A46</f>
        <v>成交单价</v>
      </c>
      <c r="Q46" s="3395"/>
      <c r="R46" s="3383">
        <f>E46</f>
        <v>0</v>
      </c>
      <c r="S46" s="3383"/>
      <c r="T46" s="3383">
        <f>G46</f>
        <v>0</v>
      </c>
      <c r="U46" s="3383"/>
      <c r="V46" s="3383">
        <f>I46</f>
        <v>0</v>
      </c>
      <c r="W46" s="3383"/>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95" t="str">
        <f>A47</f>
        <v>比较价值（元/平方米）</v>
      </c>
      <c r="Q47" s="3395"/>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33" t="str">
        <f>A48</f>
        <v>估价对象XX用房的比较价值（楼面单价，元/平方米）</v>
      </c>
      <c r="Q48" s="3434"/>
      <c r="R48" s="3439" t="e">
        <f>ROUND(IF(D47="简单平均",AVERAGE(R47:W47),R47*F47+T47*H47+V47*J47),0)</f>
        <v>#DIV/0!</v>
      </c>
      <c r="S48" s="3439"/>
      <c r="T48" s="3439"/>
      <c r="U48" s="3439"/>
      <c r="V48" s="3439"/>
      <c r="W48" s="343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70" t="s">
        <v>1887</v>
      </c>
      <c r="H55" s="3440"/>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388.61</v>
      </c>
      <c r="F56" s="833" t="e">
        <f t="shared" ref="F56:F64" si="15">ROUND(B56*E56/10000,0)</f>
        <v>#DIV/0!</v>
      </c>
      <c r="G56" s="3366"/>
      <c r="H56" s="339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388.61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29" t="s">
        <v>1775</v>
      </c>
      <c r="Q4" s="3430"/>
      <c r="R4" s="3426" t="s">
        <v>1771</v>
      </c>
      <c r="S4" s="3427"/>
      <c r="T4" s="3426" t="s">
        <v>1772</v>
      </c>
      <c r="U4" s="3427"/>
      <c r="V4" s="3383" t="s">
        <v>1773</v>
      </c>
      <c r="W4" s="3383"/>
      <c r="X4" s="1264"/>
      <c r="Y4" s="3426" t="s">
        <v>1775</v>
      </c>
      <c r="Z4" s="3427"/>
      <c r="AA4" s="3425" t="s">
        <v>1771</v>
      </c>
      <c r="AB4" s="3349" t="s">
        <v>1772</v>
      </c>
      <c r="AC4" s="3425" t="s">
        <v>1773</v>
      </c>
    </row>
    <row r="5" spans="1:29" ht="15">
      <c r="A5" s="348"/>
      <c r="B5" s="349"/>
      <c r="C5" s="3359" t="s">
        <v>1673</v>
      </c>
      <c r="D5" s="3360"/>
      <c r="E5" s="3428" t="s">
        <v>1674</v>
      </c>
      <c r="F5" s="3358"/>
      <c r="G5" s="3359" t="s">
        <v>1675</v>
      </c>
      <c r="H5" s="3360"/>
      <c r="I5" s="3359" t="s">
        <v>1676</v>
      </c>
      <c r="J5" s="3360"/>
      <c r="K5" s="537"/>
      <c r="L5" s="2486"/>
      <c r="M5" s="2487"/>
      <c r="N5" s="2487"/>
      <c r="O5" s="2487"/>
      <c r="P5" s="3431"/>
      <c r="Q5" s="3377"/>
      <c r="R5" s="3355"/>
      <c r="S5" s="3356"/>
      <c r="T5" s="3355"/>
      <c r="U5" s="3356"/>
      <c r="V5" s="3383"/>
      <c r="W5" s="3383"/>
      <c r="X5" s="1264"/>
      <c r="Y5" s="3355"/>
      <c r="Z5" s="3356"/>
      <c r="AA5" s="3349"/>
      <c r="AB5" s="3349"/>
      <c r="AC5" s="3349"/>
    </row>
    <row r="6" spans="1:29" ht="15.75" thickBot="1">
      <c r="A6" s="350"/>
      <c r="B6" s="351"/>
      <c r="C6" s="3441" t="s">
        <v>1919</v>
      </c>
      <c r="D6" s="3442"/>
      <c r="E6" s="3443" t="s">
        <v>1919</v>
      </c>
      <c r="F6" s="3444"/>
      <c r="G6" s="3441" t="s">
        <v>1919</v>
      </c>
      <c r="H6" s="3442"/>
      <c r="I6" s="3441" t="s">
        <v>1919</v>
      </c>
      <c r="J6" s="3442"/>
      <c r="K6" s="537" t="s">
        <v>1678</v>
      </c>
      <c r="L6" s="2486"/>
      <c r="M6" s="2487"/>
      <c r="N6" s="2487"/>
      <c r="O6" s="2487"/>
      <c r="P6" s="3432"/>
      <c r="Q6" s="3379"/>
      <c r="R6" s="3355"/>
      <c r="S6" s="3356"/>
      <c r="T6" s="3380"/>
      <c r="U6" s="3381"/>
      <c r="V6" s="3383"/>
      <c r="W6" s="3383"/>
      <c r="X6" s="1264"/>
      <c r="Y6" s="3380"/>
      <c r="Z6" s="3381"/>
      <c r="AA6" s="3350"/>
      <c r="AB6" s="3350"/>
      <c r="AC6" s="3350"/>
    </row>
    <row r="7" spans="1:29" s="102" customFormat="1" ht="15.75" thickBot="1">
      <c r="A7" s="352" t="s">
        <v>1679</v>
      </c>
      <c r="B7" s="353"/>
      <c r="C7" s="354">
        <f>'数据-取费表'!B2</f>
        <v>45748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51" t="s">
        <v>1680</v>
      </c>
      <c r="Q7" s="3385"/>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51" t="s">
        <v>1683</v>
      </c>
      <c r="Q8" s="3352"/>
      <c r="R8" s="664" t="s">
        <v>14</v>
      </c>
      <c r="S8" s="665">
        <f t="shared" si="0"/>
        <v>0</v>
      </c>
      <c r="T8" s="664" t="s">
        <v>14</v>
      </c>
      <c r="U8" s="665">
        <f t="shared" si="1"/>
        <v>0</v>
      </c>
      <c r="V8" s="664" t="s">
        <v>14</v>
      </c>
      <c r="W8" s="665">
        <f t="shared" si="2"/>
        <v>0</v>
      </c>
      <c r="X8" s="666"/>
      <c r="Y8" s="3351" t="s">
        <v>1683</v>
      </c>
      <c r="Z8" s="335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5"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395"/>
      <c r="Q10" s="530" t="str">
        <f t="shared" si="6"/>
        <v>土地使用年限（年）</v>
      </c>
      <c r="R10" s="664" t="s">
        <v>14</v>
      </c>
      <c r="S10" s="665">
        <f t="shared" si="0"/>
        <v>114</v>
      </c>
      <c r="T10" s="664" t="s">
        <v>14</v>
      </c>
      <c r="U10" s="665">
        <f t="shared" si="1"/>
        <v>114</v>
      </c>
      <c r="V10" s="664" t="s">
        <v>14</v>
      </c>
      <c r="W10" s="665">
        <f t="shared" si="2"/>
        <v>114</v>
      </c>
      <c r="X10" s="666"/>
      <c r="Y10" s="3321"/>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5"/>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95"/>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5"/>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5"/>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8" t="s">
        <v>1691</v>
      </c>
      <c r="Q15" s="1262" t="str">
        <f t="shared" si="6"/>
        <v>产业集聚程度</v>
      </c>
      <c r="R15" s="667" t="s">
        <v>14</v>
      </c>
      <c r="S15" s="668">
        <f t="shared" si="0"/>
        <v>100</v>
      </c>
      <c r="T15" s="667" t="s">
        <v>14</v>
      </c>
      <c r="U15" s="668">
        <f t="shared" si="1"/>
        <v>100</v>
      </c>
      <c r="V15" s="667" t="s">
        <v>14</v>
      </c>
      <c r="W15" s="668">
        <f t="shared" si="2"/>
        <v>100</v>
      </c>
      <c r="X15" s="1264"/>
      <c r="Y15" s="338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89"/>
      <c r="Q16" s="1262"/>
      <c r="R16" s="667"/>
      <c r="S16" s="668"/>
      <c r="T16" s="667"/>
      <c r="U16" s="668"/>
      <c r="V16" s="667"/>
      <c r="W16" s="668"/>
      <c r="X16" s="1264"/>
      <c r="Y16" s="3389"/>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9"/>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89"/>
      <c r="Q18" s="1262"/>
      <c r="R18" s="667"/>
      <c r="S18" s="668"/>
      <c r="T18" s="667"/>
      <c r="U18" s="668"/>
      <c r="V18" s="667"/>
      <c r="W18" s="668"/>
      <c r="X18" s="1264"/>
      <c r="Y18" s="338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9"/>
      <c r="Q19" s="1262" t="str">
        <f t="shared" ref="Q19:Q33" si="8">B19</f>
        <v>区域土地利用方向</v>
      </c>
      <c r="R19" s="667" t="s">
        <v>14</v>
      </c>
      <c r="S19" s="668">
        <f>F19</f>
        <v>100</v>
      </c>
      <c r="T19" s="667" t="s">
        <v>14</v>
      </c>
      <c r="U19" s="668">
        <f>H19</f>
        <v>100</v>
      </c>
      <c r="V19" s="667" t="s">
        <v>14</v>
      </c>
      <c r="W19" s="668">
        <f>J19</f>
        <v>100</v>
      </c>
      <c r="X19" s="1264"/>
      <c r="Y19" s="338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89"/>
      <c r="Q20" s="1262"/>
      <c r="R20" s="667"/>
      <c r="S20" s="668"/>
      <c r="T20" s="667"/>
      <c r="U20" s="668"/>
      <c r="V20" s="667"/>
      <c r="W20" s="668"/>
      <c r="X20" s="1264"/>
      <c r="Y20" s="3389"/>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9"/>
      <c r="Q21" s="1262" t="str">
        <f t="shared" si="8"/>
        <v>环境状况</v>
      </c>
      <c r="R21" s="667" t="s">
        <v>14</v>
      </c>
      <c r="S21" s="668">
        <f>F21</f>
        <v>100</v>
      </c>
      <c r="T21" s="667" t="s">
        <v>14</v>
      </c>
      <c r="U21" s="668">
        <f>H21</f>
        <v>100</v>
      </c>
      <c r="V21" s="667" t="s">
        <v>14</v>
      </c>
      <c r="W21" s="668">
        <f>J21</f>
        <v>100</v>
      </c>
      <c r="X21" s="1264"/>
      <c r="Y21" s="338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89"/>
      <c r="Q22" s="1262"/>
      <c r="R22" s="667"/>
      <c r="S22" s="668"/>
      <c r="T22" s="667"/>
      <c r="U22" s="668"/>
      <c r="V22" s="667"/>
      <c r="W22" s="668"/>
      <c r="X22" s="1264"/>
      <c r="Y22" s="3389"/>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89"/>
      <c r="Q24" s="530"/>
      <c r="R24" s="664"/>
      <c r="S24" s="665"/>
      <c r="T24" s="664"/>
      <c r="U24" s="665"/>
      <c r="V24" s="664"/>
      <c r="W24" s="665"/>
      <c r="X24" s="666"/>
      <c r="Y24" s="338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9"/>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9"/>
      <c r="Q28" s="1262" t="str">
        <f t="shared" si="8"/>
        <v>毗邻道路的类型与等级</v>
      </c>
      <c r="R28" s="667" t="s">
        <v>14</v>
      </c>
      <c r="S28" s="668">
        <f t="shared" si="10"/>
        <v>100</v>
      </c>
      <c r="T28" s="667" t="s">
        <v>14</v>
      </c>
      <c r="U28" s="668">
        <f t="shared" si="11"/>
        <v>100</v>
      </c>
      <c r="V28" s="667" t="s">
        <v>14</v>
      </c>
      <c r="W28" s="668">
        <f t="shared" si="12"/>
        <v>100</v>
      </c>
      <c r="X28" s="1264"/>
      <c r="Y28" s="338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89"/>
      <c r="Q29" s="1262"/>
      <c r="R29" s="667"/>
      <c r="S29" s="668"/>
      <c r="T29" s="667"/>
      <c r="U29" s="668"/>
      <c r="V29" s="667"/>
      <c r="W29" s="668"/>
      <c r="X29" s="1264"/>
      <c r="Y29" s="3389"/>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9"/>
      <c r="Q30" s="1262" t="str">
        <f t="shared" si="8"/>
        <v>土地级别</v>
      </c>
      <c r="R30" s="667" t="s">
        <v>14</v>
      </c>
      <c r="S30" s="668">
        <f t="shared" si="10"/>
        <v>100</v>
      </c>
      <c r="T30" s="667" t="s">
        <v>14</v>
      </c>
      <c r="U30" s="668">
        <f t="shared" si="11"/>
        <v>100</v>
      </c>
      <c r="V30" s="667" t="s">
        <v>14</v>
      </c>
      <c r="W30" s="668">
        <f t="shared" si="12"/>
        <v>100</v>
      </c>
      <c r="X30" s="1264"/>
      <c r="Y30" s="3389"/>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9"/>
      <c r="Q31" s="1262">
        <f t="shared" si="8"/>
        <v>111</v>
      </c>
      <c r="R31" s="667" t="s">
        <v>14</v>
      </c>
      <c r="S31" s="668">
        <f t="shared" si="10"/>
        <v>100</v>
      </c>
      <c r="T31" s="667" t="s">
        <v>14</v>
      </c>
      <c r="U31" s="668">
        <f t="shared" si="11"/>
        <v>100</v>
      </c>
      <c r="V31" s="667" t="s">
        <v>14</v>
      </c>
      <c r="W31" s="668">
        <f t="shared" si="12"/>
        <v>100</v>
      </c>
      <c r="X31" s="1264"/>
      <c r="Y31" s="338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6" t="s">
        <v>1696</v>
      </c>
      <c r="Q32" s="1262">
        <f t="shared" si="8"/>
        <v>111</v>
      </c>
      <c r="R32" s="667" t="s">
        <v>14</v>
      </c>
      <c r="S32" s="668">
        <f t="shared" si="10"/>
        <v>100</v>
      </c>
      <c r="T32" s="667" t="s">
        <v>14</v>
      </c>
      <c r="U32" s="668">
        <f t="shared" si="11"/>
        <v>100</v>
      </c>
      <c r="V32" s="667" t="s">
        <v>14</v>
      </c>
      <c r="W32" s="668">
        <f t="shared" si="12"/>
        <v>100</v>
      </c>
      <c r="X32" s="1264"/>
      <c r="Y32" s="339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3"/>
      <c r="Q33" s="1262">
        <f t="shared" si="8"/>
        <v>111</v>
      </c>
      <c r="R33" s="669" t="s">
        <v>14</v>
      </c>
      <c r="S33" s="670">
        <f t="shared" si="10"/>
        <v>100</v>
      </c>
      <c r="T33" s="669" t="s">
        <v>14</v>
      </c>
      <c r="U33" s="670">
        <f t="shared" si="11"/>
        <v>100</v>
      </c>
      <c r="V33" s="669" t="s">
        <v>14</v>
      </c>
      <c r="W33" s="670">
        <f t="shared" si="12"/>
        <v>100</v>
      </c>
      <c r="X33" s="671"/>
      <c r="Y33" s="339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3"/>
      <c r="Q34" s="1262" t="str">
        <f>B34</f>
        <v>宗地面积</v>
      </c>
      <c r="R34" s="667" t="s">
        <v>14</v>
      </c>
      <c r="S34" s="668" t="e">
        <f t="shared" si="10"/>
        <v>#N/A</v>
      </c>
      <c r="T34" s="667" t="s">
        <v>14</v>
      </c>
      <c r="U34" s="668" t="e">
        <f t="shared" si="11"/>
        <v>#N/A</v>
      </c>
      <c r="V34" s="667" t="s">
        <v>14</v>
      </c>
      <c r="W34" s="668" t="e">
        <f t="shared" si="12"/>
        <v>#N/A</v>
      </c>
      <c r="X34" s="1264"/>
      <c r="Y34" s="339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3"/>
      <c r="Q35" s="1262" t="str">
        <f t="shared" ref="Q35:Q40" si="14">B35</f>
        <v>宗地形状</v>
      </c>
      <c r="R35" s="667" t="s">
        <v>14</v>
      </c>
      <c r="S35" s="668">
        <f t="shared" si="10"/>
        <v>100</v>
      </c>
      <c r="T35" s="667" t="s">
        <v>14</v>
      </c>
      <c r="U35" s="668">
        <f t="shared" si="11"/>
        <v>100</v>
      </c>
      <c r="V35" s="667" t="s">
        <v>14</v>
      </c>
      <c r="W35" s="668">
        <f t="shared" si="12"/>
        <v>100</v>
      </c>
      <c r="X35" s="1264"/>
      <c r="Y35" s="339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3"/>
      <c r="Q36" s="1262"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3" t="s">
        <v>1696</v>
      </c>
      <c r="Q37" s="1262" t="str">
        <f t="shared" si="14"/>
        <v>工程地质条件</v>
      </c>
      <c r="R37" s="667" t="s">
        <v>14</v>
      </c>
      <c r="S37" s="668">
        <f t="shared" si="10"/>
        <v>100</v>
      </c>
      <c r="T37" s="667" t="s">
        <v>14</v>
      </c>
      <c r="U37" s="668">
        <f t="shared" si="11"/>
        <v>100</v>
      </c>
      <c r="V37" s="667" t="s">
        <v>14</v>
      </c>
      <c r="W37" s="668">
        <f t="shared" si="12"/>
        <v>100</v>
      </c>
      <c r="X37" s="1264"/>
      <c r="Y37" s="3393"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3"/>
      <c r="Q38" s="1262">
        <f t="shared" si="14"/>
        <v>111</v>
      </c>
      <c r="R38" s="667" t="s">
        <v>14</v>
      </c>
      <c r="S38" s="668">
        <f t="shared" si="10"/>
        <v>100</v>
      </c>
      <c r="T38" s="667" t="s">
        <v>14</v>
      </c>
      <c r="U38" s="668">
        <f t="shared" si="11"/>
        <v>100</v>
      </c>
      <c r="V38" s="667" t="s">
        <v>14</v>
      </c>
      <c r="W38" s="668">
        <f t="shared" si="12"/>
        <v>100</v>
      </c>
      <c r="X38" s="1264"/>
      <c r="Y38" s="3393"/>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3"/>
      <c r="Q39" s="1262">
        <f t="shared" si="14"/>
        <v>111</v>
      </c>
      <c r="R39" s="667" t="s">
        <v>14</v>
      </c>
      <c r="S39" s="668">
        <f t="shared" si="10"/>
        <v>100</v>
      </c>
      <c r="T39" s="667" t="s">
        <v>14</v>
      </c>
      <c r="U39" s="668">
        <f t="shared" si="11"/>
        <v>100</v>
      </c>
      <c r="V39" s="667" t="s">
        <v>14</v>
      </c>
      <c r="W39" s="668">
        <f t="shared" si="12"/>
        <v>100</v>
      </c>
      <c r="X39" s="1264"/>
      <c r="Y39" s="3393"/>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3"/>
      <c r="Q40" s="1262">
        <f t="shared" si="14"/>
        <v>111</v>
      </c>
      <c r="R40" s="669" t="s">
        <v>14</v>
      </c>
      <c r="S40" s="670">
        <f t="shared" si="10"/>
        <v>100</v>
      </c>
      <c r="T40" s="669" t="s">
        <v>14</v>
      </c>
      <c r="U40" s="670">
        <f t="shared" si="11"/>
        <v>100</v>
      </c>
      <c r="V40" s="669" t="s">
        <v>14</v>
      </c>
      <c r="W40" s="670">
        <f t="shared" si="12"/>
        <v>100</v>
      </c>
      <c r="X40" s="671"/>
      <c r="Y40" s="339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395" t="str">
        <f>A41</f>
        <v>成交单价</v>
      </c>
      <c r="Q41" s="3395"/>
      <c r="R41" s="3383">
        <f>E41</f>
        <v>0</v>
      </c>
      <c r="S41" s="3383"/>
      <c r="T41" s="3383">
        <f>G41</f>
        <v>0</v>
      </c>
      <c r="U41" s="3383"/>
      <c r="V41" s="3383">
        <f>I41</f>
        <v>0</v>
      </c>
      <c r="W41" s="3383"/>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95" t="str">
        <f>A42</f>
        <v>比较价值（元/平方米）</v>
      </c>
      <c r="Q42" s="3395"/>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33" t="str">
        <f>A43</f>
        <v>估价对象XX用房的比较价值（楼面单价，元/平方米）</v>
      </c>
      <c r="Q43" s="3434"/>
      <c r="R43" s="3439" t="e">
        <f>ROUND(IF(D42="简单平均",AVERAGE(R42:W42),R42*F42+T42*H42+V42*J42),0)</f>
        <v>#DIV/0!</v>
      </c>
      <c r="S43" s="3439"/>
      <c r="T43" s="3439"/>
      <c r="U43" s="3439"/>
      <c r="V43" s="3439"/>
      <c r="W43" s="343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70" t="s">
        <v>1887</v>
      </c>
      <c r="H50" s="3440"/>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388.61</v>
      </c>
      <c r="F51" s="611" t="e">
        <f t="shared" ref="F51:F60" si="15">ROUND(B51*E51/10000,0)</f>
        <v>#DIV/0!</v>
      </c>
      <c r="G51" s="3366"/>
      <c r="H51" s="339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35" sqref="V3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8" t="s">
        <v>2084</v>
      </c>
      <c r="D1" s="3449"/>
      <c r="E1" s="3449"/>
      <c r="F1" s="3449"/>
      <c r="G1" s="3449"/>
      <c r="H1" s="3449"/>
      <c r="I1" s="3449"/>
      <c r="J1" s="3449"/>
      <c r="K1" s="3449"/>
      <c r="L1" s="3449"/>
      <c r="M1" s="3449"/>
      <c r="N1" s="3449"/>
      <c r="O1" s="3449"/>
      <c r="P1" s="3449"/>
      <c r="Q1" s="3449"/>
      <c r="R1" s="3449"/>
      <c r="S1" s="3450"/>
      <c r="T1" s="929" t="s">
        <v>2085</v>
      </c>
    </row>
    <row r="2" spans="1:45" s="625" customFormat="1" ht="38.25">
      <c r="A2" s="930"/>
      <c r="B2" s="622" t="s">
        <v>2086</v>
      </c>
      <c r="C2" s="14" t="str">
        <f t="shared" ref="C2:L2" si="0">C3&amp;"(含)"&amp;"-"&amp;D3</f>
        <v>0(含)-200</v>
      </c>
      <c r="D2" s="623" t="str">
        <f t="shared" si="0"/>
        <v>200(含)-500</v>
      </c>
      <c r="E2" s="623" t="str">
        <f t="shared" si="0"/>
        <v>500(含)-1000</v>
      </c>
      <c r="F2" s="623" t="str">
        <f t="shared" si="0"/>
        <v>1000(含)-1500</v>
      </c>
      <c r="G2" s="623" t="str">
        <f t="shared" si="0"/>
        <v>1500(含)-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200</v>
      </c>
      <c r="E3" s="627">
        <f>'比较法-办公'!E104</f>
        <v>500</v>
      </c>
      <c r="F3" s="627">
        <f>'比较法-办公'!F104</f>
        <v>1000</v>
      </c>
      <c r="G3" s="627">
        <f>'比较法-办公'!G104</f>
        <v>1500</v>
      </c>
      <c r="H3" s="627"/>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'比较法-办公'!C105</f>
        <v>100</v>
      </c>
      <c r="D4" s="935">
        <f>'比较法-办公'!D105</f>
        <v>99</v>
      </c>
      <c r="E4" s="935">
        <f>'比较法-办公'!E105</f>
        <v>98</v>
      </c>
      <c r="F4" s="935">
        <f>'比较法-办公'!F105</f>
        <v>97</v>
      </c>
      <c r="G4" s="935">
        <f>'比较法-办公'!G105</f>
        <v>96</v>
      </c>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3162" t="str">
        <f>'比较法-办公'!C89</f>
        <v>高区</v>
      </c>
      <c r="D17" s="3162" t="str">
        <f>'比较法-办公'!D89</f>
        <v>中区</v>
      </c>
      <c r="E17" s="3162" t="str">
        <f>'比较法-办公'!E89</f>
        <v>低区</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f>'比较法-办公'!C90</f>
        <v>100</v>
      </c>
      <c r="D18" s="963">
        <f>'比较法-办公'!D90</f>
        <v>95</v>
      </c>
      <c r="E18" s="963">
        <f>'比较法-办公'!E90</f>
        <v>90</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f ca="1">IF(D20="——",S22,S22-F20)</f>
        <v>5749</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f ca="1">ROUND(B20*10000/B22,0)</f>
        <v>14250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4034.2900000000009</v>
      </c>
      <c r="C22" s="3445" t="s">
        <v>27</v>
      </c>
      <c r="D22" s="3446"/>
      <c r="E22" s="3446"/>
      <c r="F22" s="3446"/>
      <c r="G22" s="3446"/>
      <c r="H22" s="3446"/>
      <c r="I22" s="3446"/>
      <c r="J22" s="3446"/>
      <c r="K22" s="3446"/>
      <c r="L22" s="3446"/>
      <c r="M22" s="3446"/>
      <c r="N22" s="3446"/>
      <c r="O22" s="3446"/>
      <c r="P22" s="3446"/>
      <c r="Q22" s="3447"/>
      <c r="R22" s="21">
        <f ca="1">ROUND(S22*10000/B22,0)</f>
        <v>14250</v>
      </c>
      <c r="S22" s="21">
        <f ca="1">SUM(S24:S10000)</f>
        <v>5749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501</v>
      </c>
      <c r="B24" s="633">
        <f>清单!F7</f>
        <v>388.61</v>
      </c>
      <c r="C24" s="2570">
        <v>1</v>
      </c>
      <c r="D24" s="2571"/>
      <c r="E24" s="2570">
        <v>1</v>
      </c>
      <c r="F24" s="2571"/>
      <c r="G24" s="2570">
        <v>1</v>
      </c>
      <c r="H24" s="2571"/>
      <c r="I24" s="2570">
        <v>1</v>
      </c>
      <c r="J24" s="2571"/>
      <c r="K24" s="2570">
        <v>1</v>
      </c>
      <c r="L24" s="2571"/>
      <c r="M24" s="2570">
        <v>1</v>
      </c>
      <c r="N24" s="2571"/>
      <c r="O24" s="2570">
        <v>1</v>
      </c>
      <c r="P24" s="2571" t="s">
        <v>3487</v>
      </c>
      <c r="Q24" s="2570">
        <v>1</v>
      </c>
      <c r="R24" s="633">
        <f ca="1">结果表!G20</f>
        <v>14361</v>
      </c>
      <c r="S24" s="634">
        <f t="shared" ref="S24:S54" ca="1" si="11">ROUND(R24*B24/10000,0)</f>
        <v>558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1202</v>
      </c>
      <c r="B25" s="52">
        <f>清单!F2</f>
        <v>134.96</v>
      </c>
      <c r="C25" s="21">
        <f>IF(B25="",1,(LOOKUP(B25,$3:$3,$4:$4)-LOOKUP($B$24,$3:$3,$4:$4)+100)/100)</f>
        <v>1.01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3485</v>
      </c>
      <c r="Q25" s="21">
        <f>(SUMIF($17:$17,P25,$18:$18)-SUMIF($17:$17,$P$24,$18:$18)+100)/100</f>
        <v>1.05</v>
      </c>
      <c r="R25" s="21">
        <f ca="1">IF(B25="",0,ROUND($R$24*C25*E25*G25*I25*K25*M25*O25*Q25,0))</f>
        <v>15230</v>
      </c>
      <c r="S25" s="308">
        <f t="shared" ca="1" si="11"/>
        <v>206</v>
      </c>
    </row>
    <row r="26" spans="1:45">
      <c r="A26" s="142">
        <v>101</v>
      </c>
      <c r="B26" s="52">
        <f>清单!F3</f>
        <v>402.36</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t="s">
        <v>3489</v>
      </c>
      <c r="Q26" s="21">
        <f t="shared" ref="Q26:Q89" si="19">(SUMIF($17:$17,P26,$18:$18)-SUMIF($17:$17,$P$24,$18:$18)+100)/100</f>
        <v>0.95</v>
      </c>
      <c r="R26" s="21">
        <f t="shared" ref="R26:R89" ca="1" si="20">IF(B26="",0,ROUND($R$24*C26*E26*G26*I26*K26*M26*O26*Q26,0))</f>
        <v>13643</v>
      </c>
      <c r="S26" s="308">
        <f t="shared" ca="1" si="11"/>
        <v>549</v>
      </c>
    </row>
    <row r="27" spans="1:45">
      <c r="A27" s="142">
        <v>201</v>
      </c>
      <c r="B27" s="52">
        <f>清单!F4</f>
        <v>388.35</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t="s">
        <v>3489</v>
      </c>
      <c r="Q27" s="21">
        <f t="shared" si="19"/>
        <v>0.95</v>
      </c>
      <c r="R27" s="21">
        <f t="shared" ca="1" si="20"/>
        <v>13643</v>
      </c>
      <c r="S27" s="308">
        <f t="shared" ca="1" si="11"/>
        <v>530</v>
      </c>
    </row>
    <row r="28" spans="1:45">
      <c r="A28" s="142">
        <v>301</v>
      </c>
      <c r="B28" s="52">
        <f>清单!F5</f>
        <v>388.35</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t="s">
        <v>3489</v>
      </c>
      <c r="Q28" s="21">
        <f t="shared" si="19"/>
        <v>0.95</v>
      </c>
      <c r="R28" s="21">
        <f t="shared" ca="1" si="20"/>
        <v>13643</v>
      </c>
      <c r="S28" s="308">
        <f t="shared" ca="1" si="11"/>
        <v>530</v>
      </c>
    </row>
    <row r="29" spans="1:45">
      <c r="A29" s="142">
        <v>401</v>
      </c>
      <c r="B29" s="52">
        <f>清单!F6</f>
        <v>388.61</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t="s">
        <v>3489</v>
      </c>
      <c r="Q29" s="21">
        <f t="shared" si="19"/>
        <v>0.95</v>
      </c>
      <c r="R29" s="21">
        <f t="shared" ca="1" si="20"/>
        <v>13643</v>
      </c>
      <c r="S29" s="308">
        <f t="shared" ca="1" si="11"/>
        <v>530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0.05</v>
      </c>
      <c r="R30" s="21">
        <f t="shared" si="20"/>
        <v>0</v>
      </c>
      <c r="S30" s="308">
        <f t="shared" si="11"/>
        <v>0</v>
      </c>
    </row>
    <row r="31" spans="1:45">
      <c r="A31" s="142">
        <v>601</v>
      </c>
      <c r="B31" s="52">
        <f>清单!F8</f>
        <v>388.61</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t="s">
        <v>3487</v>
      </c>
      <c r="Q31" s="21">
        <f t="shared" si="19"/>
        <v>1</v>
      </c>
      <c r="R31" s="21">
        <f t="shared" ca="1" si="20"/>
        <v>14361</v>
      </c>
      <c r="S31" s="308">
        <f t="shared" ca="1" si="11"/>
        <v>558</v>
      </c>
    </row>
    <row r="32" spans="1:45">
      <c r="A32" s="142">
        <v>701</v>
      </c>
      <c r="B32" s="52">
        <f>清单!F9</f>
        <v>388.61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t="s">
        <v>3487</v>
      </c>
      <c r="Q32" s="21">
        <f t="shared" si="19"/>
        <v>1</v>
      </c>
      <c r="R32" s="21">
        <f t="shared" ca="1" si="20"/>
        <v>14361</v>
      </c>
      <c r="S32" s="308">
        <f t="shared" ca="1" si="11"/>
        <v>558</v>
      </c>
    </row>
    <row r="33" spans="1:19">
      <c r="A33" s="142">
        <v>801</v>
      </c>
      <c r="B33" s="52">
        <f>清单!F10</f>
        <v>388.61</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t="s">
        <v>3487</v>
      </c>
      <c r="Q33" s="21">
        <f t="shared" si="19"/>
        <v>1</v>
      </c>
      <c r="R33" s="21">
        <f t="shared" ca="1" si="20"/>
        <v>14361</v>
      </c>
      <c r="S33" s="308">
        <f t="shared" ca="1" si="11"/>
        <v>558</v>
      </c>
    </row>
    <row r="34" spans="1:19">
      <c r="A34" s="142">
        <v>901</v>
      </c>
      <c r="B34" s="52">
        <f>清单!F11</f>
        <v>388.61</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t="s">
        <v>3485</v>
      </c>
      <c r="Q34" s="21">
        <f t="shared" si="19"/>
        <v>1.05</v>
      </c>
      <c r="R34" s="21">
        <f t="shared" ca="1" si="20"/>
        <v>15079</v>
      </c>
      <c r="S34" s="308">
        <f t="shared" ca="1" si="11"/>
        <v>586</v>
      </c>
    </row>
    <row r="35" spans="1:19">
      <c r="A35" s="142">
        <v>1001</v>
      </c>
      <c r="B35" s="52">
        <f>清单!F12</f>
        <v>388.61</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t="s">
        <v>3485</v>
      </c>
      <c r="Q35" s="21">
        <f t="shared" si="19"/>
        <v>1.05</v>
      </c>
      <c r="R35" s="21">
        <f t="shared" ca="1" si="20"/>
        <v>15079</v>
      </c>
      <c r="S35" s="308">
        <f t="shared" ca="1" si="11"/>
        <v>586</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0.05</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0.05</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0.05</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0.05</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0.05</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0.05</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0.05</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0.05</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0.05</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0.05</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0.05</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0.05</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0.05</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0.05</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0.05</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0.05</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0.05</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0.05</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0.05</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0.05</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0.05</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0.05</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0.05</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0.05</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0.05</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0.05</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0.05</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0.05</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0.05</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0.05</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0.05</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0.05</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0.05</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0.05</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0.05</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0.05</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0.05</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0.05</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0.05</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0.05</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0.05</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0.05</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0.05</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0.05</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0.05</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0.05</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0.05</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0.05</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0.05</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0.05</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0.05</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0.05</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0.05</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0.05</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0.05</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0.05</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0.05</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0.05</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0.05</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0.05</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0.05</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0.05</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0.05</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0.05</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0.05</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0.05</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0.05</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0.05</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0.05</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0.05</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0.05</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0.05</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0.05</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0.05</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0.05</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0.05</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0.05</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0.05</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0.05</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0.05</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0.05</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0.05</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0.05</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0.05</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0.05</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0.05</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0.05</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0.05</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0.05</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0.05</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0.05</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0.05</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0.05</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0.05</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0.05</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0.05</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0.05</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0.05</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0.05</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0.05</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0.05</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0.05</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0.05</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0.05</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0.05</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0.05</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0.05</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0.05</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0.05</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0.05</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0.05</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0.05</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0.05</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0.05</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0.05</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0.05</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0.05</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0.05</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0.05</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0.05</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0.05</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0.05</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0.05</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0.05</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0.05</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0.05</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0.05</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0.05</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0.05</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0.05</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0.05</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0.05</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0.05</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0.05</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0.05</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0.05</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0.05</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0.05</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0.05</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0.05</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0.05</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0.05</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0.05</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0.05</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0.05</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0.05</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0.05</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0.05</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0.05</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0.05</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0.05</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0.05</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0.05</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0.05</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0.05</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0.05</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0.05</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0.05</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0.05</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0.05</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0.05</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0.05</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0.05</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0.05</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0.05</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0.05</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0.05</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0.05</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0.05</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0.05</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0.05</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0.05</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0.05</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0.05</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0.05</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0.05</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0.05</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0.05</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0.05</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0.05</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0.05</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0.05</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0.05</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0.05</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0.05</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0.05</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0.05</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0.05</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0.05</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0.05</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0.05</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0.05</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0.05</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0.05</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0.05</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0.05</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0.05</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0.05</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0.05</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0.05</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0.05</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0.05</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0.05</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0.05</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0.05</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0.05</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0.05</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0.05</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0.05</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0.05</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0.05</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0.05</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0.05</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0.05</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0.05</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0.05</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0.05</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0.05</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0.05</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0.05</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0.05</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0.05</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0.05</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0.05</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0.05</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0.05</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0.05</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0.05</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0.05</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0.05</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0.05</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0.05</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0.05</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0.05</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0.05</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0.05</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0.05</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0.05</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0.05</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0.05</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0.05</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0.05</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0.05</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0.05</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0.05</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0.05</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0.05</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0.05</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0.05</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0.05</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0.05</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0.05</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0.05</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0.05</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0.05</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0.05</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0.05</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0.05</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0.05</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0.05</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0.05</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0.05</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0.05</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0.05</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0.05</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0.05</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0.05</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0.05</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0.05</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0.05</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0.05</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0.05</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0.05</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0.05</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0.05</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0.05</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0.05</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0.05</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0.05</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0.05</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0.05</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0.05</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0.05</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0.05</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0.05</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0.05</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0.05</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0.05</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0.05</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0.05</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0.05</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0.05</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0.05</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0.05</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0.05</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0.05</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0.05</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0.05</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0.05</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0.05</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0.05</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0.05</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0.05</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0.05</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0.05</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0.05</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0.05</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0.05</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0.05</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0.05</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0.05</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0.05</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0.05</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0.05</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0.05</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0.05</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0.05</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0.05</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0.05</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0.05</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0.05</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0.05</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0.05</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0.05</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0.05</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0.05</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0.05</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0.05</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0.05</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0.05</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0.05</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0.05</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0.05</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0.05</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0.05</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0.05</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0.05</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0.05</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0.05</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0.05</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0.05</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0.05</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0.05</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0.05</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0.05</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0.05</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0.05</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0.05</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0.05</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0.05</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0.05</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0.05</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0.05</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0.05</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0.05</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0.05</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0.05</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0.05</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0.05</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0.05</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0.05</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0.05</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0.05</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0.05</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0.05</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0.05</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0.05</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0.05</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0.05</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0.05</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0.05</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0.05</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0.05</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0.05</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0.05</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0.05</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0.05</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0.05</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0.05</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0.05</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0.05</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0.05</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0.05</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0.05</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0.05</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0.05</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0.05</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0.05</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0.05</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0.05</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0.05</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0.05</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0.05</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0.05</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0.05</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0.05</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0.05</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0.05</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0.05</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0.05</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0.05</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0.05</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0.05</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0.05</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0.05</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0.05</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0.05</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0.05</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0.05</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0.05</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0.05</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0.05</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0.05</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0.05</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0.05</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0.05</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0.05</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0.05</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0.05</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0.05</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0.05</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0.05</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0.05</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0.05</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0.05</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0.05</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0.05</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0.05</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0.05</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0.05</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0.05</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0.05</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0.05</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0.05</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0.05</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0.05</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0.05</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0.05</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0.05</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0.05</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0.05</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0.05</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0.05</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0.05</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0.05</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0.05</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0.05</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0.05</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0.05</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0.05</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0.05</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0.05</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0.05</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0.05</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0.05</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0.05</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0.05</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0.05</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0.05</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0.05</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0.05</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0.05</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0.05</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0.05</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0.05</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0.05</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0.05</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0.05</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0.05</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0.05</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0.05</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0.05</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0.05</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0.05</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0.05</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0.05</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0.05</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0.05</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0.05</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0.05</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0.05</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0.05</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0.05</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0.05</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0.05</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0.05</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0.05</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0.05</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0.05</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58"/>
      <c r="B4" s="3459"/>
      <c r="C4" s="3459"/>
      <c r="D4" s="3460"/>
      <c r="E4" s="3460"/>
      <c r="F4" s="3460"/>
      <c r="G4" s="3460"/>
      <c r="H4" s="3460"/>
      <c r="I4" s="3460"/>
      <c r="J4" s="3461"/>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3236</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3" t="e">
        <f t="shared" si="0"/>
        <v>#DIV/0!</v>
      </c>
      <c r="U8" s="1129"/>
      <c r="V8" s="3063" t="e">
        <f t="shared" si="1"/>
        <v>#DIV/0!</v>
      </c>
      <c r="W8" s="3455" t="s">
        <v>1960</v>
      </c>
      <c r="X8" s="3456"/>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3" t="e">
        <f t="shared" si="0"/>
        <v>#DIV/0!</v>
      </c>
      <c r="U9" s="1129"/>
      <c r="V9" s="3063" t="e">
        <f t="shared" si="1"/>
        <v>#DIV/0!</v>
      </c>
      <c r="W9" s="3457"/>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3" t="e">
        <f t="shared" si="0"/>
        <v>#DIV/0!</v>
      </c>
      <c r="U10" s="1129"/>
      <c r="V10" s="3063" t="e">
        <f t="shared" si="1"/>
        <v>#DIV/0!</v>
      </c>
      <c r="W10" s="345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3241</v>
      </c>
      <c r="B13" s="1877" t="s">
        <v>1982</v>
      </c>
      <c r="C13" s="711">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3242</v>
      </c>
      <c r="G14" s="3020" t="s">
        <v>3242</v>
      </c>
      <c r="H14" s="3020" t="s">
        <v>3242</v>
      </c>
      <c r="I14" s="3020" t="s">
        <v>3242</v>
      </c>
      <c r="J14" s="3020" t="s">
        <v>3242</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3243</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t="e">
        <f>ROUND(G18/I18,2)</f>
        <v>#DIV/0!</v>
      </c>
      <c r="F17" s="3028" t="s">
        <v>3249</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3247</v>
      </c>
      <c r="E18" s="2356"/>
      <c r="F18" s="3030" t="s">
        <v>3250</v>
      </c>
      <c r="G18" s="3034">
        <f>ROUND(1-(1/(POWER(1+G24,E18))),4)</f>
        <v>0</v>
      </c>
      <c r="H18" s="3030" t="s">
        <v>3252</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3248</v>
      </c>
      <c r="E19" s="3043"/>
      <c r="F19" s="3044" t="s">
        <v>3251</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62" t="s">
        <v>3253</v>
      </c>
      <c r="B20" s="159" t="s">
        <v>1994</v>
      </c>
      <c r="C20" s="3031" t="e">
        <f>ROUND(IF(F21="与级别开发程度一致",0,(G21-E21)/C21),0)</f>
        <v>#DIV/0!</v>
      </c>
      <c r="D20" s="3046" t="s">
        <v>1998</v>
      </c>
      <c r="E20" s="3047"/>
      <c r="F20" s="3468" t="s">
        <v>1995</v>
      </c>
      <c r="G20" s="3469"/>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63"/>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7">
        <v>44197</v>
      </c>
      <c r="F23" s="1895" t="s">
        <v>2003</v>
      </c>
      <c r="G23" s="718">
        <f>'数据-取费表'!B2</f>
        <v>45748</v>
      </c>
      <c r="H23" s="3048" t="s">
        <v>3255</v>
      </c>
      <c r="I23" s="3049" t="str">
        <f>IF(H23="季度增幅（自定义）",SUMIF(N25:N28,E2,O25:O28),"")</f>
        <v/>
      </c>
      <c r="J23" s="3141" t="s">
        <v>3254</v>
      </c>
      <c r="K23" s="1060"/>
      <c r="L23" s="1896" t="s">
        <v>2004</v>
      </c>
      <c r="M23" s="1240">
        <f>ROUND(SUMIF(地价!B2:G2,E2,地价!B16:G16),0)</f>
        <v>0</v>
      </c>
      <c r="N23" s="1897" t="s">
        <v>2005</v>
      </c>
      <c r="O23" s="719">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存贷款利率!E27/100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3334</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3256</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3257</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7" t="e">
        <f>ROUND(C33*D33/10000,0)</f>
        <v>#DIV/0!</v>
      </c>
      <c r="F33" s="3050" t="s">
        <v>3259</v>
      </c>
      <c r="G33" s="1940"/>
      <c r="H33" s="1940"/>
      <c r="I33" s="1940"/>
      <c r="J33" s="1941"/>
      <c r="K33" s="1055"/>
      <c r="L33" s="3053" t="s">
        <v>3262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5"/>
      <c r="L34" s="3053" t="s">
        <v>3263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3264</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6"/>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3265</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7"/>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7"/>
      <c r="B39" s="1883" t="s">
        <v>3258</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3266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2">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3"/>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3268</v>
      </c>
      <c r="B52" s="1261">
        <f>估价对象房地状况!C19</f>
        <v>0</v>
      </c>
      <c r="C52" s="1886"/>
      <c r="D52" s="1001">
        <f t="shared" si="7"/>
        <v>0</v>
      </c>
      <c r="E52" s="703"/>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3"/>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3"/>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3"/>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3"/>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3"/>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4"/>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2">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3"/>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3268</v>
      </c>
      <c r="B63" s="1261">
        <f>估价对象房地状况!C19</f>
        <v>0</v>
      </c>
      <c r="C63" s="1886"/>
      <c r="D63" s="1001">
        <f t="shared" si="12"/>
        <v>0</v>
      </c>
      <c r="E63" s="703"/>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3"/>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3"/>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3"/>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3"/>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3"/>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4"/>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2">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5"/>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3268</v>
      </c>
      <c r="B74" s="1261">
        <f>估价对象房地状况!C19</f>
        <v>0</v>
      </c>
      <c r="C74" s="1886"/>
      <c r="D74" s="1001">
        <f t="shared" si="17"/>
        <v>0</v>
      </c>
      <c r="E74" s="705"/>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5"/>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5"/>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5"/>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5"/>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5"/>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6"/>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3269</v>
      </c>
      <c r="B85" s="1261">
        <f>估价对象房地状况!G17</f>
        <v>0</v>
      </c>
      <c r="C85" s="1886"/>
      <c r="D85" s="1001">
        <f t="shared" si="22"/>
        <v>0</v>
      </c>
      <c r="E85" s="705"/>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5"/>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5"/>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5"/>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5"/>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2611</v>
      </c>
      <c r="B91" s="3079">
        <f>1+E93</f>
        <v>1</v>
      </c>
      <c r="C91" s="3072"/>
      <c r="D91" s="3073"/>
      <c r="E91" s="1674"/>
      <c r="F91" s="1674"/>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49" t="s">
        <v>3288</v>
      </c>
      <c r="K92" s="2149" t="s">
        <v>3289</v>
      </c>
      <c r="L92" s="2149" t="s">
        <v>3290</v>
      </c>
      <c r="M92" s="2149" t="s">
        <v>3291</v>
      </c>
      <c r="N92" s="2149" t="s">
        <v>3292</v>
      </c>
    </row>
    <row r="93" spans="1:37" ht="24">
      <c r="A93" s="3070" t="s">
        <v>3271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3272</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3268</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3273</v>
      </c>
      <c r="B96" s="3086" t="s">
        <v>3284</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3274</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3275</v>
      </c>
      <c r="B98" s="3087" t="s">
        <v>3285</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3276</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3277</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3278</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64" t="s">
        <v>3293</v>
      </c>
      <c r="B103" s="3464"/>
      <c r="C103" s="3464"/>
      <c r="D103" s="3464"/>
      <c r="E103" s="3464"/>
      <c r="F103" s="3464"/>
      <c r="G103" s="3464"/>
      <c r="H103" s="3464"/>
      <c r="I103" s="3464"/>
      <c r="J103" s="3464"/>
      <c r="K103" s="1666"/>
      <c r="L103" s="1666"/>
      <c r="M103" s="1666"/>
      <c r="N103" s="1666"/>
    </row>
    <row r="104" spans="1:14">
      <c r="A104" s="3465" t="s">
        <v>3294</v>
      </c>
      <c r="B104" s="3465" t="s">
        <v>3295</v>
      </c>
      <c r="C104" s="3090" t="s">
        <v>3296</v>
      </c>
      <c r="D104" s="3091"/>
      <c r="E104" s="3091"/>
      <c r="F104" s="3091"/>
      <c r="G104" s="3091"/>
      <c r="H104" s="3091"/>
      <c r="I104" s="3091"/>
      <c r="J104" s="3092"/>
      <c r="K104" s="3093"/>
      <c r="L104" s="3093"/>
      <c r="M104" s="3093"/>
      <c r="N104" s="3093"/>
    </row>
    <row r="105" spans="1:14">
      <c r="A105" s="3465"/>
      <c r="B105" s="3465"/>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451"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2"/>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4" t="s">
        <v>3310</v>
      </c>
      <c r="B113" s="3454"/>
      <c r="C113" s="3454"/>
      <c r="D113" s="3454"/>
      <c r="E113" s="3454"/>
      <c r="F113" s="3454"/>
      <c r="G113" s="3454"/>
      <c r="H113" s="3454"/>
      <c r="I113" s="3454"/>
      <c r="J113" s="3454"/>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3311</v>
      </c>
      <c r="B116" s="3114">
        <f>G3</f>
        <v>0</v>
      </c>
      <c r="C116" s="3099" t="s">
        <v>3312</v>
      </c>
      <c r="D116" s="3100">
        <f>SUMPRODUCT((A118:A122=F116)*(B117:M117=H116)*B118:M122)</f>
        <v>0</v>
      </c>
      <c r="E116" s="162" t="s">
        <v>3313</v>
      </c>
      <c r="F116" s="3101">
        <f>E2</f>
        <v>0</v>
      </c>
      <c r="G116" s="162" t="s">
        <v>3314</v>
      </c>
      <c r="H116" s="3101">
        <f>G2</f>
        <v>0</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3328</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3329</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3330</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2611</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BC5F3-B576-4418-95EB-2E3555D418FD}">
  <sheetPr>
    <tabColor theme="8" tint="0.39997558519241921"/>
  </sheetPr>
  <dimension ref="A1:H13"/>
  <sheetViews>
    <sheetView workbookViewId="0">
      <selection activeCell="F23" sqref="F23"/>
    </sheetView>
  </sheetViews>
  <sheetFormatPr defaultRowHeight="14.25"/>
  <cols>
    <col min="1" max="1" width="6.75" style="3153" customWidth="1"/>
    <col min="2" max="2" width="21.5" style="3153" customWidth="1"/>
    <col min="3" max="3" width="20.875" style="3153" customWidth="1"/>
    <col min="4" max="4" width="41.875" style="3153" customWidth="1"/>
    <col min="5" max="5" width="10.625" style="3153" customWidth="1"/>
    <col min="6" max="6" width="9" style="3153"/>
    <col min="7" max="7" width="7.875" style="3153" customWidth="1"/>
    <col min="8" max="8" width="7.625" style="3153" customWidth="1"/>
    <col min="9" max="16384" width="9" style="3153"/>
  </cols>
  <sheetData>
    <row r="1" spans="1:8">
      <c r="A1" s="3154" t="s">
        <v>3410</v>
      </c>
      <c r="B1" s="3154" t="s">
        <v>3411</v>
      </c>
      <c r="C1" s="3154" t="s">
        <v>3413</v>
      </c>
      <c r="D1" s="3154" t="s">
        <v>3415</v>
      </c>
      <c r="E1" s="3154" t="s">
        <v>3417</v>
      </c>
      <c r="F1" s="3154" t="s">
        <v>3419</v>
      </c>
      <c r="G1" s="3154" t="s">
        <v>3420</v>
      </c>
      <c r="H1" s="3154" t="s">
        <v>3427</v>
      </c>
    </row>
    <row r="2" spans="1:8">
      <c r="A2" s="3154">
        <v>1</v>
      </c>
      <c r="B2" s="3154" t="s">
        <v>3412</v>
      </c>
      <c r="C2" s="3154" t="s">
        <v>3414</v>
      </c>
      <c r="D2" s="3154" t="s">
        <v>3416</v>
      </c>
      <c r="E2" s="3154" t="s">
        <v>3418</v>
      </c>
      <c r="F2" s="3154">
        <v>134.96</v>
      </c>
      <c r="G2" s="3154" t="s">
        <v>3421</v>
      </c>
      <c r="H2" s="3154" t="s">
        <v>3429</v>
      </c>
    </row>
    <row r="3" spans="1:8">
      <c r="A3" s="3154">
        <v>2</v>
      </c>
      <c r="B3" s="3154" t="s">
        <v>3422</v>
      </c>
      <c r="C3" s="3154" t="s">
        <v>3414</v>
      </c>
      <c r="D3" s="3154" t="s">
        <v>3423</v>
      </c>
      <c r="E3" s="3154" t="s">
        <v>3424</v>
      </c>
      <c r="F3" s="3154">
        <v>402.36</v>
      </c>
      <c r="G3" s="3154" t="s">
        <v>3426</v>
      </c>
      <c r="H3" s="3154" t="s">
        <v>3429</v>
      </c>
    </row>
    <row r="4" spans="1:8">
      <c r="A4" s="3154">
        <v>3</v>
      </c>
      <c r="B4" s="3154" t="s">
        <v>3430</v>
      </c>
      <c r="C4" s="3154" t="s">
        <v>3414</v>
      </c>
      <c r="D4" s="3154" t="s">
        <v>3431</v>
      </c>
      <c r="E4" s="3154" t="s">
        <v>3424</v>
      </c>
      <c r="F4" s="3154">
        <v>388.35</v>
      </c>
      <c r="G4" s="3154" t="s">
        <v>3426</v>
      </c>
      <c r="H4" s="3154" t="s">
        <v>3429</v>
      </c>
    </row>
    <row r="5" spans="1:8">
      <c r="A5" s="3154">
        <v>4</v>
      </c>
      <c r="B5" s="3154" t="s">
        <v>3432</v>
      </c>
      <c r="C5" s="3154" t="s">
        <v>3414</v>
      </c>
      <c r="D5" s="3154" t="s">
        <v>3433</v>
      </c>
      <c r="E5" s="3154" t="s">
        <v>3424</v>
      </c>
      <c r="F5" s="3154">
        <v>388.35</v>
      </c>
      <c r="G5" s="3154" t="s">
        <v>3425</v>
      </c>
      <c r="H5" s="3154" t="s">
        <v>3429</v>
      </c>
    </row>
    <row r="6" spans="1:8">
      <c r="A6" s="3154">
        <v>5</v>
      </c>
      <c r="B6" s="3154" t="s">
        <v>3434</v>
      </c>
      <c r="C6" s="3154" t="s">
        <v>3414</v>
      </c>
      <c r="D6" s="3154" t="s">
        <v>3435</v>
      </c>
      <c r="E6" s="3154" t="s">
        <v>3424</v>
      </c>
      <c r="F6" s="3154">
        <v>388.61</v>
      </c>
      <c r="G6" s="3154" t="s">
        <v>3425</v>
      </c>
      <c r="H6" s="3154" t="s">
        <v>3429</v>
      </c>
    </row>
    <row r="7" spans="1:8">
      <c r="A7" s="3155">
        <v>6</v>
      </c>
      <c r="B7" s="3155" t="s">
        <v>3436</v>
      </c>
      <c r="C7" s="3155" t="s">
        <v>3414</v>
      </c>
      <c r="D7" s="3155" t="s">
        <v>3437</v>
      </c>
      <c r="E7" s="3155" t="s">
        <v>3424</v>
      </c>
      <c r="F7" s="3155">
        <v>388.61</v>
      </c>
      <c r="G7" s="3155" t="s">
        <v>3425</v>
      </c>
      <c r="H7" s="3155" t="s">
        <v>3429</v>
      </c>
    </row>
    <row r="8" spans="1:8">
      <c r="A8" s="3154">
        <v>7</v>
      </c>
      <c r="B8" s="3154" t="s">
        <v>3438</v>
      </c>
      <c r="C8" s="3154" t="s">
        <v>3414</v>
      </c>
      <c r="D8" s="3154" t="s">
        <v>3439</v>
      </c>
      <c r="E8" s="3154" t="s">
        <v>3424</v>
      </c>
      <c r="F8" s="3154">
        <v>388.61</v>
      </c>
      <c r="G8" s="3154" t="s">
        <v>3425</v>
      </c>
      <c r="H8" s="3154" t="s">
        <v>3429</v>
      </c>
    </row>
    <row r="9" spans="1:8">
      <c r="A9" s="3154">
        <v>8</v>
      </c>
      <c r="B9" s="3154" t="s">
        <v>3440</v>
      </c>
      <c r="C9" s="3154" t="s">
        <v>3414</v>
      </c>
      <c r="D9" s="3154" t="s">
        <v>3441</v>
      </c>
      <c r="E9" s="3154" t="s">
        <v>3424</v>
      </c>
      <c r="F9" s="3154">
        <v>388.61</v>
      </c>
      <c r="G9" s="3154" t="s">
        <v>3425</v>
      </c>
      <c r="H9" s="3154" t="s">
        <v>3429</v>
      </c>
    </row>
    <row r="10" spans="1:8">
      <c r="A10" s="3154">
        <v>9</v>
      </c>
      <c r="B10" s="3154" t="s">
        <v>3442</v>
      </c>
      <c r="C10" s="3154" t="s">
        <v>3414</v>
      </c>
      <c r="D10" s="3154" t="s">
        <v>3443</v>
      </c>
      <c r="E10" s="3154" t="s">
        <v>3424</v>
      </c>
      <c r="F10" s="3154">
        <v>388.61</v>
      </c>
      <c r="G10" s="3154" t="s">
        <v>3425</v>
      </c>
      <c r="H10" s="3154" t="s">
        <v>3429</v>
      </c>
    </row>
    <row r="11" spans="1:8">
      <c r="A11" s="3154">
        <v>10</v>
      </c>
      <c r="B11" s="3154" t="s">
        <v>3444</v>
      </c>
      <c r="C11" s="3154" t="s">
        <v>3414</v>
      </c>
      <c r="D11" s="3154" t="s">
        <v>3445</v>
      </c>
      <c r="E11" s="3154" t="s">
        <v>3424</v>
      </c>
      <c r="F11" s="3154">
        <v>388.61</v>
      </c>
      <c r="G11" s="3154" t="s">
        <v>3425</v>
      </c>
      <c r="H11" s="3154" t="s">
        <v>3429</v>
      </c>
    </row>
    <row r="12" spans="1:8">
      <c r="A12" s="3154">
        <v>11</v>
      </c>
      <c r="B12" s="3154" t="s">
        <v>3446</v>
      </c>
      <c r="C12" s="3154" t="s">
        <v>3414</v>
      </c>
      <c r="D12" s="3154" t="s">
        <v>3447</v>
      </c>
      <c r="E12" s="3154" t="s">
        <v>3424</v>
      </c>
      <c r="F12" s="3154">
        <v>388.61</v>
      </c>
      <c r="G12" s="3154" t="s">
        <v>3425</v>
      </c>
      <c r="H12" s="3154" t="s">
        <v>3429</v>
      </c>
    </row>
    <row r="13" spans="1:8">
      <c r="A13" s="3154" t="s">
        <v>2591</v>
      </c>
      <c r="B13" s="3154"/>
      <c r="C13" s="3154"/>
      <c r="D13" s="3154"/>
      <c r="E13" s="3154"/>
      <c r="F13" s="3154">
        <f>SUM(F2:F12)</f>
        <v>4034.2900000000009</v>
      </c>
      <c r="G13" s="3154"/>
      <c r="H13" s="3154"/>
    </row>
  </sheetData>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77" t="s">
        <v>2606</v>
      </c>
      <c r="B20" s="3470" t="s">
        <v>2627</v>
      </c>
      <c r="C20" s="2842" t="s">
        <v>2438</v>
      </c>
      <c r="D20" s="2843"/>
      <c r="E20" s="2844">
        <v>1</v>
      </c>
      <c r="F20" s="2845" t="s">
        <v>2439</v>
      </c>
      <c r="G20" s="2845"/>
    </row>
    <row r="21" spans="1:13" ht="19.5" customHeight="1">
      <c r="A21" s="3478"/>
      <c r="B21" s="3471"/>
      <c r="C21" s="2846" t="s">
        <v>2440</v>
      </c>
      <c r="D21" s="2847"/>
      <c r="E21" s="2848">
        <v>1</v>
      </c>
      <c r="F21" s="2845" t="s">
        <v>2441</v>
      </c>
      <c r="G21" s="2845"/>
    </row>
    <row r="22" spans="1:13" ht="19.5" customHeight="1">
      <c r="A22" s="3478"/>
      <c r="B22" s="3471"/>
      <c r="C22" s="2846" t="s">
        <v>2442</v>
      </c>
      <c r="D22" s="2847"/>
      <c r="E22" s="2848">
        <v>0.9</v>
      </c>
      <c r="F22" s="2845" t="s">
        <v>2443</v>
      </c>
      <c r="G22" s="2845"/>
    </row>
    <row r="23" spans="1:13" ht="19.5" customHeight="1">
      <c r="A23" s="3478"/>
      <c r="B23" s="3471"/>
      <c r="C23" s="2846" t="s">
        <v>2444</v>
      </c>
      <c r="D23" s="2847"/>
      <c r="E23" s="2848">
        <v>0.9</v>
      </c>
      <c r="F23" s="2845" t="s">
        <v>2445</v>
      </c>
      <c r="G23" s="2845"/>
    </row>
    <row r="24" spans="1:13" ht="19.5" customHeight="1">
      <c r="A24" s="3478"/>
      <c r="B24" s="3471"/>
      <c r="C24" s="2846" t="s">
        <v>2446</v>
      </c>
      <c r="D24" s="2847"/>
      <c r="E24" s="2848">
        <v>0.8</v>
      </c>
      <c r="F24" s="2845" t="s">
        <v>2447</v>
      </c>
      <c r="G24" s="2845"/>
    </row>
    <row r="25" spans="1:13" ht="19.5" customHeight="1" thickBot="1">
      <c r="A25" s="3479"/>
      <c r="B25" s="3472"/>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73" t="s">
        <v>2630</v>
      </c>
      <c r="B27" s="3470" t="s">
        <v>2611</v>
      </c>
      <c r="C27" s="2842" t="s">
        <v>2451</v>
      </c>
      <c r="D27" s="2843"/>
      <c r="E27" s="2844">
        <v>1</v>
      </c>
      <c r="F27" s="2845" t="s">
        <v>2452</v>
      </c>
      <c r="G27" s="2845"/>
    </row>
    <row r="28" spans="1:13" ht="19.5" customHeight="1">
      <c r="A28" s="3474"/>
      <c r="B28" s="3471"/>
      <c r="C28" s="2846" t="s">
        <v>2453</v>
      </c>
      <c r="D28" s="2847"/>
      <c r="E28" s="2848">
        <v>1</v>
      </c>
      <c r="F28" s="2845" t="s">
        <v>2454</v>
      </c>
      <c r="G28" s="2845"/>
    </row>
    <row r="29" spans="1:13" ht="19.5" customHeight="1">
      <c r="A29" s="3474"/>
      <c r="B29" s="3471"/>
      <c r="C29" s="2846" t="s">
        <v>2455</v>
      </c>
      <c r="D29" s="2847"/>
      <c r="E29" s="2848">
        <v>0.8</v>
      </c>
      <c r="F29" s="2845" t="s">
        <v>2456</v>
      </c>
      <c r="G29" s="2845"/>
    </row>
    <row r="30" spans="1:13" ht="19.5" customHeight="1">
      <c r="A30" s="3474"/>
      <c r="B30" s="3471"/>
      <c r="C30" s="2846" t="s">
        <v>2457</v>
      </c>
      <c r="D30" s="2847"/>
      <c r="E30" s="2848">
        <v>0.8</v>
      </c>
      <c r="F30" s="2845" t="s">
        <v>2458</v>
      </c>
      <c r="G30" s="2845"/>
    </row>
    <row r="31" spans="1:13" ht="19.5" customHeight="1">
      <c r="A31" s="3474"/>
      <c r="B31" s="3471"/>
      <c r="C31" s="2846" t="s">
        <v>2459</v>
      </c>
      <c r="D31" s="2847"/>
      <c r="E31" s="2848">
        <v>0.8</v>
      </c>
      <c r="F31" s="2845" t="s">
        <v>2460</v>
      </c>
      <c r="G31" s="2845"/>
    </row>
    <row r="32" spans="1:13" ht="19.5" customHeight="1">
      <c r="A32" s="3474"/>
      <c r="B32" s="3471"/>
      <c r="C32" s="2846" t="s">
        <v>2461</v>
      </c>
      <c r="D32" s="2847"/>
      <c r="E32" s="2848">
        <v>0.7</v>
      </c>
      <c r="F32" s="2845" t="s">
        <v>2462</v>
      </c>
      <c r="G32" s="2845"/>
    </row>
    <row r="33" spans="1:7" ht="19.5" customHeight="1">
      <c r="A33" s="3474"/>
      <c r="B33" s="3471"/>
      <c r="C33" s="2846" t="s">
        <v>2463</v>
      </c>
      <c r="D33" s="2847"/>
      <c r="E33" s="2848">
        <v>0.8</v>
      </c>
      <c r="F33" s="2845" t="s">
        <v>2464</v>
      </c>
      <c r="G33" s="2845"/>
    </row>
    <row r="34" spans="1:7" ht="19.5" customHeight="1">
      <c r="A34" s="3474"/>
      <c r="B34" s="3471"/>
      <c r="C34" s="2846" t="s">
        <v>2465</v>
      </c>
      <c r="D34" s="2847"/>
      <c r="E34" s="2848">
        <v>0.6</v>
      </c>
      <c r="F34" s="2845" t="s">
        <v>2466</v>
      </c>
      <c r="G34" s="2845"/>
    </row>
    <row r="35" spans="1:7" ht="19.5" customHeight="1">
      <c r="A35" s="3474"/>
      <c r="B35" s="3471"/>
      <c r="C35" s="2846" t="s">
        <v>2467</v>
      </c>
      <c r="D35" s="2847"/>
      <c r="E35" s="2848">
        <v>0.2</v>
      </c>
      <c r="F35" s="2845" t="s">
        <v>2468</v>
      </c>
      <c r="G35" s="2845"/>
    </row>
    <row r="36" spans="1:7" ht="19.5" customHeight="1">
      <c r="A36" s="3474"/>
      <c r="B36" s="3471"/>
      <c r="C36" s="2846" t="s">
        <v>2469</v>
      </c>
      <c r="D36" s="2847"/>
      <c r="E36" s="2848">
        <v>0.2</v>
      </c>
      <c r="F36" s="2845" t="s">
        <v>2470</v>
      </c>
      <c r="G36" s="2845"/>
    </row>
    <row r="37" spans="1:7" ht="19.5" customHeight="1">
      <c r="A37" s="3474"/>
      <c r="B37" s="3476" t="s">
        <v>2631</v>
      </c>
      <c r="C37" s="2846" t="s">
        <v>2471</v>
      </c>
      <c r="D37" s="2847"/>
      <c r="E37" s="2848">
        <v>0.6</v>
      </c>
      <c r="F37" s="2845" t="s">
        <v>2472</v>
      </c>
      <c r="G37" s="2845"/>
    </row>
    <row r="38" spans="1:7" ht="19.5" customHeight="1">
      <c r="A38" s="3474"/>
      <c r="B38" s="3471"/>
      <c r="C38" s="2846" t="s">
        <v>2473</v>
      </c>
      <c r="D38" s="2847"/>
      <c r="E38" s="2848">
        <v>0.6</v>
      </c>
      <c r="F38" s="2845" t="s">
        <v>2474</v>
      </c>
      <c r="G38" s="2845"/>
    </row>
    <row r="39" spans="1:7" ht="19.5" customHeight="1" thickBot="1">
      <c r="A39" s="3475"/>
      <c r="B39" s="3472"/>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77" t="s">
        <v>2609</v>
      </c>
      <c r="B41" s="3470" t="s">
        <v>2633</v>
      </c>
      <c r="C41" s="2842" t="s">
        <v>2478</v>
      </c>
      <c r="D41" s="2843"/>
      <c r="E41" s="2844">
        <v>1</v>
      </c>
      <c r="F41" s="2845" t="s">
        <v>2479</v>
      </c>
      <c r="G41" s="2845"/>
    </row>
    <row r="42" spans="1:7" ht="19.5" customHeight="1">
      <c r="A42" s="3478"/>
      <c r="B42" s="3471"/>
      <c r="C42" s="2846" t="s">
        <v>2480</v>
      </c>
      <c r="D42" s="2847"/>
      <c r="E42" s="2848">
        <v>1</v>
      </c>
      <c r="F42" s="2845" t="s">
        <v>2481</v>
      </c>
      <c r="G42" s="2845"/>
    </row>
    <row r="43" spans="1:7" ht="19.5" customHeight="1">
      <c r="A43" s="3478"/>
      <c r="B43" s="3480"/>
      <c r="C43" s="2846" t="s">
        <v>2482</v>
      </c>
      <c r="D43" s="2847"/>
      <c r="E43" s="2848">
        <v>1.5</v>
      </c>
      <c r="F43" s="2845" t="s">
        <v>2483</v>
      </c>
      <c r="G43" s="2845"/>
    </row>
    <row r="44" spans="1:7" ht="19.5" customHeight="1">
      <c r="A44" s="3478"/>
      <c r="B44" s="2857" t="s">
        <v>2634</v>
      </c>
      <c r="C44" s="2846" t="s">
        <v>2635</v>
      </c>
      <c r="D44" s="2847"/>
      <c r="E44" s="2848">
        <v>2</v>
      </c>
      <c r="F44" s="2845" t="s">
        <v>2484</v>
      </c>
      <c r="G44" s="2845"/>
    </row>
    <row r="45" spans="1:7" ht="19.5" customHeight="1">
      <c r="A45" s="3478"/>
      <c r="B45" s="3476" t="s">
        <v>2636</v>
      </c>
      <c r="C45" s="2846" t="s">
        <v>2485</v>
      </c>
      <c r="D45" s="2847"/>
      <c r="E45" s="2848">
        <v>1</v>
      </c>
      <c r="F45" s="2845" t="s">
        <v>2486</v>
      </c>
      <c r="G45" s="2845"/>
    </row>
    <row r="46" spans="1:7" ht="19.5" customHeight="1">
      <c r="A46" s="3478"/>
      <c r="B46" s="3471"/>
      <c r="C46" s="2846" t="s">
        <v>2487</v>
      </c>
      <c r="D46" s="2847"/>
      <c r="E46" s="2848">
        <v>1</v>
      </c>
      <c r="F46" s="2845" t="s">
        <v>2488</v>
      </c>
      <c r="G46" s="2845"/>
    </row>
    <row r="47" spans="1:7" ht="19.5" customHeight="1">
      <c r="A47" s="3478"/>
      <c r="B47" s="3471"/>
      <c r="C47" s="2846" t="s">
        <v>2489</v>
      </c>
      <c r="D47" s="2847"/>
      <c r="E47" s="2848">
        <v>1</v>
      </c>
      <c r="F47" s="2845" t="s">
        <v>2490</v>
      </c>
      <c r="G47" s="2845"/>
    </row>
    <row r="48" spans="1:7" ht="19.5" customHeight="1">
      <c r="A48" s="3478"/>
      <c r="B48" s="3471"/>
      <c r="C48" s="2846" t="s">
        <v>2491</v>
      </c>
      <c r="D48" s="2847"/>
      <c r="E48" s="2848">
        <v>1</v>
      </c>
      <c r="F48" s="2845" t="s">
        <v>2492</v>
      </c>
      <c r="G48" s="2845"/>
    </row>
    <row r="49" spans="1:7" ht="19.5" customHeight="1">
      <c r="A49" s="3478"/>
      <c r="B49" s="3471"/>
      <c r="C49" s="2846" t="s">
        <v>2493</v>
      </c>
      <c r="D49" s="2847"/>
      <c r="E49" s="2848">
        <v>1</v>
      </c>
      <c r="F49" s="2845" t="s">
        <v>2494</v>
      </c>
      <c r="G49" s="2845"/>
    </row>
    <row r="50" spans="1:7" ht="19.5" customHeight="1">
      <c r="A50" s="3478"/>
      <c r="B50" s="3471"/>
      <c r="C50" s="2846" t="s">
        <v>2495</v>
      </c>
      <c r="D50" s="2847"/>
      <c r="E50" s="2848">
        <v>1</v>
      </c>
      <c r="F50" s="2845" t="s">
        <v>2496</v>
      </c>
      <c r="G50" s="2845"/>
    </row>
    <row r="51" spans="1:7" ht="19.5" customHeight="1" thickBot="1">
      <c r="A51" s="3479"/>
      <c r="B51" s="3472"/>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476" t="s">
        <v>2650</v>
      </c>
      <c r="C73" s="2831" t="s">
        <v>2651</v>
      </c>
      <c r="D73" s="2831" t="s">
        <v>2652</v>
      </c>
      <c r="E73" s="2857">
        <v>0.2</v>
      </c>
      <c r="F73" s="2857">
        <v>25</v>
      </c>
    </row>
    <row r="74" spans="1:7" ht="24">
      <c r="A74" s="2857">
        <v>2</v>
      </c>
      <c r="B74" s="3471"/>
      <c r="C74" s="2831" t="s">
        <v>2653</v>
      </c>
      <c r="D74" s="2831" t="s">
        <v>2654</v>
      </c>
      <c r="E74" s="2857">
        <v>0.2</v>
      </c>
      <c r="F74" s="2857">
        <v>25</v>
      </c>
    </row>
    <row r="75" spans="1:7" ht="24">
      <c r="A75" s="2857">
        <v>3</v>
      </c>
      <c r="B75" s="3471"/>
      <c r="C75" s="2831" t="s">
        <v>2655</v>
      </c>
      <c r="D75" s="2831" t="s">
        <v>2656</v>
      </c>
      <c r="E75" s="2857">
        <v>0.2</v>
      </c>
      <c r="F75" s="2857">
        <v>25</v>
      </c>
    </row>
    <row r="76" spans="1:7" ht="13.5">
      <c r="A76" s="2857">
        <v>4</v>
      </c>
      <c r="B76" s="3471"/>
      <c r="C76" s="2831" t="s">
        <v>2657</v>
      </c>
      <c r="D76" s="2831" t="s">
        <v>2658</v>
      </c>
      <c r="E76" s="2857">
        <v>0.15</v>
      </c>
      <c r="F76" s="2857">
        <v>20</v>
      </c>
    </row>
    <row r="77" spans="1:7" ht="24">
      <c r="A77" s="2857">
        <v>5</v>
      </c>
      <c r="B77" s="3471"/>
      <c r="C77" s="2831" t="s">
        <v>2659</v>
      </c>
      <c r="D77" s="2831" t="s">
        <v>2660</v>
      </c>
      <c r="E77" s="2857">
        <v>0.15</v>
      </c>
      <c r="F77" s="2857">
        <v>20</v>
      </c>
    </row>
    <row r="78" spans="1:7" ht="24">
      <c r="A78" s="2857">
        <v>6</v>
      </c>
      <c r="B78" s="3471"/>
      <c r="C78" s="2831" t="s">
        <v>2661</v>
      </c>
      <c r="D78" s="2831" t="s">
        <v>2662</v>
      </c>
      <c r="E78" s="2857">
        <v>0.15</v>
      </c>
      <c r="F78" s="2857">
        <v>20</v>
      </c>
    </row>
    <row r="79" spans="1:7" ht="24">
      <c r="A79" s="2857">
        <v>7</v>
      </c>
      <c r="B79" s="3471"/>
      <c r="C79" s="2831" t="s">
        <v>2663</v>
      </c>
      <c r="D79" s="2831" t="s">
        <v>2664</v>
      </c>
      <c r="E79" s="2857">
        <v>0.15</v>
      </c>
      <c r="F79" s="2857">
        <v>20</v>
      </c>
    </row>
    <row r="80" spans="1:7" ht="24">
      <c r="A80" s="2857">
        <v>8</v>
      </c>
      <c r="B80" s="3471"/>
      <c r="C80" s="2831" t="s">
        <v>2665</v>
      </c>
      <c r="D80" s="2831" t="s">
        <v>2666</v>
      </c>
      <c r="E80" s="2857">
        <v>0.1</v>
      </c>
      <c r="F80" s="2857">
        <v>15</v>
      </c>
    </row>
    <row r="81" spans="1:6" ht="24">
      <c r="A81" s="2857">
        <v>9</v>
      </c>
      <c r="B81" s="3471"/>
      <c r="C81" s="2831" t="s">
        <v>2667</v>
      </c>
      <c r="D81" s="2831" t="s">
        <v>2668</v>
      </c>
      <c r="E81" s="2857">
        <v>0.1</v>
      </c>
      <c r="F81" s="2857">
        <v>15</v>
      </c>
    </row>
    <row r="82" spans="1:6" ht="24">
      <c r="A82" s="2857">
        <v>10</v>
      </c>
      <c r="B82" s="3471"/>
      <c r="C82" s="2831" t="s">
        <v>2669</v>
      </c>
      <c r="D82" s="2831" t="s">
        <v>2670</v>
      </c>
      <c r="E82" s="2857">
        <v>0.1</v>
      </c>
      <c r="F82" s="2857">
        <v>15</v>
      </c>
    </row>
    <row r="83" spans="1:6" ht="24">
      <c r="A83" s="2857">
        <v>11</v>
      </c>
      <c r="B83" s="3471"/>
      <c r="C83" s="2831" t="s">
        <v>2671</v>
      </c>
      <c r="D83" s="2831" t="s">
        <v>2672</v>
      </c>
      <c r="E83" s="2857">
        <v>0.1</v>
      </c>
      <c r="F83" s="2857">
        <v>15</v>
      </c>
    </row>
    <row r="84" spans="1:6" ht="24">
      <c r="A84" s="2857">
        <v>12</v>
      </c>
      <c r="B84" s="3471"/>
      <c r="C84" s="2831" t="s">
        <v>2673</v>
      </c>
      <c r="D84" s="2831" t="s">
        <v>2674</v>
      </c>
      <c r="E84" s="2857">
        <v>0.1</v>
      </c>
      <c r="F84" s="2857">
        <v>15</v>
      </c>
    </row>
    <row r="85" spans="1:6" ht="13.5">
      <c r="A85" s="2857">
        <v>13</v>
      </c>
      <c r="B85" s="3471"/>
      <c r="C85" s="2831" t="s">
        <v>2675</v>
      </c>
      <c r="D85" s="2831" t="s">
        <v>2676</v>
      </c>
      <c r="E85" s="2857">
        <v>0.1</v>
      </c>
      <c r="F85" s="2857">
        <v>15</v>
      </c>
    </row>
    <row r="86" spans="1:6" ht="13.5">
      <c r="A86" s="2857">
        <v>14</v>
      </c>
      <c r="B86" s="3471"/>
      <c r="C86" s="2831" t="s">
        <v>2677</v>
      </c>
      <c r="D86" s="2831" t="s">
        <v>2678</v>
      </c>
      <c r="E86" s="2857">
        <v>0.1</v>
      </c>
      <c r="F86" s="2857">
        <v>15</v>
      </c>
    </row>
    <row r="87" spans="1:6" ht="13.5">
      <c r="A87" s="2857">
        <v>15</v>
      </c>
      <c r="B87" s="3471"/>
      <c r="C87" s="2831" t="s">
        <v>2679</v>
      </c>
      <c r="D87" s="2831" t="s">
        <v>2680</v>
      </c>
      <c r="E87" s="2857">
        <v>0.1</v>
      </c>
      <c r="F87" s="2857">
        <v>15</v>
      </c>
    </row>
    <row r="88" spans="1:6" ht="24">
      <c r="A88" s="2857">
        <v>16</v>
      </c>
      <c r="B88" s="3471"/>
      <c r="C88" s="2831" t="s">
        <v>2681</v>
      </c>
      <c r="D88" s="2831" t="s">
        <v>2682</v>
      </c>
      <c r="E88" s="2857">
        <v>0.1</v>
      </c>
      <c r="F88" s="2857">
        <v>15</v>
      </c>
    </row>
    <row r="89" spans="1:6" ht="24">
      <c r="A89" s="2857">
        <v>17</v>
      </c>
      <c r="B89" s="3480"/>
      <c r="C89" s="2831" t="s">
        <v>2683</v>
      </c>
      <c r="D89" s="2831" t="s">
        <v>2684</v>
      </c>
      <c r="E89" s="2857">
        <v>0.1</v>
      </c>
      <c r="F89" s="2857">
        <v>15</v>
      </c>
    </row>
    <row r="90" spans="1:6" ht="13.5">
      <c r="A90" s="2857">
        <v>18</v>
      </c>
      <c r="B90" s="3476" t="s">
        <v>2685</v>
      </c>
      <c r="C90" s="2831" t="s">
        <v>2686</v>
      </c>
      <c r="D90" s="2831" t="s">
        <v>2687</v>
      </c>
      <c r="E90" s="2857">
        <v>0.2</v>
      </c>
      <c r="F90" s="2857">
        <v>25</v>
      </c>
    </row>
    <row r="91" spans="1:6" ht="24">
      <c r="A91" s="2857">
        <v>19</v>
      </c>
      <c r="B91" s="3471"/>
      <c r="C91" s="2831" t="s">
        <v>2688</v>
      </c>
      <c r="D91" s="2831" t="s">
        <v>2689</v>
      </c>
      <c r="E91" s="2857">
        <v>0.2</v>
      </c>
      <c r="F91" s="2857">
        <v>25</v>
      </c>
    </row>
    <row r="92" spans="1:6" ht="13.5">
      <c r="A92" s="2857">
        <v>20</v>
      </c>
      <c r="B92" s="3471"/>
      <c r="C92" s="2831" t="s">
        <v>2690</v>
      </c>
      <c r="D92" s="2831" t="s">
        <v>2691</v>
      </c>
      <c r="E92" s="2857">
        <v>0.15</v>
      </c>
      <c r="F92" s="2857">
        <v>20</v>
      </c>
    </row>
    <row r="93" spans="1:6" ht="13.5">
      <c r="A93" s="2857">
        <v>21</v>
      </c>
      <c r="B93" s="3471"/>
      <c r="C93" s="2831" t="s">
        <v>2692</v>
      </c>
      <c r="D93" s="2831" t="s">
        <v>2693</v>
      </c>
      <c r="E93" s="2857">
        <v>0.15</v>
      </c>
      <c r="F93" s="2857">
        <v>20</v>
      </c>
    </row>
    <row r="94" spans="1:6" ht="13.5">
      <c r="A94" s="2857">
        <v>22</v>
      </c>
      <c r="B94" s="3471"/>
      <c r="C94" s="2831" t="s">
        <v>2694</v>
      </c>
      <c r="D94" s="2831" t="s">
        <v>2695</v>
      </c>
      <c r="E94" s="2857">
        <v>0.15</v>
      </c>
      <c r="F94" s="2857">
        <v>20</v>
      </c>
    </row>
    <row r="95" spans="1:6" ht="36">
      <c r="A95" s="2857">
        <v>23</v>
      </c>
      <c r="B95" s="3471"/>
      <c r="C95" s="2831" t="s">
        <v>2696</v>
      </c>
      <c r="D95" s="2831" t="s">
        <v>2697</v>
      </c>
      <c r="E95" s="2857">
        <v>0.15</v>
      </c>
      <c r="F95" s="2857">
        <v>20</v>
      </c>
    </row>
    <row r="96" spans="1:6" ht="13.5">
      <c r="A96" s="2857">
        <v>24</v>
      </c>
      <c r="B96" s="3471"/>
      <c r="C96" s="2831" t="s">
        <v>2698</v>
      </c>
      <c r="D96" s="2831" t="s">
        <v>2699</v>
      </c>
      <c r="E96" s="2857">
        <v>0.1</v>
      </c>
      <c r="F96" s="2857">
        <v>15</v>
      </c>
    </row>
    <row r="97" spans="1:6" ht="13.5">
      <c r="A97" s="2857">
        <v>25</v>
      </c>
      <c r="B97" s="3471"/>
      <c r="C97" s="2831" t="s">
        <v>2700</v>
      </c>
      <c r="D97" s="2831" t="s">
        <v>2701</v>
      </c>
      <c r="E97" s="2857">
        <v>0.1</v>
      </c>
      <c r="F97" s="2857">
        <v>15</v>
      </c>
    </row>
    <row r="98" spans="1:6" ht="24">
      <c r="A98" s="2857">
        <v>26</v>
      </c>
      <c r="B98" s="3471"/>
      <c r="C98" s="2831" t="s">
        <v>2702</v>
      </c>
      <c r="D98" s="2831" t="s">
        <v>2703</v>
      </c>
      <c r="E98" s="2857">
        <v>0.1</v>
      </c>
      <c r="F98" s="2857">
        <v>15</v>
      </c>
    </row>
    <row r="99" spans="1:6" ht="24">
      <c r="A99" s="2857">
        <v>27</v>
      </c>
      <c r="B99" s="3471"/>
      <c r="C99" s="2831" t="s">
        <v>2704</v>
      </c>
      <c r="D99" s="2831" t="s">
        <v>2705</v>
      </c>
      <c r="E99" s="2857">
        <v>0.1</v>
      </c>
      <c r="F99" s="2857">
        <v>15</v>
      </c>
    </row>
    <row r="100" spans="1:6" ht="13.5">
      <c r="A100" s="2857">
        <v>28</v>
      </c>
      <c r="B100" s="3471"/>
      <c r="C100" s="2831" t="s">
        <v>2706</v>
      </c>
      <c r="D100" s="2831" t="s">
        <v>2707</v>
      </c>
      <c r="E100" s="2857">
        <v>0.1</v>
      </c>
      <c r="F100" s="2857">
        <v>15</v>
      </c>
    </row>
    <row r="101" spans="1:6" ht="13.5">
      <c r="A101" s="2857">
        <v>29</v>
      </c>
      <c r="B101" s="3471"/>
      <c r="C101" s="2831" t="s">
        <v>2708</v>
      </c>
      <c r="D101" s="2831" t="s">
        <v>2709</v>
      </c>
      <c r="E101" s="2857">
        <v>0.1</v>
      </c>
      <c r="F101" s="2857">
        <v>15</v>
      </c>
    </row>
    <row r="102" spans="1:6" ht="13.5">
      <c r="A102" s="2857">
        <v>30</v>
      </c>
      <c r="B102" s="3471"/>
      <c r="C102" s="2831" t="s">
        <v>2710</v>
      </c>
      <c r="D102" s="2831" t="s">
        <v>2711</v>
      </c>
      <c r="E102" s="2857">
        <v>0.1</v>
      </c>
      <c r="F102" s="2857">
        <v>15</v>
      </c>
    </row>
    <row r="103" spans="1:6" ht="24">
      <c r="A103" s="2857">
        <v>31</v>
      </c>
      <c r="B103" s="3471"/>
      <c r="C103" s="2831" t="s">
        <v>2712</v>
      </c>
      <c r="D103" s="2831" t="s">
        <v>2713</v>
      </c>
      <c r="E103" s="2857">
        <v>0.1</v>
      </c>
      <c r="F103" s="2857">
        <v>15</v>
      </c>
    </row>
    <row r="104" spans="1:6" ht="24">
      <c r="A104" s="2857">
        <v>32</v>
      </c>
      <c r="B104" s="3471"/>
      <c r="C104" s="2831" t="s">
        <v>2714</v>
      </c>
      <c r="D104" s="2831" t="s">
        <v>2715</v>
      </c>
      <c r="E104" s="2857">
        <v>0.1</v>
      </c>
      <c r="F104" s="2857">
        <v>15</v>
      </c>
    </row>
    <row r="105" spans="1:6" ht="24">
      <c r="A105" s="2857">
        <v>33</v>
      </c>
      <c r="B105" s="3471"/>
      <c r="C105" s="2831" t="s">
        <v>2716</v>
      </c>
      <c r="D105" s="2831" t="s">
        <v>2717</v>
      </c>
      <c r="E105" s="2857">
        <v>0.1</v>
      </c>
      <c r="F105" s="2857">
        <v>15</v>
      </c>
    </row>
    <row r="106" spans="1:6" ht="24">
      <c r="A106" s="2857">
        <v>34</v>
      </c>
      <c r="B106" s="3480"/>
      <c r="C106" s="2831" t="s">
        <v>2718</v>
      </c>
      <c r="D106" s="2831" t="s">
        <v>2719</v>
      </c>
      <c r="E106" s="2857">
        <v>0.1</v>
      </c>
      <c r="F106" s="2857">
        <v>15</v>
      </c>
    </row>
    <row r="107" spans="1:6" ht="24">
      <c r="A107" s="2857">
        <v>35</v>
      </c>
      <c r="B107" s="3476" t="s">
        <v>2720</v>
      </c>
      <c r="C107" s="2857" t="s">
        <v>2721</v>
      </c>
      <c r="D107" s="2831" t="s">
        <v>2722</v>
      </c>
      <c r="E107" s="2857">
        <v>0.15</v>
      </c>
      <c r="F107" s="2857">
        <v>20</v>
      </c>
    </row>
    <row r="108" spans="1:6" ht="13.5">
      <c r="A108" s="2857">
        <v>36</v>
      </c>
      <c r="B108" s="3471"/>
      <c r="C108" s="2857" t="s">
        <v>2723</v>
      </c>
      <c r="D108" s="2831" t="s">
        <v>2724</v>
      </c>
      <c r="E108" s="2857">
        <v>0.15</v>
      </c>
      <c r="F108" s="2857">
        <v>20</v>
      </c>
    </row>
    <row r="109" spans="1:6" ht="13.5">
      <c r="A109" s="2857">
        <v>37</v>
      </c>
      <c r="B109" s="3471"/>
      <c r="C109" s="2857" t="s">
        <v>2725</v>
      </c>
      <c r="D109" s="2831" t="s">
        <v>2726</v>
      </c>
      <c r="E109" s="2857">
        <v>0.15</v>
      </c>
      <c r="F109" s="2857">
        <v>20</v>
      </c>
    </row>
    <row r="110" spans="1:6" ht="13.5">
      <c r="A110" s="2857">
        <v>38</v>
      </c>
      <c r="B110" s="3471"/>
      <c r="C110" s="2857" t="s">
        <v>2727</v>
      </c>
      <c r="D110" s="2831" t="s">
        <v>2728</v>
      </c>
      <c r="E110" s="2857">
        <v>0.1</v>
      </c>
      <c r="F110" s="2857">
        <v>15</v>
      </c>
    </row>
    <row r="111" spans="1:6" ht="24">
      <c r="A111" s="2857">
        <v>39</v>
      </c>
      <c r="B111" s="3471"/>
      <c r="C111" s="2857" t="s">
        <v>2729</v>
      </c>
      <c r="D111" s="2831" t="s">
        <v>2730</v>
      </c>
      <c r="E111" s="2857">
        <v>0.1</v>
      </c>
      <c r="F111" s="2857">
        <v>15</v>
      </c>
    </row>
    <row r="112" spans="1:6" ht="24">
      <c r="A112" s="2857">
        <v>40</v>
      </c>
      <c r="B112" s="3480"/>
      <c r="C112" s="2857" t="s">
        <v>2731</v>
      </c>
      <c r="D112" s="2831" t="s">
        <v>2732</v>
      </c>
      <c r="E112" s="2857">
        <v>0.1</v>
      </c>
      <c r="F112" s="2857">
        <v>15</v>
      </c>
    </row>
    <row r="113" spans="1:6" ht="13.5">
      <c r="A113" s="2857">
        <v>41</v>
      </c>
      <c r="B113" s="3481" t="s">
        <v>2733</v>
      </c>
      <c r="C113" s="2857" t="s">
        <v>2734</v>
      </c>
      <c r="D113" s="2831" t="s">
        <v>2735</v>
      </c>
      <c r="E113" s="2857">
        <v>0.1</v>
      </c>
      <c r="F113" s="2857">
        <v>15</v>
      </c>
    </row>
    <row r="114" spans="1:6" ht="13.5">
      <c r="A114" s="2857">
        <v>42</v>
      </c>
      <c r="B114" s="3481"/>
      <c r="C114" s="2857" t="s">
        <v>2736</v>
      </c>
      <c r="D114" s="2831" t="s">
        <v>2737</v>
      </c>
      <c r="E114" s="2857">
        <v>0.1</v>
      </c>
      <c r="F114" s="2857">
        <v>15</v>
      </c>
    </row>
    <row r="115" spans="1:6" ht="24">
      <c r="A115" s="2857">
        <v>43</v>
      </c>
      <c r="B115" s="3481"/>
      <c r="C115" s="2857" t="s">
        <v>2738</v>
      </c>
      <c r="D115" s="2831" t="s">
        <v>2739</v>
      </c>
      <c r="E115" s="2857">
        <v>0.1</v>
      </c>
      <c r="F115" s="2857">
        <v>15</v>
      </c>
    </row>
    <row r="116" spans="1:6" ht="13.5">
      <c r="A116" s="2857">
        <v>44</v>
      </c>
      <c r="B116" s="3476" t="s">
        <v>2740</v>
      </c>
      <c r="C116" s="2857" t="s">
        <v>2741</v>
      </c>
      <c r="D116" s="2831" t="s">
        <v>2742</v>
      </c>
      <c r="E116" s="2857">
        <v>0.1</v>
      </c>
      <c r="F116" s="2857">
        <v>15</v>
      </c>
    </row>
    <row r="117" spans="1:6" ht="24">
      <c r="A117" s="2857">
        <v>45</v>
      </c>
      <c r="B117" s="3480"/>
      <c r="C117" s="2831" t="s">
        <v>2743</v>
      </c>
      <c r="D117" s="2831" t="s">
        <v>2744</v>
      </c>
      <c r="E117" s="2857">
        <v>0.1</v>
      </c>
      <c r="F117" s="2857">
        <v>15</v>
      </c>
    </row>
    <row r="118" spans="1:6" ht="24">
      <c r="A118" s="2857">
        <v>46</v>
      </c>
      <c r="B118" s="3476" t="s">
        <v>2745</v>
      </c>
      <c r="C118" s="2857" t="s">
        <v>2746</v>
      </c>
      <c r="D118" s="2831" t="s">
        <v>2747</v>
      </c>
      <c r="E118" s="2857">
        <v>0.1</v>
      </c>
      <c r="F118" s="2857">
        <v>15</v>
      </c>
    </row>
    <row r="119" spans="1:6" ht="24">
      <c r="A119" s="2857">
        <v>47</v>
      </c>
      <c r="B119" s="3480"/>
      <c r="C119" s="2857" t="s">
        <v>2748</v>
      </c>
      <c r="D119" s="2831" t="s">
        <v>2749</v>
      </c>
      <c r="E119" s="2857">
        <v>0.1</v>
      </c>
      <c r="F119" s="2857">
        <v>15</v>
      </c>
    </row>
    <row r="120" spans="1:6" ht="13.5">
      <c r="A120" s="2857">
        <v>48</v>
      </c>
      <c r="B120" s="3476" t="s">
        <v>2750</v>
      </c>
      <c r="C120" s="2857" t="s">
        <v>2751</v>
      </c>
      <c r="D120" s="2831" t="s">
        <v>2752</v>
      </c>
      <c r="E120" s="2857">
        <v>0.1</v>
      </c>
      <c r="F120" s="2857">
        <v>15</v>
      </c>
    </row>
    <row r="121" spans="1:6" ht="13.5">
      <c r="A121" s="2857">
        <v>49</v>
      </c>
      <c r="B121" s="3480"/>
      <c r="C121" s="2857" t="s">
        <v>2753</v>
      </c>
      <c r="D121" s="2831" t="s">
        <v>2754</v>
      </c>
      <c r="E121" s="2857">
        <v>0.1</v>
      </c>
      <c r="F121" s="2857">
        <v>15</v>
      </c>
    </row>
    <row r="122" spans="1:6" ht="24">
      <c r="A122" s="2857">
        <v>50</v>
      </c>
      <c r="B122" s="3481" t="s">
        <v>2755</v>
      </c>
      <c r="C122" s="2857" t="s">
        <v>2756</v>
      </c>
      <c r="D122" s="2831" t="s">
        <v>2757</v>
      </c>
      <c r="E122" s="2857">
        <v>0.1</v>
      </c>
      <c r="F122" s="2857">
        <v>15</v>
      </c>
    </row>
    <row r="123" spans="1:6" ht="24">
      <c r="A123" s="2857">
        <v>51</v>
      </c>
      <c r="B123" s="3481"/>
      <c r="C123" s="2857" t="s">
        <v>2758</v>
      </c>
      <c r="D123" s="2831" t="s">
        <v>2759</v>
      </c>
      <c r="E123" s="2857">
        <v>0.1</v>
      </c>
      <c r="F123" s="2857">
        <v>15</v>
      </c>
    </row>
    <row r="124" spans="1:6" ht="24">
      <c r="A124" s="2857">
        <v>52</v>
      </c>
      <c r="B124" s="3481" t="s">
        <v>2760</v>
      </c>
      <c r="C124" s="2857" t="s">
        <v>2761</v>
      </c>
      <c r="D124" s="2831" t="s">
        <v>2762</v>
      </c>
      <c r="E124" s="2857">
        <v>0.1</v>
      </c>
      <c r="F124" s="2857">
        <v>15</v>
      </c>
    </row>
    <row r="125" spans="1:6" ht="24">
      <c r="A125" s="2857">
        <v>53</v>
      </c>
      <c r="B125" s="3481"/>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481" t="s">
        <v>2768</v>
      </c>
      <c r="C127" s="2857" t="s">
        <v>2769</v>
      </c>
      <c r="D127" s="2831" t="s">
        <v>2770</v>
      </c>
      <c r="E127" s="2857">
        <v>0.1</v>
      </c>
      <c r="F127" s="2857">
        <v>15</v>
      </c>
    </row>
    <row r="128" spans="1:6" ht="13.5">
      <c r="A128" s="2857">
        <v>56</v>
      </c>
      <c r="B128" s="3481"/>
      <c r="C128" s="2857" t="s">
        <v>2771</v>
      </c>
      <c r="D128" s="2831" t="s">
        <v>2772</v>
      </c>
      <c r="E128" s="2857">
        <v>0.1</v>
      </c>
      <c r="F128" s="2857">
        <v>15</v>
      </c>
    </row>
    <row r="129" spans="1:6" ht="24">
      <c r="A129" s="2857">
        <v>57</v>
      </c>
      <c r="B129" s="3481"/>
      <c r="C129" s="2857" t="s">
        <v>2773</v>
      </c>
      <c r="D129" s="2831" t="s">
        <v>2774</v>
      </c>
      <c r="E129" s="2857">
        <v>0.1</v>
      </c>
      <c r="F129" s="2857">
        <v>15</v>
      </c>
    </row>
    <row r="130" spans="1:6" ht="24">
      <c r="A130" s="2857">
        <v>58</v>
      </c>
      <c r="B130" s="3481" t="s">
        <v>2775</v>
      </c>
      <c r="C130" s="2857" t="s">
        <v>2776</v>
      </c>
      <c r="D130" s="2831" t="s">
        <v>2777</v>
      </c>
      <c r="E130" s="2857">
        <v>0.1</v>
      </c>
      <c r="F130" s="2857">
        <v>15</v>
      </c>
    </row>
    <row r="131" spans="1:6" ht="13.5">
      <c r="A131" s="2857">
        <v>59</v>
      </c>
      <c r="B131" s="3481"/>
      <c r="C131" s="2857" t="s">
        <v>2778</v>
      </c>
      <c r="D131" s="2831" t="s">
        <v>2779</v>
      </c>
      <c r="E131" s="2857">
        <v>0.1</v>
      </c>
      <c r="F131" s="2857">
        <v>15</v>
      </c>
    </row>
    <row r="132" spans="1:6" ht="13.5">
      <c r="A132" s="2857">
        <v>60</v>
      </c>
      <c r="B132" s="3476" t="s">
        <v>2780</v>
      </c>
      <c r="C132" s="2857" t="s">
        <v>2781</v>
      </c>
      <c r="D132" s="2831" t="s">
        <v>2782</v>
      </c>
      <c r="E132" s="2857">
        <v>0.1</v>
      </c>
      <c r="F132" s="2857">
        <v>15</v>
      </c>
    </row>
    <row r="133" spans="1:6" ht="13.5">
      <c r="A133" s="2857">
        <v>61</v>
      </c>
      <c r="B133" s="3480"/>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481" t="s">
        <v>2788</v>
      </c>
      <c r="C135" s="2857" t="s">
        <v>2789</v>
      </c>
      <c r="D135" s="2831" t="s">
        <v>2790</v>
      </c>
      <c r="E135" s="2857">
        <v>0.1</v>
      </c>
      <c r="F135" s="2857">
        <v>15</v>
      </c>
    </row>
    <row r="136" spans="1:6" ht="13.5">
      <c r="A136" s="2857">
        <v>64</v>
      </c>
      <c r="B136" s="3481"/>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0"/>
      <c r="B4" s="3167" t="s">
        <v>917</v>
      </c>
      <c r="C4" s="3167"/>
      <c r="D4" s="3167"/>
      <c r="E4" s="1390"/>
    </row>
    <row r="5" spans="1:5" ht="16.5" thickTop="1">
      <c r="B5" s="3165" t="s">
        <v>909</v>
      </c>
      <c r="C5" s="1391" t="s">
        <v>910</v>
      </c>
      <c r="D5" s="797">
        <f ca="1">结果表!H101</f>
        <v>558</v>
      </c>
    </row>
    <row r="6" spans="1:5" ht="15.75">
      <c r="B6" s="3165"/>
      <c r="C6" s="1391" t="s">
        <v>911</v>
      </c>
      <c r="D6" s="797" t="str">
        <f ca="1">NUMBERSTRING(INT(D5*10000),2)&amp;"元整"</f>
        <v>伍佰伍拾捌万元整</v>
      </c>
    </row>
    <row r="7" spans="1:5" ht="15.75">
      <c r="B7" s="3170"/>
      <c r="C7" s="1392" t="s">
        <v>912</v>
      </c>
      <c r="D7" s="798">
        <f ca="1">结果表!H102</f>
        <v>14361</v>
      </c>
    </row>
    <row r="8" spans="1:5" ht="15.75">
      <c r="B8" s="3171" t="str">
        <f>结果表!E103</f>
        <v>2.估价师知悉的法定优先受偿款</v>
      </c>
      <c r="C8" s="1393" t="s">
        <v>913</v>
      </c>
      <c r="D8" s="798">
        <f>结果表!H103</f>
        <v>0</v>
      </c>
    </row>
    <row r="9" spans="1:5" ht="15.75">
      <c r="B9" s="3173"/>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4" t="str">
        <f>结果表!E107</f>
        <v>3.房地产抵押价值</v>
      </c>
      <c r="C13" s="1396" t="s">
        <v>910</v>
      </c>
      <c r="D13" s="800">
        <f ca="1">结果表!H107</f>
        <v>558</v>
      </c>
    </row>
    <row r="14" spans="1:5" ht="15.75">
      <c r="B14" s="3165"/>
      <c r="C14" s="1391" t="s">
        <v>911</v>
      </c>
      <c r="D14" s="797" t="str">
        <f ca="1">NUMBERSTRING(INT(D13*10000),2)&amp;"元整"</f>
        <v>伍佰伍拾捌万元整</v>
      </c>
    </row>
    <row r="15" spans="1:5" ht="15">
      <c r="B15" s="3170"/>
      <c r="C15" s="1392" t="s">
        <v>921</v>
      </c>
      <c r="D15" s="806">
        <f ca="1">结果表!H108</f>
        <v>14361</v>
      </c>
    </row>
    <row r="16" spans="1:5" ht="15">
      <c r="B16" s="3171" t="str">
        <f>结果表!E109</f>
        <v>——</v>
      </c>
      <c r="C16" s="1396" t="s">
        <v>922</v>
      </c>
      <c r="D16" s="1397" t="str">
        <f>结果表!H109</f>
        <v>——</v>
      </c>
    </row>
    <row r="17" spans="1:5" ht="15.75">
      <c r="B17" s="3172"/>
      <c r="C17" s="1391" t="s">
        <v>923</v>
      </c>
      <c r="D17" s="797" t="e">
        <f>NUMBERSTRING(INT(D16*10000),2)&amp;"元整"</f>
        <v>#VALUE!</v>
      </c>
    </row>
    <row r="18" spans="1:5" ht="15">
      <c r="B18" s="3173"/>
      <c r="C18" s="1392" t="s">
        <v>912</v>
      </c>
      <c r="D18" s="806" t="str">
        <f>结果表!H110</f>
        <v>——</v>
      </c>
    </row>
    <row r="19" spans="1:5" ht="15.75">
      <c r="B19" s="3164" t="str">
        <f>结果表!E111</f>
        <v>——</v>
      </c>
      <c r="C19" s="1396" t="s">
        <v>910</v>
      </c>
      <c r="D19" s="798" t="str">
        <f>结果表!H111</f>
        <v>——</v>
      </c>
    </row>
    <row r="20" spans="1:5" ht="15.75">
      <c r="B20" s="3165"/>
      <c r="C20" s="1391" t="s">
        <v>923</v>
      </c>
      <c r="D20" s="797" t="e">
        <f>NUMBERSTRING(INT(D19*10000),2)&amp;"元整"</f>
        <v>#VALUE!</v>
      </c>
    </row>
    <row r="21" spans="1:5" ht="15.75" thickBot="1">
      <c r="B21" s="3166"/>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0</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26617</v>
      </c>
      <c r="C2" s="2" t="s">
        <v>106</v>
      </c>
      <c r="D2" s="191"/>
      <c r="E2" s="191"/>
      <c r="F2" s="191"/>
      <c r="G2" s="191"/>
    </row>
    <row r="3" spans="1:7" s="192" customFormat="1" ht="18" customHeight="1" thickBot="1">
      <c r="A3" s="195" t="s">
        <v>58</v>
      </c>
      <c r="B3" s="196">
        <f ca="1">ROUND(B2*10000/'数据-汇总表'!E3,0)</f>
        <v>684928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8</v>
      </c>
      <c r="D10" s="795">
        <f>'数据-汇总表'!E6</f>
        <v>388.61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v>
      </c>
      <c r="D19" s="204">
        <f>'数据-汇总表'!E3</f>
        <v>388.61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1312</v>
      </c>
      <c r="D22" s="227">
        <f ca="1">C26</f>
        <v>5.9999999999999995E-4</v>
      </c>
      <c r="E22" s="228" t="s">
        <v>99</v>
      </c>
      <c r="F22" s="229">
        <f ca="1">'数据-取费表'!B40</f>
        <v>3.1E-2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1298</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1">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26426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171</v>
      </c>
      <c r="D34" s="209"/>
      <c r="E34" s="212"/>
      <c r="F34" s="249">
        <f>IF('数据-取费表'!B24=0,1,'数据-取费表'!N16)</f>
        <v>1</v>
      </c>
      <c r="G34" s="211" t="s">
        <v>89</v>
      </c>
    </row>
    <row r="35" spans="1:7" ht="13.5" customHeight="1">
      <c r="A35" s="734" t="s">
        <v>351</v>
      </c>
      <c r="B35" s="207" t="s">
        <v>33</v>
      </c>
      <c r="C35" s="212">
        <f>ROUND(C34*F35,0)</f>
        <v>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v>
      </c>
      <c r="D37" s="209">
        <f>'数据-汇总表'!E3</f>
        <v>388.61</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5.9999999999999995E-4</v>
      </c>
      <c r="D44" s="230"/>
      <c r="E44" s="230"/>
      <c r="F44" s="231"/>
      <c r="G44" s="3347"/>
    </row>
    <row r="45" spans="1:7" s="206" customFormat="1" ht="13.5" customHeight="1">
      <c r="A45" s="731" t="s">
        <v>341</v>
      </c>
      <c r="B45" s="236" t="s">
        <v>85</v>
      </c>
      <c r="C45" s="237">
        <f>C46</f>
        <v>20</v>
      </c>
      <c r="D45" s="227">
        <f>C47</f>
        <v>2E-3</v>
      </c>
      <c r="E45" s="228" t="s">
        <v>102</v>
      </c>
      <c r="F45" s="238"/>
      <c r="G45" s="239" t="s">
        <v>434</v>
      </c>
    </row>
    <row r="46" spans="1:7" s="206" customFormat="1" ht="13.5" customHeight="1">
      <c r="A46" s="734" t="s">
        <v>349</v>
      </c>
      <c r="B46" s="240" t="s">
        <v>427</v>
      </c>
      <c r="C46" s="241">
        <f>ROUND((C33+C39)*F27,0)</f>
        <v>20</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239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191</v>
      </c>
      <c r="D51" s="224"/>
      <c r="E51" s="224"/>
      <c r="F51" s="256"/>
      <c r="G51" s="226" t="s">
        <v>37</v>
      </c>
    </row>
    <row r="52" spans="1:7" s="200" customFormat="1" ht="16.5" thickBot="1">
      <c r="A52" s="257" t="s">
        <v>38</v>
      </c>
      <c r="B52" s="258"/>
      <c r="C52" s="259">
        <f ca="1">C31+C51</f>
        <v>26617</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4" t="s">
        <v>2838</v>
      </c>
      <c r="B1" s="3484"/>
      <c r="C1" s="3484"/>
      <c r="D1" s="3484"/>
      <c r="E1" s="3484"/>
      <c r="F1" s="3484"/>
      <c r="G1" s="3485"/>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82"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483"/>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6" t="s">
        <v>3180</v>
      </c>
      <c r="B1" s="3486"/>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87" t="s">
        <v>3231</v>
      </c>
      <c r="B1" s="3487"/>
      <c r="C1" s="3487"/>
      <c r="D1" s="3487"/>
      <c r="E1" s="3487"/>
      <c r="F1" s="3488"/>
    </row>
    <row r="2" spans="1:6" ht="14.25">
      <c r="A2" s="3002" t="s">
        <v>3232</v>
      </c>
    </row>
    <row r="3" spans="1:6" ht="14.25">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45748</v>
      </c>
      <c r="B1" s="2929" t="s">
        <v>3379</v>
      </c>
      <c r="C1" s="2930"/>
      <c r="D1" s="2930"/>
      <c r="E1" s="2930"/>
      <c r="F1" s="2930"/>
      <c r="G1" s="2930"/>
      <c r="H1" s="2930"/>
      <c r="I1" s="2930"/>
      <c r="J1" s="2896"/>
      <c r="K1" s="2930" t="s">
        <v>454</v>
      </c>
      <c r="L1" s="2930"/>
      <c r="M1" s="2930"/>
      <c r="N1" s="2930"/>
      <c r="O1" s="2930"/>
      <c r="P1" s="2930"/>
      <c r="Q1" s="2896"/>
      <c r="R1" s="3489" t="s">
        <v>456</v>
      </c>
      <c r="S1" s="3490"/>
      <c r="T1" s="3490"/>
      <c r="U1" s="3490"/>
      <c r="V1" s="3490"/>
      <c r="W1" s="3490"/>
      <c r="X1" s="2896"/>
      <c r="Y1" s="3489" t="s">
        <v>457</v>
      </c>
      <c r="Z1" s="3490"/>
      <c r="AA1" s="3490"/>
      <c r="AB1" s="3490"/>
      <c r="AC1" s="3490"/>
      <c r="AD1" s="3490"/>
    </row>
    <row r="2" spans="1:30" s="2009" customFormat="1" ht="14.25" thickBot="1">
      <c r="B2" s="2881"/>
      <c r="C2" s="2882"/>
      <c r="D2" s="2010" t="s">
        <v>2809</v>
      </c>
      <c r="E2" s="2011" t="s">
        <v>2810</v>
      </c>
      <c r="F2" s="2011" t="s">
        <v>2811</v>
      </c>
      <c r="G2" s="2011" t="s">
        <v>2812</v>
      </c>
      <c r="H2" s="2011" t="s">
        <v>2813</v>
      </c>
      <c r="I2" s="2011" t="s">
        <v>2630</v>
      </c>
      <c r="J2" s="2883"/>
      <c r="K2" s="2010" t="s">
        <v>2809</v>
      </c>
      <c r="L2" s="2011" t="s">
        <v>2810</v>
      </c>
      <c r="M2" s="2011" t="s">
        <v>2811</v>
      </c>
      <c r="N2" s="2011" t="s">
        <v>2812</v>
      </c>
      <c r="O2" s="2011" t="s">
        <v>2814</v>
      </c>
      <c r="P2" s="2011" t="s">
        <v>2630</v>
      </c>
      <c r="Q2" s="2883"/>
      <c r="R2" s="2010" t="s">
        <v>2809</v>
      </c>
      <c r="S2" s="2011" t="s">
        <v>2810</v>
      </c>
      <c r="T2" s="2011" t="s">
        <v>2811</v>
      </c>
      <c r="U2" s="2011" t="s">
        <v>2815</v>
      </c>
      <c r="V2" s="2011" t="s">
        <v>2816</v>
      </c>
      <c r="W2" s="2011" t="s">
        <v>2630</v>
      </c>
      <c r="X2" s="2883"/>
      <c r="Y2" s="2010" t="s">
        <v>2809</v>
      </c>
      <c r="Z2" s="2011" t="s">
        <v>2810</v>
      </c>
      <c r="AA2" s="2011" t="s">
        <v>2811</v>
      </c>
      <c r="AB2" s="2011" t="s">
        <v>2817</v>
      </c>
      <c r="AC2" s="2011" t="s">
        <v>2816</v>
      </c>
      <c r="AD2" s="2011" t="s">
        <v>2630</v>
      </c>
    </row>
    <row r="3" spans="1:30" s="2886" customFormat="1" ht="12.75">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3375</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3384</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4" customFormat="1" ht="12.75">
      <c r="A7" s="2039" t="s">
        <v>3383</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3376</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3374</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3370</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3369</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3367</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3366</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3365</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3363</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3354</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2819</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2820</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2821</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2822</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3382</v>
      </c>
    </row>
    <row r="24" spans="1:30">
      <c r="I24" s="1404" t="s">
        <v>2824</v>
      </c>
    </row>
    <row r="26" spans="1:30" s="2008" customFormat="1" ht="12.75">
      <c r="B26" s="2929" t="s">
        <v>3380</v>
      </c>
      <c r="C26" s="2930"/>
      <c r="D26" s="2930"/>
      <c r="E26" s="2930"/>
      <c r="F26" s="2930"/>
      <c r="G26" s="2930"/>
      <c r="H26" s="2930"/>
      <c r="I26" s="2930"/>
      <c r="J26" s="2896"/>
      <c r="K26" s="2930" t="s">
        <v>2825</v>
      </c>
      <c r="L26" s="2930"/>
      <c r="M26" s="2930"/>
      <c r="N26" s="2930"/>
      <c r="O26" s="2930"/>
      <c r="P26" s="2930"/>
      <c r="Q26" s="2896"/>
      <c r="R26" s="3489" t="s">
        <v>2826</v>
      </c>
      <c r="S26" s="3490"/>
      <c r="T26" s="3490"/>
      <c r="U26" s="3490"/>
      <c r="V26" s="3490"/>
      <c r="W26" s="3490"/>
      <c r="X26" s="2896"/>
      <c r="Y26" s="3489" t="s">
        <v>2827</v>
      </c>
      <c r="Z26" s="3490"/>
      <c r="AA26" s="3490"/>
      <c r="AB26" s="3490"/>
      <c r="AC26" s="3490"/>
      <c r="AD26" s="3490"/>
    </row>
    <row r="27" spans="1:30" s="2009" customFormat="1" ht="14.25" thickBot="1">
      <c r="B27" s="2881"/>
      <c r="C27" s="2882"/>
      <c r="D27" s="2010" t="s">
        <v>2828</v>
      </c>
      <c r="E27" s="2011" t="s">
        <v>2829</v>
      </c>
      <c r="F27" s="2011" t="s">
        <v>2830</v>
      </c>
      <c r="G27" s="2011" t="s">
        <v>2831</v>
      </c>
      <c r="H27" s="2011"/>
      <c r="I27" s="2011" t="s">
        <v>2832</v>
      </c>
      <c r="J27" s="2883"/>
      <c r="K27" s="2010" t="s">
        <v>2828</v>
      </c>
      <c r="L27" s="2011" t="s">
        <v>2829</v>
      </c>
      <c r="M27" s="2011" t="s">
        <v>2830</v>
      </c>
      <c r="N27" s="2011" t="s">
        <v>2831</v>
      </c>
      <c r="O27" s="2011"/>
      <c r="P27" s="2011" t="s">
        <v>2832</v>
      </c>
      <c r="Q27" s="2883"/>
      <c r="R27" s="2010" t="s">
        <v>2828</v>
      </c>
      <c r="S27" s="2011" t="s">
        <v>2829</v>
      </c>
      <c r="T27" s="2011" t="s">
        <v>2830</v>
      </c>
      <c r="U27" s="2011" t="s">
        <v>2831</v>
      </c>
      <c r="V27" s="2011"/>
      <c r="W27" s="2011" t="s">
        <v>2832</v>
      </c>
      <c r="X27" s="2883"/>
      <c r="Y27" s="2010" t="s">
        <v>2828</v>
      </c>
      <c r="Z27" s="2011" t="s">
        <v>2829</v>
      </c>
      <c r="AA27" s="2011" t="s">
        <v>2830</v>
      </c>
      <c r="AB27" s="2011" t="s">
        <v>2831</v>
      </c>
      <c r="AC27" s="2011"/>
      <c r="AD27" s="2011" t="s">
        <v>2832</v>
      </c>
    </row>
    <row r="28" spans="1:30" s="2886" customFormat="1" ht="12.75">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3375</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3377</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4" customFormat="1" ht="12.75">
      <c r="A32" s="2039" t="s">
        <v>3372</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3378</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3373</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3371</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3369</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3368</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3366</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3365</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3364</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3354</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2834</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2835</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2836</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2837</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2">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2">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45748</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2308</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2" t="str">
        <f>项目基本情况!S2</f>
        <v>房地产</v>
      </c>
      <c r="B4" s="801">
        <f>项目基本情况!C17</f>
        <v>388.61</v>
      </c>
      <c r="C4" s="801">
        <f>项目基本情况!C18</f>
        <v>0</v>
      </c>
      <c r="D4" s="801">
        <f ca="1">结果表!D118</f>
        <v>229</v>
      </c>
      <c r="E4" s="801">
        <f ca="1">结果表!E118</f>
        <v>5902</v>
      </c>
      <c r="F4" s="801">
        <f ca="1">结果表!F118</f>
        <v>329</v>
      </c>
      <c r="G4" s="801">
        <f ca="1">结果表!G118</f>
        <v>8459</v>
      </c>
      <c r="H4" s="801">
        <f ca="1">结果表!H118</f>
        <v>558</v>
      </c>
      <c r="I4" s="801">
        <f ca="1">结果表!I118</f>
        <v>14361</v>
      </c>
    </row>
    <row r="5" spans="1:9" ht="30" customHeight="1">
      <c r="A5" s="3176" t="s">
        <v>927</v>
      </c>
      <c r="B5" s="3176"/>
      <c r="C5" s="3176"/>
      <c r="D5" s="3176" t="str">
        <f ca="1">结果表!D119</f>
        <v>贰佰贰拾玖万元整</v>
      </c>
      <c r="E5" s="3176"/>
      <c r="F5" s="3176" t="str">
        <f ca="1">结果表!F119</f>
        <v>叁佰贰拾玖万元整</v>
      </c>
      <c r="G5" s="3176"/>
      <c r="H5" s="3176" t="str">
        <f ca="1">结果表!H119</f>
        <v>伍佰伍拾捌万元整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f ca="1">结果表!D122</f>
        <v>558</v>
      </c>
      <c r="E8" s="3177"/>
      <c r="F8" s="3177"/>
      <c r="G8" s="3177"/>
      <c r="H8" s="3177"/>
      <c r="I8" s="3177"/>
    </row>
    <row r="9" spans="1:9" ht="15">
      <c r="A9" s="3176" t="s">
        <v>927</v>
      </c>
      <c r="B9" s="3176"/>
      <c r="C9" s="3176"/>
      <c r="D9" s="3176" t="str">
        <f ca="1">结果表!D123</f>
        <v>伍佰伍拾捌万元整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8">
      <c r="A6" s="3184" t="s">
        <v>939</v>
      </c>
      <c r="B6" s="3184"/>
      <c r="C6" s="3184"/>
      <c r="D6" s="318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7" t="s">
        <v>956</v>
      </c>
      <c r="B15" s="3192" t="s">
        <v>109</v>
      </c>
      <c r="C15" s="3193"/>
    </row>
    <row r="16" spans="1:7" ht="13.5">
      <c r="A16" s="3198"/>
      <c r="B16" s="3192" t="s">
        <v>42</v>
      </c>
      <c r="C16" s="3193"/>
    </row>
    <row r="17" spans="1:3" ht="13.5">
      <c r="A17" s="3198"/>
      <c r="B17" s="3195" t="s">
        <v>957</v>
      </c>
      <c r="C17" s="1428" t="s">
        <v>956</v>
      </c>
    </row>
    <row r="18" spans="1:3" ht="13.5">
      <c r="A18" s="3198"/>
      <c r="B18" s="3195"/>
      <c r="C18" s="1428" t="s">
        <v>958</v>
      </c>
    </row>
    <row r="19" spans="1:3" ht="13.5">
      <c r="A19" s="3198"/>
      <c r="B19" s="3195"/>
      <c r="C19" s="1428" t="s">
        <v>959</v>
      </c>
    </row>
    <row r="20" spans="1:3" ht="13.5">
      <c r="A20" s="3199"/>
      <c r="B20" s="3194" t="s">
        <v>960</v>
      </c>
      <c r="C20" s="3193"/>
    </row>
    <row r="21" spans="1:3" ht="13.5">
      <c r="A21" s="1429" t="s">
        <v>961</v>
      </c>
      <c r="B21" s="1430"/>
      <c r="C21" s="1431"/>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8" t="s">
        <v>967</v>
      </c>
    </row>
    <row r="26" spans="1:3" ht="13.5">
      <c r="A26" s="3196"/>
      <c r="B26" s="3195"/>
      <c r="C26" s="1428" t="s">
        <v>968</v>
      </c>
    </row>
    <row r="27" spans="1:3" ht="13.5">
      <c r="A27" s="3196"/>
      <c r="B27" s="3195"/>
      <c r="C27" s="1428" t="s">
        <v>969</v>
      </c>
    </row>
    <row r="28" spans="1:3" ht="13.5">
      <c r="A28" s="3196"/>
      <c r="B28" s="3195"/>
      <c r="C28" s="1428" t="s">
        <v>970</v>
      </c>
    </row>
    <row r="29" spans="1:3" ht="13.5">
      <c r="A29" s="3196"/>
      <c r="B29" s="3195"/>
      <c r="C29" s="1428" t="s">
        <v>971</v>
      </c>
    </row>
    <row r="30" spans="1:3" ht="13.5">
      <c r="A30" s="3196"/>
      <c r="B30" s="3195"/>
      <c r="C30" s="1428" t="s">
        <v>972</v>
      </c>
    </row>
    <row r="31" spans="1:3" ht="13.5">
      <c r="A31" s="3196"/>
      <c r="B31" s="3195"/>
      <c r="C31" s="1428" t="s">
        <v>973</v>
      </c>
    </row>
    <row r="32" spans="1:3" ht="13.5">
      <c r="A32" s="3196"/>
      <c r="B32" s="3195"/>
      <c r="C32" s="1428" t="s">
        <v>974</v>
      </c>
    </row>
    <row r="33" spans="1:3" ht="13.5">
      <c r="A33" s="3196"/>
      <c r="B33" s="319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45749</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59"/>
      <c r="E18" s="3202" t="s">
        <v>2161</v>
      </c>
      <c r="F18" s="3201"/>
      <c r="G18" s="3201"/>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Sheet1</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清单</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2025-04-02T02:17:02Z</dcterms:modified>
</cp:coreProperties>
</file>