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227"/>
  <workbookPr codeName="ThisWorkbook" defaultThemeVersion="124226"/>
  <mc:AlternateContent xmlns:mc="http://schemas.openxmlformats.org/markup-compatibility/2006">
    <mc:Choice Requires="x15">
      <x15ac:absPath xmlns:x15ac="http://schemas.microsoft.com/office/spreadsheetml/2010/11/ac" url="D:\桌面\2023-1-0255吴姐华夏银行询价\结果\"/>
    </mc:Choice>
  </mc:AlternateContent>
  <xr:revisionPtr revIDLastSave="0" documentId="13_ncr:1_{05958976-942E-4525-86BA-941504B7095C}" xr6:coauthVersionLast="47" xr6:coauthVersionMax="47" xr10:uidLastSave="{00000000-0000-0000-0000-000000000000}"/>
  <bookViews>
    <workbookView xWindow="-120" yWindow="-120" windowWidth="19440" windowHeight="15000" tabRatio="899" firstSheet="16" activeTab="2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面积" sheetId="80" r:id="rId14"/>
    <sheet name="租约" sheetId="81" r:id="rId15"/>
    <sheet name="位置图" sheetId="82" r:id="rId16"/>
    <sheet name="净值计算" sheetId="84" r:id="rId17"/>
    <sheet name="数据-汇总表" sheetId="6" r:id="rId18"/>
    <sheet name="数据-取费表" sheetId="1" r:id="rId19"/>
    <sheet name="估价对象房地状况" sheetId="20" r:id="rId20"/>
    <sheet name="系统读取表" sheetId="74" r:id="rId21"/>
    <sheet name="结果表" sheetId="9" r:id="rId22"/>
    <sheet name="比较法-商业" sheetId="33" r:id="rId23"/>
    <sheet name="案例" sheetId="83" r:id="rId24"/>
    <sheet name="成本法 (元)" sheetId="69" r:id="rId25"/>
    <sheet name="基准地价修正" sheetId="43" r:id="rId26"/>
    <sheet name="收益法 (元)" sheetId="67" r:id="rId27"/>
    <sheet name="收益法" sheetId="15" state="hidden" r:id="rId28"/>
    <sheet name="成本法" sheetId="68" state="hidden" r:id="rId29"/>
    <sheet name="假设开发法" sheetId="12" state="hidden" r:id="rId30"/>
    <sheet name="收益法-酒店模型" sheetId="77" state="hidden" r:id="rId31"/>
    <sheet name="收益法（汇总）" sheetId="70" state="hidden" r:id="rId32"/>
    <sheet name="比较法-住宅" sheetId="21"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r:id="rId40"/>
    <sheet name="基准地价（汇总）" sheetId="76" state="hidden" r:id="rId41"/>
    <sheet name="修正" sheetId="45" state="hidden" r:id="rId42"/>
    <sheet name="容积率修正" sheetId="46" state="hidden" r:id="rId43"/>
    <sheet name="成本法（废）" sheetId="11" state="hidden" r:id="rId44"/>
    <sheet name="区片价" sheetId="44" state="hidden" r:id="rId45"/>
    <sheet name="因素修正幅度" sheetId="65"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 r:id="rId52"/>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2" hidden="1">'比较法-商业'!$A$1:$L$49</definedName>
    <definedName name="_xlnm._FilterDatabase" localSheetId="32" hidden="1">'比较法-住宅'!$A$1:$L$49</definedName>
    <definedName name="_xlnm._FilterDatabase" localSheetId="13" hidden="1">面积!$A$1:$P$82</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22">'比较法-商业'!$A$1:$K$54,'比较法-商业'!$A$57:$M$131</definedName>
    <definedName name="_xlnm.Print_Area" localSheetId="32">'比较法-住宅'!$A$1:$K$54,'比较法-住宅'!$A$57:$M$131</definedName>
    <definedName name="_xlnm.Print_Area" localSheetId="28">成本法!$A$1:$G$57</definedName>
    <definedName name="_xlnm.Print_Area" localSheetId="24">'成本法 (元)'!$A$1:$G$57</definedName>
    <definedName name="_xlnm.Print_Area" localSheetId="19">估价对象房地状况!$A$1:$G$24</definedName>
    <definedName name="_xlnm.Print_Area" localSheetId="8">估价师及机构信息!$A$1:$G$22</definedName>
    <definedName name="_xlnm.Print_Area" localSheetId="40">'基准地价（汇总）'!$A$1:$E$13</definedName>
    <definedName name="_xlnm.Print_Area" localSheetId="25">基准地价修正!$A$1:$J$44,基准地价修正!$A$47:$N$101,基准地价修正!$R$1:$V$16</definedName>
    <definedName name="_xlnm.Print_Area" localSheetId="29">假设开发法!$A$1:$K$32</definedName>
    <definedName name="_xlnm.Print_Area" localSheetId="21">结果表!$A$1:$O$127</definedName>
    <definedName name="_xlnm.Print_Area" localSheetId="27">收益法!$A$1:$F$43,收益法!$H$3:$M$29,收益法!$A$46:$F$71,收益法!$I$46:$N$65</definedName>
    <definedName name="_xlnm.Print_Area" localSheetId="26">'收益法 (元)'!$A$1:$F$43,'收益法 (元)'!$H$3:$M$29,'收益法 (元)'!$A$45:$F$71,'收益法 (元)'!$I$46:$N$65</definedName>
    <definedName name="_xlnm.Print_Area" localSheetId="31">'收益法（汇总）'!$A$1:$F$13</definedName>
    <definedName name="_xlnm.Print_Area" localSheetId="17">'数据-汇总表'!$A$1:$P$32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5">位置图!$A$1:$K$48</definedName>
    <definedName name="_xlnm.Print_Area" localSheetId="20">系统读取表!$A$1:$I$26</definedName>
    <definedName name="_xlnm.Print_Area" localSheetId="11">项目基本情况!$A$1:$I$38</definedName>
    <definedName name="_xlnm.Print_Area" localSheetId="14">租约!$A$1:$K$16</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H40" i="69" l="1"/>
  <c r="H41" i="69" s="1"/>
  <c r="H34" i="69"/>
  <c r="I83" i="84" l="1"/>
  <c r="O81" i="84"/>
  <c r="P4" i="84"/>
  <c r="P5" i="84"/>
  <c r="P6" i="84"/>
  <c r="P7" i="84"/>
  <c r="P8" i="84"/>
  <c r="O9" i="84"/>
  <c r="P9" i="84"/>
  <c r="O10" i="84"/>
  <c r="P10" i="84"/>
  <c r="O11" i="84"/>
  <c r="P11" i="84"/>
  <c r="O12" i="84"/>
  <c r="P12" i="84"/>
  <c r="O13" i="84"/>
  <c r="P13" i="84"/>
  <c r="O14" i="84"/>
  <c r="P14" i="84"/>
  <c r="O15" i="84"/>
  <c r="P15" i="84"/>
  <c r="O16" i="84"/>
  <c r="P16" i="84"/>
  <c r="O17" i="84"/>
  <c r="P17" i="84"/>
  <c r="O18" i="84"/>
  <c r="P18" i="84"/>
  <c r="O19" i="84"/>
  <c r="P19" i="84"/>
  <c r="O20" i="84"/>
  <c r="P20" i="84"/>
  <c r="O21" i="84"/>
  <c r="P21" i="84"/>
  <c r="O22" i="84"/>
  <c r="P22" i="84"/>
  <c r="O23" i="84"/>
  <c r="P23" i="84"/>
  <c r="O24" i="84"/>
  <c r="P24" i="84"/>
  <c r="O25" i="84"/>
  <c r="P25" i="84"/>
  <c r="O26" i="84"/>
  <c r="P26" i="84"/>
  <c r="O27" i="84"/>
  <c r="P27" i="84"/>
  <c r="O28" i="84"/>
  <c r="P28" i="84"/>
  <c r="O29" i="84"/>
  <c r="P29" i="84"/>
  <c r="O30" i="84"/>
  <c r="P30" i="84"/>
  <c r="O31" i="84"/>
  <c r="P31" i="84"/>
  <c r="O32" i="84"/>
  <c r="P32" i="84"/>
  <c r="O33" i="84"/>
  <c r="P33" i="84"/>
  <c r="O34" i="84"/>
  <c r="P34" i="84"/>
  <c r="O35" i="84"/>
  <c r="P35" i="84"/>
  <c r="O36" i="84"/>
  <c r="P36" i="84"/>
  <c r="O37" i="84"/>
  <c r="P37" i="84"/>
  <c r="O38" i="84"/>
  <c r="P38" i="84"/>
  <c r="O39" i="84"/>
  <c r="P39" i="84"/>
  <c r="O40" i="84"/>
  <c r="P40" i="84"/>
  <c r="O41" i="84"/>
  <c r="P41" i="84"/>
  <c r="O42" i="84"/>
  <c r="P42" i="84"/>
  <c r="O43" i="84"/>
  <c r="P43" i="84"/>
  <c r="O44" i="84"/>
  <c r="P44" i="84"/>
  <c r="O45" i="84"/>
  <c r="P45" i="84"/>
  <c r="O46" i="84"/>
  <c r="P46" i="84"/>
  <c r="O47" i="84"/>
  <c r="P47" i="84"/>
  <c r="O48" i="84"/>
  <c r="P48" i="84"/>
  <c r="O49" i="84"/>
  <c r="P49" i="84"/>
  <c r="O50" i="84"/>
  <c r="P50" i="84"/>
  <c r="O51" i="84"/>
  <c r="P51" i="84"/>
  <c r="O52" i="84"/>
  <c r="P52" i="84"/>
  <c r="O53" i="84"/>
  <c r="P53" i="84"/>
  <c r="O54" i="84"/>
  <c r="P54" i="84"/>
  <c r="O55" i="84"/>
  <c r="P55" i="84"/>
  <c r="O56" i="84"/>
  <c r="P56" i="84"/>
  <c r="O57" i="84"/>
  <c r="P57" i="84"/>
  <c r="O58" i="84"/>
  <c r="P58" i="84"/>
  <c r="O59" i="84"/>
  <c r="P59" i="84"/>
  <c r="O60" i="84"/>
  <c r="P60" i="84"/>
  <c r="O61" i="84"/>
  <c r="P61" i="84"/>
  <c r="O62" i="84"/>
  <c r="P62" i="84"/>
  <c r="O63" i="84"/>
  <c r="P63" i="84"/>
  <c r="O64" i="84"/>
  <c r="P64" i="84"/>
  <c r="O65" i="84"/>
  <c r="P65" i="84"/>
  <c r="O66" i="84"/>
  <c r="P66" i="84"/>
  <c r="O67" i="84"/>
  <c r="P67" i="84"/>
  <c r="O68" i="84"/>
  <c r="P68" i="84"/>
  <c r="O69" i="84"/>
  <c r="P69" i="84"/>
  <c r="O70" i="84"/>
  <c r="P70" i="84"/>
  <c r="O71" i="84"/>
  <c r="P71" i="84"/>
  <c r="O72" i="84"/>
  <c r="P72" i="84"/>
  <c r="O73" i="84"/>
  <c r="P73" i="84"/>
  <c r="O74" i="84"/>
  <c r="P74" i="84"/>
  <c r="O75" i="84"/>
  <c r="P75" i="84"/>
  <c r="O76" i="84"/>
  <c r="P76" i="84"/>
  <c r="O77" i="84"/>
  <c r="P77" i="84"/>
  <c r="O78" i="84"/>
  <c r="P78" i="84"/>
  <c r="O79" i="84"/>
  <c r="P79" i="84"/>
  <c r="O80" i="84"/>
  <c r="P80" i="84"/>
  <c r="P81" i="84"/>
  <c r="O82" i="84"/>
  <c r="P82" i="84"/>
  <c r="F83" i="84"/>
  <c r="P3" i="84"/>
  <c r="C66" i="9"/>
  <c r="J8" i="84"/>
  <c r="O8" i="84" s="1"/>
  <c r="J7" i="84"/>
  <c r="O7" i="84" s="1"/>
  <c r="J6" i="84"/>
  <c r="O6" i="84" s="1"/>
  <c r="J5" i="84"/>
  <c r="O5" i="84" s="1"/>
  <c r="J4" i="84"/>
  <c r="O4" i="84" s="1"/>
  <c r="J3" i="84"/>
  <c r="O3" i="84" s="1"/>
  <c r="F2" i="84"/>
  <c r="F17"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24" i="31"/>
  <c r="A88" i="31"/>
  <c r="A89" i="31"/>
  <c r="A90" i="31"/>
  <c r="A91" i="31"/>
  <c r="A92" i="31"/>
  <c r="A93" i="31"/>
  <c r="A94" i="31"/>
  <c r="A95" i="31"/>
  <c r="A96" i="31"/>
  <c r="A97" i="31"/>
  <c r="A98" i="31"/>
  <c r="A99" i="31"/>
  <c r="A100" i="31"/>
  <c r="A101" i="31"/>
  <c r="A102" i="31"/>
  <c r="A103" i="31"/>
  <c r="A86" i="31"/>
  <c r="A87" i="31"/>
  <c r="A85" i="31"/>
  <c r="A80" i="31"/>
  <c r="A81" i="31"/>
  <c r="A82" i="31"/>
  <c r="A83" i="31"/>
  <c r="A84" i="31"/>
  <c r="A74" i="31"/>
  <c r="A75" i="31"/>
  <c r="A76" i="31"/>
  <c r="A77" i="31"/>
  <c r="A78" i="31"/>
  <c r="A79"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24" i="31"/>
  <c r="D18" i="31"/>
  <c r="C18" i="31"/>
  <c r="D17" i="31"/>
  <c r="E17" i="31"/>
  <c r="C17" i="31"/>
  <c r="T5" i="31"/>
  <c r="D5" i="31"/>
  <c r="C5" i="31"/>
  <c r="D4" i="31"/>
  <c r="E4" i="31"/>
  <c r="F4" i="31"/>
  <c r="G4" i="31"/>
  <c r="C4" i="31"/>
  <c r="D3" i="31"/>
  <c r="E3" i="31"/>
  <c r="F3" i="31"/>
  <c r="G3" i="31"/>
  <c r="C3" i="31"/>
  <c r="P59" i="83"/>
  <c r="I47" i="33"/>
  <c r="I33" i="33"/>
  <c r="G33" i="33"/>
  <c r="E33" i="33"/>
  <c r="P29" i="83"/>
  <c r="G47" i="33" s="1"/>
  <c r="P4" i="83"/>
  <c r="E47" i="33" s="1"/>
  <c r="I4" i="81" l="1"/>
  <c r="I5" i="81"/>
  <c r="I6" i="81"/>
  <c r="I7" i="81"/>
  <c r="I8" i="81"/>
  <c r="I9" i="81"/>
  <c r="I10" i="81"/>
  <c r="I11" i="81"/>
  <c r="I12" i="81"/>
  <c r="I13" i="81"/>
  <c r="I14" i="81"/>
  <c r="I15" i="81"/>
  <c r="I3" i="81"/>
  <c r="L16" i="81"/>
  <c r="F19" i="6"/>
  <c r="C33" i="33" s="1"/>
  <c r="N20" i="1"/>
  <c r="F82" i="80" l="1"/>
  <c r="C75" i="9" l="1"/>
  <c r="C76" i="9" l="1"/>
  <c r="D14" i="9"/>
  <c r="Y6" i="1"/>
  <c r="N19" i="1"/>
  <c r="G15" i="81"/>
  <c r="G14" i="81"/>
  <c r="G13" i="81"/>
  <c r="G12" i="81"/>
  <c r="G11" i="81"/>
  <c r="G10" i="81"/>
  <c r="G9" i="81"/>
  <c r="G4" i="81"/>
  <c r="G5" i="81"/>
  <c r="G6" i="81"/>
  <c r="G7" i="81"/>
  <c r="G8" i="81"/>
  <c r="G3" i="81"/>
  <c r="E16" i="81"/>
  <c r="D16" i="81"/>
  <c r="P6" i="80"/>
  <c r="O5" i="80"/>
  <c r="P6" i="81" s="1"/>
  <c r="O4" i="80"/>
  <c r="O3" i="80"/>
  <c r="O2" i="80"/>
  <c r="P3" i="81" s="1"/>
  <c r="D3" i="4"/>
  <c r="F17" i="81" l="1"/>
  <c r="U3" i="43"/>
  <c r="P4" i="81"/>
  <c r="U4" i="43"/>
  <c r="P5" i="81"/>
  <c r="U2" i="43"/>
  <c r="O6" i="80"/>
  <c r="K13" i="3"/>
  <c r="G20" i="6" s="1"/>
  <c r="L26" i="79"/>
  <c r="M26" i="79"/>
  <c r="P26" i="79" s="1"/>
  <c r="N26" i="79"/>
  <c r="L27" i="79"/>
  <c r="M27" i="79"/>
  <c r="P27" i="79" s="1"/>
  <c r="N27" i="79"/>
  <c r="L28" i="79"/>
  <c r="M28" i="79"/>
  <c r="P28" i="79" s="1"/>
  <c r="N28" i="79"/>
  <c r="I26" i="79"/>
  <c r="I27" i="79"/>
  <c r="I28" i="79"/>
  <c r="I6" i="79"/>
  <c r="I7" i="79"/>
  <c r="I8" i="79"/>
  <c r="K6" i="79"/>
  <c r="L6" i="79"/>
  <c r="M6" i="79"/>
  <c r="P6" i="79" s="1"/>
  <c r="N6" i="79"/>
  <c r="O6" i="79"/>
  <c r="K7" i="79"/>
  <c r="L7" i="79"/>
  <c r="M7" i="79"/>
  <c r="P7" i="79" s="1"/>
  <c r="N7" i="79"/>
  <c r="O7" i="79"/>
  <c r="K8" i="79"/>
  <c r="L8" i="79"/>
  <c r="M8" i="79"/>
  <c r="P8" i="79" s="1"/>
  <c r="N8" i="79"/>
  <c r="O8" i="79"/>
  <c r="E18" i="81" l="1"/>
  <c r="I13" i="3"/>
  <c r="F20" i="6" s="1"/>
  <c r="R2" i="80"/>
  <c r="R5" i="80" s="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K9" i="79"/>
  <c r="I9" i="79"/>
  <c r="AC5" i="79"/>
  <c r="AB5" i="79"/>
  <c r="AA5" i="79"/>
  <c r="AD5" i="79" s="1"/>
  <c r="Z5" i="79"/>
  <c r="Y5" i="79"/>
  <c r="O5" i="79"/>
  <c r="V5" i="79" s="1"/>
  <c r="N5" i="79"/>
  <c r="U5" i="79" s="1"/>
  <c r="M5" i="79"/>
  <c r="L5" i="79"/>
  <c r="S5" i="79" s="1"/>
  <c r="K5" i="79"/>
  <c r="R5" i="79" s="1"/>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5" i="79" l="1"/>
  <c r="W5" i="79" s="1"/>
  <c r="P5"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s="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s="1"/>
  <c r="F47" i="71" s="1"/>
  <c r="F48" i="71" s="1"/>
  <c r="V48" i="71" s="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s="1"/>
  <c r="F43" i="71" s="1"/>
  <c r="F44" i="71" s="1"/>
  <c r="V44" i="71" s="1"/>
  <c r="P41" i="71"/>
  <c r="E42" i="71"/>
  <c r="E43" i="71"/>
  <c r="E44" i="71"/>
  <c r="U44" i="71"/>
  <c r="O41" i="71"/>
  <c r="C42" i="71"/>
  <c r="N41" i="71"/>
  <c r="B42" i="71"/>
  <c r="B43" i="71"/>
  <c r="B44" i="71"/>
  <c r="S44" i="71"/>
  <c r="D41" i="71"/>
  <c r="Q40" i="71"/>
  <c r="P40" i="71"/>
  <c r="O40" i="71"/>
  <c r="N40" i="71"/>
  <c r="Q39" i="71"/>
  <c r="AB39" i="71" s="1"/>
  <c r="P39" i="71"/>
  <c r="AA39" i="71"/>
  <c r="O39" i="71"/>
  <c r="Y39" i="71"/>
  <c r="Z39" i="71"/>
  <c r="N39" i="71"/>
  <c r="X39" i="71"/>
  <c r="Q38" i="71"/>
  <c r="AB38" i="71"/>
  <c r="P38" i="71"/>
  <c r="O38" i="71"/>
  <c r="Y38" i="71"/>
  <c r="Z38" i="71"/>
  <c r="N38" i="71"/>
  <c r="Q37" i="71"/>
  <c r="F38" i="71" s="1"/>
  <c r="F39" i="71" s="1"/>
  <c r="F40" i="71" s="1"/>
  <c r="V40" i="71" s="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Q33" i="71"/>
  <c r="F34" i="71" s="1"/>
  <c r="F35" i="71" s="1"/>
  <c r="F36" i="71" s="1"/>
  <c r="V36" i="71" s="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Q29" i="71"/>
  <c r="F30" i="71" s="1"/>
  <c r="F31" i="71" s="1"/>
  <c r="F32" i="71" s="1"/>
  <c r="V32" i="71" s="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8" i="43"/>
  <c r="C22" i="20"/>
  <c r="B100" i="43" s="1"/>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4"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A15" i="62" s="1"/>
  <c r="B61" i="72" s="1"/>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C77" i="9" s="1"/>
  <c r="C74" i="9" s="1"/>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s="1"/>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G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AB27" i="33" s="1"/>
  <c r="F87" i="33"/>
  <c r="H25" i="33"/>
  <c r="U25" i="33" s="1"/>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G91" i="33"/>
  <c r="H91" i="33"/>
  <c r="I91" i="33"/>
  <c r="J91" i="33"/>
  <c r="K91" i="33"/>
  <c r="L91" i="33"/>
  <c r="M91" i="33"/>
  <c r="J27" i="33"/>
  <c r="W27" i="33" s="1"/>
  <c r="S25" i="33"/>
  <c r="AA25" i="33"/>
  <c r="G87" i="33"/>
  <c r="H87" i="33"/>
  <c r="I87" i="33"/>
  <c r="J87" i="33"/>
  <c r="K87" i="33"/>
  <c r="L87" i="33"/>
  <c r="M87" i="33"/>
  <c r="J25" i="33"/>
  <c r="AC25" i="33" s="1"/>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AC27" i="33"/>
  <c r="AA23" i="33"/>
  <c r="S23" i="33"/>
  <c r="AB19" i="33"/>
  <c r="U19" i="33"/>
  <c r="AA17" i="33"/>
  <c r="S17" i="33"/>
  <c r="U17" i="33"/>
  <c r="AB17" i="33"/>
  <c r="U23" i="21"/>
  <c r="AB23" i="21"/>
  <c r="AC23" i="21"/>
  <c r="W23" i="21"/>
  <c r="H109" i="9"/>
  <c r="D16" i="53"/>
  <c r="B34" i="72" s="1"/>
  <c r="AD3" i="71"/>
  <c r="J1" i="73"/>
  <c r="H69" i="43"/>
  <c r="H50" i="43"/>
  <c r="G50" i="43" s="1"/>
  <c r="C24" i="12"/>
  <c r="C22" i="71"/>
  <c r="D22" i="7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c r="E19" i="71" s="1"/>
  <c r="E18" i="71" s="1"/>
  <c r="E17" i="71" s="1"/>
  <c r="E16" i="71" s="1"/>
  <c r="V20" i="71"/>
  <c r="C20" i="71"/>
  <c r="C19" i="71" s="1"/>
  <c r="C18" i="71" s="1"/>
  <c r="C17" i="71" s="1"/>
  <c r="D21" i="71"/>
  <c r="D18" i="71"/>
  <c r="T20" i="71"/>
  <c r="D19" i="71"/>
  <c r="D20" i="71"/>
  <c r="U20" i="71"/>
  <c r="F40" i="67"/>
  <c r="F43" i="67"/>
  <c r="M26" i="67"/>
  <c r="AO13" i="1"/>
  <c r="F6" i="67"/>
  <c r="M24" i="15"/>
  <c r="L47" i="67"/>
  <c r="F26" i="67"/>
  <c r="L47" i="15"/>
  <c r="E13" i="76"/>
  <c r="E9" i="76"/>
  <c r="L48" i="15"/>
  <c r="M6" i="67"/>
  <c r="M8" i="67"/>
  <c r="F9" i="67"/>
  <c r="B9" i="76"/>
  <c r="F7" i="67"/>
  <c r="F8" i="15"/>
  <c r="B7" i="76"/>
  <c r="F9" i="15"/>
  <c r="M28" i="15"/>
  <c r="D3" i="73"/>
  <c r="F7" i="73"/>
  <c r="B12" i="76"/>
  <c r="M24" i="67"/>
  <c r="F40" i="15"/>
  <c r="F16" i="67"/>
  <c r="L48" i="67"/>
  <c r="M26" i="15"/>
  <c r="D4" i="73"/>
  <c r="F16" i="15"/>
  <c r="F3" i="73"/>
  <c r="E12" i="76"/>
  <c r="M29" i="67"/>
  <c r="C76" i="67"/>
  <c r="D5" i="73"/>
  <c r="M22" i="15"/>
  <c r="F38" i="15"/>
  <c r="M9" i="67"/>
  <c r="B13" i="76"/>
  <c r="F37" i="67"/>
  <c r="F7" i="15"/>
  <c r="E7" i="76"/>
  <c r="F8" i="67"/>
  <c r="F43" i="15"/>
  <c r="B10" i="76"/>
  <c r="F37" i="15"/>
  <c r="F42" i="67"/>
  <c r="M28" i="67"/>
  <c r="F5" i="73"/>
  <c r="D6" i="73"/>
  <c r="M6" i="15"/>
  <c r="C76" i="15"/>
  <c r="B8" i="76"/>
  <c r="M23" i="15"/>
  <c r="F42" i="15"/>
  <c r="J15" i="67"/>
  <c r="E2" i="68"/>
  <c r="E8" i="76"/>
  <c r="J15" i="15"/>
  <c r="E11" i="76"/>
  <c r="F26" i="15"/>
  <c r="E10" i="76"/>
  <c r="M23" i="67"/>
  <c r="F36" i="67"/>
  <c r="M8" i="15"/>
  <c r="M29" i="15"/>
  <c r="B11" i="76"/>
  <c r="F36" i="15"/>
  <c r="F20" i="31"/>
  <c r="F6" i="73"/>
  <c r="D7" i="73"/>
  <c r="F6" i="15"/>
  <c r="F13" i="67"/>
  <c r="M9" i="15"/>
  <c r="F13" i="15"/>
  <c r="E2" i="69"/>
  <c r="F38" i="67"/>
  <c r="F4" i="73"/>
  <c r="M22" i="67"/>
  <c r="M50" i="43" l="1"/>
  <c r="N50" i="43" s="1"/>
  <c r="K50" i="43"/>
  <c r="J50" i="43" s="1"/>
  <c r="D50" i="43" s="1"/>
  <c r="M54" i="43"/>
  <c r="N54" i="43" s="1"/>
  <c r="K54" i="43"/>
  <c r="J54" i="43" s="1"/>
  <c r="AB25" i="33"/>
  <c r="W25" i="33"/>
  <c r="I7" i="33"/>
  <c r="G7" i="33"/>
  <c r="E7" i="33"/>
  <c r="G6" i="1"/>
  <c r="I24" i="43"/>
  <c r="J51" i="15"/>
  <c r="C16" i="71"/>
  <c r="M23" i="43" s="1"/>
  <c r="D17" i="71"/>
  <c r="E15" i="71"/>
  <c r="E14" i="71" s="1"/>
  <c r="E13" i="71" s="1"/>
  <c r="E12" i="71" s="1"/>
  <c r="V16" i="71"/>
  <c r="G28" i="6"/>
  <c r="BL586" i="3"/>
  <c r="AZ586" i="3" s="1"/>
  <c r="BA551" i="3"/>
  <c r="AZ551" i="3" s="1"/>
  <c r="BL550" i="3"/>
  <c r="BA550" i="3"/>
  <c r="BL548" i="3"/>
  <c r="AZ548" i="3" s="1"/>
  <c r="BL15" i="3"/>
  <c r="X24" i="71"/>
  <c r="Y24" i="71"/>
  <c r="Z24" i="71" s="1"/>
  <c r="AA24" i="71"/>
  <c r="AB24" i="71"/>
  <c r="X22" i="71"/>
  <c r="Y22" i="71"/>
  <c r="Z22" i="71" s="1"/>
  <c r="Y23" i="71"/>
  <c r="Z23" i="71" s="1"/>
  <c r="AA23" i="71"/>
  <c r="AB23" i="71"/>
  <c r="Y21" i="71"/>
  <c r="Z21" i="71" s="1"/>
  <c r="AA22" i="71"/>
  <c r="AB21" i="71"/>
  <c r="AA21" i="71"/>
  <c r="X21" i="71"/>
  <c r="X18" i="71"/>
  <c r="Y18" i="71"/>
  <c r="Z18" i="71" s="1"/>
  <c r="AA18" i="71"/>
  <c r="X17" i="71"/>
  <c r="Y17" i="71"/>
  <c r="Z17" i="71" s="1"/>
  <c r="AA17" i="71"/>
  <c r="AB17" i="71"/>
  <c r="X15" i="71"/>
  <c r="X14" i="71"/>
  <c r="X13" i="71"/>
  <c r="X12" i="71"/>
  <c r="X10" i="71"/>
  <c r="X9" i="71"/>
  <c r="X11" i="71"/>
  <c r="Y14" i="71"/>
  <c r="Z14" i="71" s="1"/>
  <c r="Y13" i="71"/>
  <c r="Z13" i="71" s="1"/>
  <c r="Y12" i="71"/>
  <c r="Z12" i="71" s="1"/>
  <c r="Y10" i="71"/>
  <c r="Z10" i="71" s="1"/>
  <c r="Y9" i="71"/>
  <c r="Z9" i="71" s="1"/>
  <c r="Y11" i="71"/>
  <c r="Z11" i="71" s="1"/>
  <c r="AA15" i="71"/>
  <c r="AA14" i="71"/>
  <c r="AA13" i="71"/>
  <c r="AA12" i="71"/>
  <c r="AA10" i="71"/>
  <c r="AA9" i="71"/>
  <c r="AA11" i="71"/>
  <c r="AB15" i="71"/>
  <c r="AB14" i="71"/>
  <c r="AB13" i="71"/>
  <c r="AB12" i="71"/>
  <c r="AB10" i="71"/>
  <c r="AB9" i="71"/>
  <c r="AB11" i="7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C24" i="43"/>
  <c r="H26" i="43"/>
  <c r="F26" i="43"/>
  <c r="J26" i="43"/>
  <c r="G26" i="43"/>
  <c r="E26" i="43"/>
  <c r="A1" i="79"/>
  <c r="H55" i="43"/>
  <c r="G55" i="43" s="1"/>
  <c r="H86" i="43"/>
  <c r="H87" i="43"/>
  <c r="N370" i="46"/>
  <c r="N94" i="46"/>
  <c r="H89" i="43"/>
  <c r="H88" i="43"/>
  <c r="H84" i="43"/>
  <c r="C69" i="39"/>
  <c r="D67" i="39"/>
  <c r="D69" i="39" s="1"/>
  <c r="T35" i="4"/>
  <c r="A19" i="51" s="1"/>
  <c r="B14" i="72" s="1"/>
  <c r="H110" i="9"/>
  <c r="D18" i="53" s="1"/>
  <c r="B35" i="72" s="1"/>
  <c r="H52" i="43"/>
  <c r="G52" i="43" s="1"/>
  <c r="K5" i="4"/>
  <c r="B47" i="48" s="1"/>
  <c r="Y8" i="71"/>
  <c r="Z8" i="71" s="1"/>
  <c r="X8" i="71"/>
  <c r="AB8" i="71"/>
  <c r="AA8" i="7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D9" i="69"/>
  <c r="C36" i="69"/>
  <c r="C16" i="15"/>
  <c r="C16" i="67"/>
  <c r="F27" i="69"/>
  <c r="G1" i="73"/>
  <c r="M57" i="43" l="1"/>
  <c r="N57" i="43" s="1"/>
  <c r="K57" i="43"/>
  <c r="J57" i="43" s="1"/>
  <c r="D57" i="43" s="1"/>
  <c r="M53" i="43"/>
  <c r="N53" i="43" s="1"/>
  <c r="K53" i="43"/>
  <c r="M52" i="43"/>
  <c r="N52" i="43" s="1"/>
  <c r="K52" i="43"/>
  <c r="M55" i="43"/>
  <c r="N55" i="43" s="1"/>
  <c r="K55" i="43"/>
  <c r="M56" i="43"/>
  <c r="N56" i="43" s="1"/>
  <c r="K56" i="43"/>
  <c r="J56" i="43" s="1"/>
  <c r="D56" i="43" s="1"/>
  <c r="M51" i="43"/>
  <c r="N51" i="43" s="1"/>
  <c r="K51" i="43"/>
  <c r="M58" i="43"/>
  <c r="N58" i="43" s="1"/>
  <c r="K58" i="43"/>
  <c r="B15" i="71"/>
  <c r="B14" i="71" s="1"/>
  <c r="B13" i="71" s="1"/>
  <c r="B12" i="71" s="1"/>
  <c r="S16" i="71"/>
  <c r="AZ15" i="3"/>
  <c r="BL5" i="3"/>
  <c r="AZ550" i="3"/>
  <c r="BA5" i="3"/>
  <c r="E11" i="71"/>
  <c r="E10" i="71" s="1"/>
  <c r="E9" i="71" s="1"/>
  <c r="E8" i="71" s="1"/>
  <c r="E7" i="71" s="1"/>
  <c r="E6" i="71" s="1"/>
  <c r="E5" i="71" s="1"/>
  <c r="V12" i="71"/>
  <c r="C15" i="71"/>
  <c r="T16" i="71"/>
  <c r="E61" i="43"/>
  <c r="B59"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J58" i="43" l="1"/>
  <c r="D58" i="43"/>
  <c r="J51" i="43"/>
  <c r="D51" i="43"/>
  <c r="J55" i="43"/>
  <c r="D55" i="43"/>
  <c r="J52" i="43"/>
  <c r="D52" i="43"/>
  <c r="J53" i="43"/>
  <c r="D53" i="43"/>
  <c r="D15" i="71"/>
  <c r="C14" i="71"/>
  <c r="AZ5" i="3"/>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E50" i="43" l="1"/>
  <c r="B48" i="43" s="1"/>
  <c r="C28" i="43" s="1"/>
  <c r="D116" i="43"/>
  <c r="AY6" i="3"/>
  <c r="E3" i="6"/>
  <c r="B14" i="74" s="1"/>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6" i="11"/>
  <c r="D22" i="11" s="1"/>
  <c r="C66" i="67"/>
  <c r="C60" i="67"/>
  <c r="C14" i="67"/>
  <c r="C34" i="69"/>
  <c r="C17" i="67"/>
  <c r="C17" i="15"/>
  <c r="D13" i="71" l="1"/>
  <c r="C12" i="71"/>
  <c r="D3" i="21"/>
  <c r="E6" i="6"/>
  <c r="D37" i="11"/>
  <c r="D14" i="12"/>
  <c r="D17" i="12" s="1"/>
  <c r="C17" i="12" s="1"/>
  <c r="M18" i="9"/>
  <c r="B118" i="9" s="1"/>
  <c r="B1" i="74" s="1"/>
  <c r="D3" i="34"/>
  <c r="D19" i="11"/>
  <c r="C19" i="11" s="1"/>
  <c r="L18" i="9"/>
  <c r="C17" i="4"/>
  <c r="B4" i="52" s="1"/>
  <c r="B43" i="72" s="1"/>
  <c r="D3" i="33"/>
  <c r="D3" i="3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18" i="67"/>
  <c r="C15" i="67"/>
  <c r="H23" i="6"/>
  <c r="H20" i="6"/>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D25" i="6" l="1"/>
  <c r="D15" i="6"/>
  <c r="D22" i="6"/>
  <c r="D21" i="6"/>
  <c r="D24" i="6"/>
  <c r="D20" i="6"/>
  <c r="R20" i="6" s="1"/>
  <c r="R7" i="1" s="1"/>
  <c r="M19" i="9"/>
  <c r="C118" i="9" s="1"/>
  <c r="B2" i="74" s="1"/>
  <c r="D26" i="6"/>
  <c r="D8" i="6"/>
  <c r="D14" i="6"/>
  <c r="D6" i="6"/>
  <c r="D9" i="6"/>
  <c r="D10" i="6"/>
  <c r="L19" i="9"/>
  <c r="D29" i="6"/>
  <c r="H25" i="6"/>
  <c r="H22" i="6"/>
  <c r="H21" i="6"/>
  <c r="H24" i="6"/>
  <c r="D19" i="6"/>
  <c r="C18" i="4"/>
  <c r="D23" i="6"/>
  <c r="R23" i="6" s="1"/>
  <c r="R10" i="1" s="1"/>
  <c r="D5" i="6"/>
  <c r="D12" i="6"/>
  <c r="D11" i="6"/>
  <c r="D13" i="6"/>
  <c r="D28" i="6"/>
  <c r="D30" i="6" s="1"/>
  <c r="E61" i="40"/>
  <c r="H26" i="6"/>
  <c r="C20" i="11"/>
  <c r="C24" i="11"/>
  <c r="D10" i="11"/>
  <c r="C10" i="11" s="1"/>
  <c r="D20" i="12"/>
  <c r="C20" i="12" s="1"/>
  <c r="D10" i="68"/>
  <c r="C11" i="71"/>
  <c r="T12" i="71"/>
  <c r="D12" i="71"/>
  <c r="U12" i="71" s="1"/>
  <c r="C19" i="67"/>
  <c r="C20" i="67" s="1"/>
  <c r="C26" i="67" s="1"/>
  <c r="T16" i="1"/>
  <c r="C18" i="15"/>
  <c r="C15" i="15"/>
  <c r="C38" i="68"/>
  <c r="C35" i="68"/>
  <c r="C36" i="11"/>
  <c r="C37" i="11"/>
  <c r="C34" i="11"/>
  <c r="C23" i="12"/>
  <c r="C14" i="12"/>
  <c r="C16" i="12" s="1"/>
  <c r="H19" i="6"/>
  <c r="S19" i="6"/>
  <c r="S27" i="6" s="1"/>
  <c r="I27" i="6"/>
  <c r="I69" i="39"/>
  <c r="J67" i="39"/>
  <c r="I63" i="40"/>
  <c r="H65" i="40"/>
  <c r="I58" i="21"/>
  <c r="J58" i="21" s="1"/>
  <c r="K58" i="21" s="1"/>
  <c r="L58" i="21" s="1"/>
  <c r="M58" i="21" s="1"/>
  <c r="N58" i="21" s="1"/>
  <c r="O58" i="21" s="1"/>
  <c r="H7" i="21" s="1"/>
  <c r="J7" i="21"/>
  <c r="F7" i="21"/>
  <c r="J48" i="35"/>
  <c r="D10" i="69"/>
  <c r="D33" i="43" l="1"/>
  <c r="D1" i="43" s="1"/>
  <c r="D27" i="6"/>
  <c r="D16" i="6"/>
  <c r="D11" i="71"/>
  <c r="C10" i="71"/>
  <c r="C10" i="68"/>
  <c r="B29" i="1" s="1"/>
  <c r="D19" i="68"/>
  <c r="C10" i="69"/>
  <c r="C8" i="69" s="1"/>
  <c r="D19" i="69"/>
  <c r="C28" i="11"/>
  <c r="C27" i="11" s="1"/>
  <c r="C25" i="11"/>
  <c r="C22" i="11" s="1"/>
  <c r="C31" i="11" s="1"/>
  <c r="C4" i="52"/>
  <c r="B45" i="72" s="1"/>
  <c r="A10" i="51"/>
  <c r="B9" i="72" s="1"/>
  <c r="A7" i="51"/>
  <c r="B7" i="72" s="1"/>
  <c r="D31" i="6"/>
  <c r="R26" i="6"/>
  <c r="D7" i="74"/>
  <c r="R24" i="6"/>
  <c r="R11" i="1" s="1"/>
  <c r="R21" i="6"/>
  <c r="R8" i="1" s="1"/>
  <c r="R22" i="6"/>
  <c r="R9" i="1" s="1"/>
  <c r="R25" i="6"/>
  <c r="R12" i="1" s="1"/>
  <c r="C23" i="67"/>
  <c r="C29" i="67" s="1"/>
  <c r="J59" i="67" s="1"/>
  <c r="J60" i="67" s="1"/>
  <c r="Q48" i="67" s="1"/>
  <c r="C19" i="15"/>
  <c r="C20" i="15" s="1"/>
  <c r="C26" i="15" s="1"/>
  <c r="C38" i="11"/>
  <c r="C35" i="11"/>
  <c r="H27" i="6"/>
  <c r="R19" i="6"/>
  <c r="J69" i="39"/>
  <c r="K67" i="39"/>
  <c r="U7" i="21"/>
  <c r="AB7" i="21"/>
  <c r="T48" i="21" s="1"/>
  <c r="G48" i="21" s="1"/>
  <c r="S7" i="21"/>
  <c r="AA7" i="21"/>
  <c r="R48" i="21" s="1"/>
  <c r="J63" i="40"/>
  <c r="I65" i="40"/>
  <c r="K48" i="35"/>
  <c r="L48" i="35" s="1"/>
  <c r="M48" i="35" s="1"/>
  <c r="N48" i="35" s="1"/>
  <c r="O48" i="35" s="1"/>
  <c r="H7" i="35" s="1"/>
  <c r="J7" i="35"/>
  <c r="AC7" i="21"/>
  <c r="V48" i="21" s="1"/>
  <c r="I48" i="21" s="1"/>
  <c r="W7" i="21"/>
  <c r="C8" i="68" l="1"/>
  <c r="C18" i="12"/>
  <c r="C21" i="12" s="1"/>
  <c r="I5" i="6"/>
  <c r="I6" i="6"/>
  <c r="C19" i="69"/>
  <c r="D37" i="69"/>
  <c r="C37" i="69" s="1"/>
  <c r="C33" i="69" s="1"/>
  <c r="C19" i="68"/>
  <c r="D37" i="68"/>
  <c r="C37" i="68" s="1"/>
  <c r="C33" i="68" s="1"/>
  <c r="C39" i="68" s="1"/>
  <c r="C43" i="68" s="1"/>
  <c r="D10" i="71"/>
  <c r="C9" i="71"/>
  <c r="Q49" i="67"/>
  <c r="J14" i="67"/>
  <c r="J13" i="67" s="1"/>
  <c r="J23" i="67" s="1"/>
  <c r="C36" i="67"/>
  <c r="C57" i="67"/>
  <c r="C64" i="67" s="1"/>
  <c r="C13" i="67"/>
  <c r="Q70" i="67" s="1"/>
  <c r="C33" i="11"/>
  <c r="C39" i="11" s="1"/>
  <c r="C61" i="67"/>
  <c r="C42" i="68"/>
  <c r="C23" i="15"/>
  <c r="C29" i="15" s="1"/>
  <c r="R27" i="6"/>
  <c r="R6" i="1"/>
  <c r="C46" i="68"/>
  <c r="C45" i="68" s="1"/>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C22" i="12" l="1"/>
  <c r="C30" i="12" s="1"/>
  <c r="C28" i="12" s="1"/>
  <c r="C8" i="71"/>
  <c r="D9" i="71"/>
  <c r="C24" i="68"/>
  <c r="C39" i="69"/>
  <c r="C42" i="69"/>
  <c r="C24" i="69"/>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C27" i="12" l="1"/>
  <c r="C25" i="12" s="1"/>
  <c r="C32" i="12" s="1"/>
  <c r="B2" i="12" s="1"/>
  <c r="B3" i="12" s="1"/>
  <c r="C43" i="69"/>
  <c r="C41" i="69" s="1"/>
  <c r="C46" i="69"/>
  <c r="C45" i="69" s="1"/>
  <c r="D8" i="71"/>
  <c r="C7"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L51" i="67"/>
  <c r="D7" i="71" l="1"/>
  <c r="C6" i="71"/>
  <c r="C49" i="69"/>
  <c r="C51" i="69" s="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L51" i="15"/>
  <c r="D2" i="37"/>
  <c r="D2" i="34"/>
  <c r="D2" i="36"/>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11" i="1"/>
  <c r="AO6" i="1"/>
  <c r="AO8" i="1"/>
  <c r="AO9" i="1"/>
  <c r="AO12" i="1"/>
  <c r="AO10" i="1"/>
  <c r="Q66" i="15" l="1"/>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S26" i="79" l="1"/>
  <c r="T26" i="79"/>
  <c r="W26" i="79"/>
  <c r="U26" i="79"/>
  <c r="S27" i="79"/>
  <c r="T27" i="79"/>
  <c r="W27" i="79"/>
  <c r="U27" i="79"/>
  <c r="S28" i="79"/>
  <c r="T28" i="79"/>
  <c r="W28" i="79"/>
  <c r="U28" i="79"/>
  <c r="R6" i="79"/>
  <c r="S6" i="79"/>
  <c r="T6" i="79"/>
  <c r="W6" i="79"/>
  <c r="U6" i="79"/>
  <c r="V6" i="79"/>
  <c r="R7" i="79"/>
  <c r="S7" i="79"/>
  <c r="T7" i="79"/>
  <c r="W7" i="79"/>
  <c r="U7" i="79"/>
  <c r="V7" i="79"/>
  <c r="R8" i="79"/>
  <c r="S8" i="79"/>
  <c r="T8" i="79"/>
  <c r="W8" i="79"/>
  <c r="U8" i="79"/>
  <c r="V8" i="79"/>
  <c r="AB18" i="71"/>
  <c r="C19" i="9" l="1"/>
  <c r="C102" i="9" l="1"/>
  <c r="C21" i="9"/>
  <c r="C20" i="9"/>
  <c r="C103" i="9" l="1"/>
  <c r="D59" i="9" l="1"/>
  <c r="M55" i="9" s="1"/>
  <c r="S9" i="79"/>
  <c r="C23" i="43"/>
  <c r="T15" i="43"/>
  <c r="V15" i="43"/>
  <c r="C38" i="43"/>
  <c r="C42" i="43"/>
  <c r="C41" i="43"/>
  <c r="C40" i="43"/>
  <c r="C39" i="43"/>
  <c r="C37" i="43"/>
  <c r="C33" i="43"/>
  <c r="C6" i="69"/>
  <c r="T5" i="43"/>
  <c r="V5" i="43"/>
  <c r="T6" i="43"/>
  <c r="V6" i="43"/>
  <c r="T2" i="43"/>
  <c r="V2" i="43"/>
  <c r="T3" i="43"/>
  <c r="V3" i="43"/>
  <c r="T4" i="43"/>
  <c r="V4" i="43"/>
  <c r="T8" i="43"/>
  <c r="V8" i="43"/>
  <c r="T10" i="43"/>
  <c r="V10" i="43"/>
  <c r="T12" i="43"/>
  <c r="V12" i="43"/>
  <c r="T14" i="43"/>
  <c r="V14" i="43"/>
  <c r="T16" i="43"/>
  <c r="V16" i="43"/>
  <c r="T7" i="43"/>
  <c r="V7" i="43"/>
  <c r="T9" i="43"/>
  <c r="V9" i="43"/>
  <c r="T11" i="43"/>
  <c r="V11" i="43"/>
  <c r="T13" i="43"/>
  <c r="V13" i="43"/>
  <c r="C34" i="43"/>
  <c r="E34" i="43"/>
  <c r="E37" i="43"/>
  <c r="E38" i="43"/>
  <c r="E39" i="43"/>
  <c r="E40" i="43"/>
  <c r="E41" i="43"/>
  <c r="E42" i="43"/>
  <c r="C30" i="43"/>
  <c r="G37" i="43"/>
  <c r="I37" i="43"/>
  <c r="G40" i="43"/>
  <c r="I40" i="43"/>
  <c r="G42" i="43"/>
  <c r="I42" i="43"/>
  <c r="C7" i="69"/>
  <c r="C5" i="69"/>
  <c r="C20" i="69"/>
  <c r="C25" i="69"/>
  <c r="E33" i="43"/>
  <c r="G39" i="43"/>
  <c r="I39" i="43"/>
  <c r="G41" i="43"/>
  <c r="I41" i="43"/>
  <c r="G38" i="43"/>
  <c r="I38" i="43"/>
  <c r="C23" i="69"/>
  <c r="C22" i="69"/>
  <c r="B2" i="43"/>
  <c r="C31" i="43"/>
  <c r="C28" i="69"/>
  <c r="C27" i="69"/>
  <c r="B6" i="76"/>
  <c r="E6" i="76"/>
  <c r="E2" i="76"/>
  <c r="B2" i="76"/>
  <c r="C6" i="68"/>
  <c r="B3" i="43"/>
  <c r="C31" i="69"/>
  <c r="C52" i="69"/>
  <c r="C57" i="69"/>
  <c r="C56" i="69"/>
  <c r="C7" i="68"/>
  <c r="C5" i="68"/>
  <c r="B3" i="76"/>
  <c r="B2" i="69"/>
  <c r="D19" i="9"/>
  <c r="B3" i="69"/>
  <c r="C23" i="68"/>
  <c r="C20" i="68"/>
  <c r="C25" i="68"/>
  <c r="D102" i="9"/>
  <c r="D21" i="9"/>
  <c r="D22" i="9"/>
  <c r="G19" i="9"/>
  <c r="D20" i="9"/>
  <c r="C28" i="68"/>
  <c r="C27" i="68"/>
  <c r="C22" i="68"/>
  <c r="D103" i="9"/>
  <c r="G20" i="9"/>
  <c r="R24" i="31"/>
  <c r="C32" i="9"/>
  <c r="G21" i="9"/>
  <c r="C31" i="68"/>
  <c r="C52" i="68"/>
  <c r="H118" i="9"/>
  <c r="H101" i="9"/>
  <c r="D45" i="9"/>
  <c r="C78" i="9"/>
  <c r="C73" i="9"/>
  <c r="G3" i="84"/>
  <c r="H3" i="84"/>
  <c r="S24" i="31"/>
  <c r="R103" i="31"/>
  <c r="G82" i="84"/>
  <c r="H82" i="84"/>
  <c r="R102" i="31"/>
  <c r="G81" i="84"/>
  <c r="R101" i="31"/>
  <c r="G80" i="84"/>
  <c r="R100" i="31"/>
  <c r="G79" i="84"/>
  <c r="R99" i="31"/>
  <c r="G78" i="84"/>
  <c r="R98" i="31"/>
  <c r="G77" i="84"/>
  <c r="H77" i="84"/>
  <c r="R97" i="31"/>
  <c r="G76" i="84"/>
  <c r="R96" i="31"/>
  <c r="G75" i="84"/>
  <c r="R95" i="31"/>
  <c r="G74" i="84"/>
  <c r="R94" i="31"/>
  <c r="G73" i="84"/>
  <c r="R93" i="31"/>
  <c r="G72" i="84"/>
  <c r="R92" i="31"/>
  <c r="G71" i="84"/>
  <c r="R91" i="31"/>
  <c r="G70" i="84"/>
  <c r="R90" i="31"/>
  <c r="G69" i="84"/>
  <c r="R89" i="31"/>
  <c r="G68" i="84"/>
  <c r="R88" i="31"/>
  <c r="G67" i="84"/>
  <c r="R87" i="31"/>
  <c r="G66" i="84"/>
  <c r="R86" i="31"/>
  <c r="G65" i="84"/>
  <c r="R85" i="31"/>
  <c r="G64" i="84"/>
  <c r="R84" i="31"/>
  <c r="G63" i="84"/>
  <c r="R83" i="31"/>
  <c r="G62" i="84"/>
  <c r="R82" i="31"/>
  <c r="G61" i="84"/>
  <c r="R81" i="31"/>
  <c r="G60" i="84"/>
  <c r="R80" i="31"/>
  <c r="G59" i="84"/>
  <c r="R79" i="31"/>
  <c r="G58" i="84"/>
  <c r="R78" i="31"/>
  <c r="G57" i="84"/>
  <c r="R77" i="31"/>
  <c r="G56" i="84"/>
  <c r="R76" i="31"/>
  <c r="G55" i="84"/>
  <c r="R75" i="31"/>
  <c r="G54" i="84"/>
  <c r="R74" i="31"/>
  <c r="G53" i="84"/>
  <c r="R73" i="31"/>
  <c r="G52" i="84"/>
  <c r="R72" i="31"/>
  <c r="G51" i="84"/>
  <c r="R71" i="31"/>
  <c r="G50" i="84"/>
  <c r="R70" i="31"/>
  <c r="G49" i="84"/>
  <c r="R69" i="31"/>
  <c r="G48" i="84"/>
  <c r="R68" i="31"/>
  <c r="G47" i="84"/>
  <c r="R67" i="31"/>
  <c r="G46" i="84"/>
  <c r="R66" i="31"/>
  <c r="G45" i="84"/>
  <c r="R65" i="31"/>
  <c r="G44" i="84"/>
  <c r="R64" i="31"/>
  <c r="G43" i="84"/>
  <c r="R63" i="31"/>
  <c r="G42" i="84"/>
  <c r="R62" i="31"/>
  <c r="G41" i="84"/>
  <c r="R61" i="31"/>
  <c r="G40" i="84"/>
  <c r="R60" i="31"/>
  <c r="G39" i="84"/>
  <c r="R59" i="31"/>
  <c r="G38" i="84"/>
  <c r="R58" i="31"/>
  <c r="G37" i="84"/>
  <c r="R57" i="31"/>
  <c r="G36" i="84"/>
  <c r="R56" i="31"/>
  <c r="G35" i="84"/>
  <c r="R55" i="31"/>
  <c r="G34" i="84"/>
  <c r="R54" i="31"/>
  <c r="G33" i="84"/>
  <c r="R53" i="31"/>
  <c r="G32" i="84"/>
  <c r="R52" i="31"/>
  <c r="G31" i="84"/>
  <c r="R51" i="31"/>
  <c r="G30" i="84"/>
  <c r="R50" i="31"/>
  <c r="G29" i="84"/>
  <c r="R49" i="31"/>
  <c r="G28" i="84"/>
  <c r="R48" i="31"/>
  <c r="G27" i="84"/>
  <c r="R47" i="31"/>
  <c r="G26" i="84"/>
  <c r="R46" i="31"/>
  <c r="G25" i="84"/>
  <c r="R45" i="31"/>
  <c r="G24" i="84"/>
  <c r="R44" i="31"/>
  <c r="G23" i="84"/>
  <c r="R43" i="31"/>
  <c r="G22" i="84"/>
  <c r="R42" i="31"/>
  <c r="G21" i="84"/>
  <c r="R41" i="31"/>
  <c r="G20" i="84"/>
  <c r="R40" i="31"/>
  <c r="G19" i="84"/>
  <c r="R39" i="31"/>
  <c r="G18" i="84"/>
  <c r="H18" i="84"/>
  <c r="R38" i="31"/>
  <c r="G17" i="84"/>
  <c r="H17" i="84"/>
  <c r="R37" i="31"/>
  <c r="G16" i="84"/>
  <c r="H16" i="84"/>
  <c r="R36" i="31"/>
  <c r="G15" i="84"/>
  <c r="H15" i="84"/>
  <c r="R35" i="31"/>
  <c r="G14" i="84"/>
  <c r="H14" i="84"/>
  <c r="R34" i="31"/>
  <c r="G13" i="84"/>
  <c r="H13" i="84"/>
  <c r="R33" i="31"/>
  <c r="G12" i="84"/>
  <c r="H12" i="84"/>
  <c r="R32" i="31"/>
  <c r="G11" i="84"/>
  <c r="H11" i="84"/>
  <c r="R31" i="31"/>
  <c r="G10" i="84"/>
  <c r="H10" i="84"/>
  <c r="R30" i="31"/>
  <c r="G9" i="84"/>
  <c r="H9" i="84"/>
  <c r="R29" i="31"/>
  <c r="G8" i="84"/>
  <c r="H8" i="84"/>
  <c r="R28" i="31"/>
  <c r="G7" i="84"/>
  <c r="H7" i="84"/>
  <c r="R27" i="31"/>
  <c r="G6" i="84"/>
  <c r="H6" i="84"/>
  <c r="R26" i="31"/>
  <c r="G5" i="84"/>
  <c r="H5" i="84"/>
  <c r="R25" i="31"/>
  <c r="G4" i="84"/>
  <c r="H4" i="84"/>
  <c r="C93" i="9"/>
  <c r="C86" i="9"/>
  <c r="C85" i="9"/>
  <c r="C72" i="9"/>
  <c r="C64" i="9"/>
  <c r="C63" i="9"/>
  <c r="C67" i="9"/>
  <c r="C68" i="9"/>
  <c r="D52" i="9"/>
  <c r="D53" i="9"/>
  <c r="D5" i="53"/>
  <c r="M48" i="9"/>
  <c r="H107" i="9"/>
  <c r="M49" i="9"/>
  <c r="H119" i="9"/>
  <c r="H5" i="52"/>
  <c r="H4" i="52"/>
  <c r="C104" i="9"/>
  <c r="I118" i="9"/>
  <c r="K3" i="84"/>
  <c r="L3" i="84"/>
  <c r="Q3" i="84"/>
  <c r="H19" i="84"/>
  <c r="Q19" i="84"/>
  <c r="N19" i="84"/>
  <c r="R19" i="84"/>
  <c r="S19" i="84"/>
  <c r="M19" i="84"/>
  <c r="H21" i="84"/>
  <c r="K21" i="84"/>
  <c r="L21" i="84"/>
  <c r="H23" i="84"/>
  <c r="K23" i="84"/>
  <c r="L23" i="84"/>
  <c r="H25" i="84"/>
  <c r="K25" i="84"/>
  <c r="L25" i="84"/>
  <c r="H27" i="84"/>
  <c r="K27" i="84"/>
  <c r="L27" i="84"/>
  <c r="H29" i="84"/>
  <c r="K29" i="84"/>
  <c r="L29" i="84"/>
  <c r="H31" i="84"/>
  <c r="K31" i="84"/>
  <c r="L31" i="84"/>
  <c r="H33" i="84"/>
  <c r="K33" i="84"/>
  <c r="L33" i="84"/>
  <c r="H35" i="84"/>
  <c r="K35" i="84"/>
  <c r="L35" i="84"/>
  <c r="H37" i="84"/>
  <c r="K37" i="84"/>
  <c r="L37" i="84"/>
  <c r="H39" i="84"/>
  <c r="K39" i="84"/>
  <c r="L39" i="84"/>
  <c r="H41" i="84"/>
  <c r="K41" i="84"/>
  <c r="L41" i="84"/>
  <c r="H43" i="84"/>
  <c r="K43" i="84"/>
  <c r="L43" i="84"/>
  <c r="H45" i="84"/>
  <c r="K45" i="84"/>
  <c r="L45" i="84"/>
  <c r="H47" i="84"/>
  <c r="K47" i="84"/>
  <c r="L47" i="84"/>
  <c r="H49" i="84"/>
  <c r="K49" i="84"/>
  <c r="L49" i="84"/>
  <c r="H51" i="84"/>
  <c r="K51" i="84"/>
  <c r="L51" i="84"/>
  <c r="H53" i="84"/>
  <c r="K53" i="84"/>
  <c r="L53" i="84"/>
  <c r="H55" i="84"/>
  <c r="K55" i="84"/>
  <c r="L55" i="84"/>
  <c r="H57" i="84"/>
  <c r="K57" i="84"/>
  <c r="L57" i="84"/>
  <c r="H59" i="84"/>
  <c r="K59" i="84"/>
  <c r="L59" i="84"/>
  <c r="H61" i="84"/>
  <c r="K61" i="84"/>
  <c r="L61" i="84"/>
  <c r="H63" i="84"/>
  <c r="K63" i="84"/>
  <c r="L63" i="84"/>
  <c r="H65" i="84"/>
  <c r="K65" i="84"/>
  <c r="L65" i="84"/>
  <c r="H67" i="84"/>
  <c r="K67" i="84"/>
  <c r="L67" i="84"/>
  <c r="H69" i="84"/>
  <c r="K69" i="84"/>
  <c r="L69" i="84"/>
  <c r="H71" i="84"/>
  <c r="K71" i="84"/>
  <c r="L71" i="84"/>
  <c r="H73" i="84"/>
  <c r="K73" i="84"/>
  <c r="L73" i="84"/>
  <c r="H75" i="84"/>
  <c r="K75" i="84"/>
  <c r="L75" i="84"/>
  <c r="H79" i="84"/>
  <c r="K79" i="84"/>
  <c r="L79" i="84"/>
  <c r="H81" i="84"/>
  <c r="K81" i="84"/>
  <c r="L81" i="84"/>
  <c r="H20" i="84"/>
  <c r="K20" i="84"/>
  <c r="L20" i="84"/>
  <c r="H22" i="84"/>
  <c r="K22" i="84"/>
  <c r="L22" i="84"/>
  <c r="H24" i="84"/>
  <c r="K24" i="84"/>
  <c r="L24" i="84"/>
  <c r="H26" i="84"/>
  <c r="K26" i="84"/>
  <c r="L26" i="84"/>
  <c r="H28" i="84"/>
  <c r="K28" i="84"/>
  <c r="L28" i="84"/>
  <c r="H30" i="84"/>
  <c r="K30" i="84"/>
  <c r="L30" i="84"/>
  <c r="H32" i="84"/>
  <c r="K32" i="84"/>
  <c r="L32" i="84"/>
  <c r="H34" i="84"/>
  <c r="K34" i="84"/>
  <c r="L34" i="84"/>
  <c r="H36" i="84"/>
  <c r="K36" i="84"/>
  <c r="L36" i="84"/>
  <c r="H38" i="84"/>
  <c r="K38" i="84"/>
  <c r="L38" i="84"/>
  <c r="H40" i="84"/>
  <c r="K40" i="84"/>
  <c r="L40" i="84"/>
  <c r="H42" i="84"/>
  <c r="K42" i="84"/>
  <c r="L42" i="84"/>
  <c r="H44" i="84"/>
  <c r="K44" i="84"/>
  <c r="L44" i="84"/>
  <c r="H46" i="84"/>
  <c r="K46" i="84"/>
  <c r="L46" i="84"/>
  <c r="H48" i="84"/>
  <c r="K48" i="84"/>
  <c r="L48" i="84"/>
  <c r="H50" i="84"/>
  <c r="K50" i="84"/>
  <c r="L50" i="84"/>
  <c r="H52" i="84"/>
  <c r="K52" i="84"/>
  <c r="L52" i="84"/>
  <c r="H54" i="84"/>
  <c r="K54" i="84"/>
  <c r="L54" i="84"/>
  <c r="H56" i="84"/>
  <c r="K56" i="84"/>
  <c r="L56" i="84"/>
  <c r="H58" i="84"/>
  <c r="K58" i="84"/>
  <c r="L58" i="84"/>
  <c r="H60" i="84"/>
  <c r="K60" i="84"/>
  <c r="L60" i="84"/>
  <c r="H62" i="84"/>
  <c r="K62" i="84"/>
  <c r="L62" i="84"/>
  <c r="H64" i="84"/>
  <c r="K64" i="84"/>
  <c r="L64" i="84"/>
  <c r="H66" i="84"/>
  <c r="K66" i="84"/>
  <c r="L66" i="84"/>
  <c r="H68" i="84"/>
  <c r="K68" i="84"/>
  <c r="L68" i="84"/>
  <c r="H70" i="84"/>
  <c r="K70" i="84"/>
  <c r="L70" i="84"/>
  <c r="H72" i="84"/>
  <c r="K72" i="84"/>
  <c r="L72" i="84"/>
  <c r="H74" i="84"/>
  <c r="K74" i="84"/>
  <c r="L74" i="84"/>
  <c r="H76" i="84"/>
  <c r="K76" i="84"/>
  <c r="L76" i="84"/>
  <c r="H78" i="84"/>
  <c r="K78" i="84"/>
  <c r="L78" i="84"/>
  <c r="H80" i="84"/>
  <c r="K80" i="84"/>
  <c r="L80" i="84"/>
  <c r="K82" i="84"/>
  <c r="L82" i="84"/>
  <c r="B2" i="68"/>
  <c r="C57" i="68"/>
  <c r="C56" i="68"/>
  <c r="D55" i="9"/>
  <c r="M53" i="9"/>
  <c r="C95" i="9"/>
  <c r="C96" i="9"/>
  <c r="E96" i="9"/>
  <c r="E97" i="9"/>
  <c r="K77" i="84"/>
  <c r="L77" i="84"/>
  <c r="K4" i="84"/>
  <c r="L4" i="84"/>
  <c r="K5" i="84"/>
  <c r="L5" i="84"/>
  <c r="K6" i="84"/>
  <c r="L6" i="84"/>
  <c r="K7" i="84"/>
  <c r="L7" i="84"/>
  <c r="K8" i="84"/>
  <c r="L8" i="84"/>
  <c r="K9" i="84"/>
  <c r="L9" i="84"/>
  <c r="K10" i="84"/>
  <c r="L10" i="84"/>
  <c r="K11" i="84"/>
  <c r="L11" i="84"/>
  <c r="K12" i="84"/>
  <c r="L12" i="84"/>
  <c r="K13" i="84"/>
  <c r="L13" i="84"/>
  <c r="K14" i="84"/>
  <c r="L14" i="84"/>
  <c r="K15" i="84"/>
  <c r="L15" i="84"/>
  <c r="K16" i="84"/>
  <c r="L16" i="84"/>
  <c r="K17" i="84"/>
  <c r="L17" i="84"/>
  <c r="K18" i="84"/>
  <c r="L18" i="84"/>
  <c r="Q4" i="84"/>
  <c r="N4" i="84"/>
  <c r="R4" i="84"/>
  <c r="T4" i="84"/>
  <c r="Q5" i="84"/>
  <c r="N5" i="84"/>
  <c r="R5" i="84"/>
  <c r="S5" i="84"/>
  <c r="M5" i="84"/>
  <c r="T5" i="84"/>
  <c r="Q6" i="84"/>
  <c r="N6" i="84"/>
  <c r="R6" i="84"/>
  <c r="S6" i="84"/>
  <c r="M6" i="84"/>
  <c r="T6" i="84"/>
  <c r="Q7" i="84"/>
  <c r="N7" i="84"/>
  <c r="R7" i="84"/>
  <c r="S7" i="84"/>
  <c r="M7" i="84"/>
  <c r="T7" i="84"/>
  <c r="Q8" i="84"/>
  <c r="N8" i="84"/>
  <c r="R8" i="84"/>
  <c r="S8" i="84"/>
  <c r="M8" i="84"/>
  <c r="T8" i="84"/>
  <c r="Q9" i="84"/>
  <c r="N9" i="84"/>
  <c r="R9" i="84"/>
  <c r="S9" i="84"/>
  <c r="M9" i="84"/>
  <c r="T9" i="84"/>
  <c r="Q10" i="84"/>
  <c r="N10" i="84"/>
  <c r="R10" i="84"/>
  <c r="S10" i="84"/>
  <c r="M10" i="84"/>
  <c r="T10" i="84"/>
  <c r="Q11" i="84"/>
  <c r="N11" i="84"/>
  <c r="R11" i="84"/>
  <c r="S11" i="84"/>
  <c r="M11" i="84"/>
  <c r="T11" i="84"/>
  <c r="Q12" i="84"/>
  <c r="N12" i="84"/>
  <c r="R12" i="84"/>
  <c r="S12" i="84"/>
  <c r="M12" i="84"/>
  <c r="T12" i="84"/>
  <c r="Q13" i="84"/>
  <c r="N13" i="84"/>
  <c r="R13" i="84"/>
  <c r="S13" i="84"/>
  <c r="M13" i="84"/>
  <c r="T13" i="84"/>
  <c r="Q14" i="84"/>
  <c r="N14" i="84"/>
  <c r="R14" i="84"/>
  <c r="S14" i="84"/>
  <c r="M14" i="84"/>
  <c r="T14" i="84"/>
  <c r="Q15" i="84"/>
  <c r="N15" i="84"/>
  <c r="R15" i="84"/>
  <c r="S15" i="84"/>
  <c r="M15" i="84"/>
  <c r="T15" i="84"/>
  <c r="Q16" i="84"/>
  <c r="N16" i="84"/>
  <c r="R16" i="84"/>
  <c r="S16" i="84"/>
  <c r="M16" i="84"/>
  <c r="T16" i="84"/>
  <c r="Q17" i="84"/>
  <c r="N17" i="84"/>
  <c r="R17" i="84"/>
  <c r="S17" i="84"/>
  <c r="M17" i="84"/>
  <c r="T17" i="84"/>
  <c r="Q18" i="84"/>
  <c r="N18" i="84"/>
  <c r="R18" i="84"/>
  <c r="S18" i="84"/>
  <c r="M18" i="84"/>
  <c r="T18" i="84"/>
  <c r="T19" i="84"/>
  <c r="T21" i="84"/>
  <c r="T23" i="84"/>
  <c r="Q24" i="84"/>
  <c r="N24" i="84"/>
  <c r="R24" i="84"/>
  <c r="S24" i="84"/>
  <c r="M24" i="84"/>
  <c r="T27" i="84"/>
  <c r="T29" i="84"/>
  <c r="T31" i="84"/>
  <c r="Q32" i="84"/>
  <c r="N32" i="84"/>
  <c r="R32" i="84"/>
  <c r="S32" i="84"/>
  <c r="M32" i="84"/>
  <c r="T35" i="84"/>
  <c r="T37" i="84"/>
  <c r="T39" i="84"/>
  <c r="Q40" i="84"/>
  <c r="N40" i="84"/>
  <c r="R40" i="84"/>
  <c r="S40" i="84"/>
  <c r="M40" i="84"/>
  <c r="T43" i="84"/>
  <c r="T45" i="84"/>
  <c r="T47" i="84"/>
  <c r="Q48" i="84"/>
  <c r="N48" i="84"/>
  <c r="R48" i="84"/>
  <c r="S48" i="84"/>
  <c r="M48" i="84"/>
  <c r="T51" i="84"/>
  <c r="T53" i="84"/>
  <c r="T55" i="84"/>
  <c r="Q56" i="84"/>
  <c r="N56" i="84"/>
  <c r="R56" i="84"/>
  <c r="S56" i="84"/>
  <c r="M56" i="84"/>
  <c r="T59" i="84"/>
  <c r="T61" i="84"/>
  <c r="T63" i="84"/>
  <c r="Q64" i="84"/>
  <c r="N64" i="84"/>
  <c r="R64" i="84"/>
  <c r="S64" i="84"/>
  <c r="M64" i="84"/>
  <c r="T67" i="84"/>
  <c r="T69" i="84"/>
  <c r="T71" i="84"/>
  <c r="Q72" i="84"/>
  <c r="N72" i="84"/>
  <c r="R72" i="84"/>
  <c r="S72" i="84"/>
  <c r="M72" i="84"/>
  <c r="T75" i="84"/>
  <c r="Q77" i="84"/>
  <c r="N77" i="84"/>
  <c r="R77" i="84"/>
  <c r="S77" i="84"/>
  <c r="M77" i="84"/>
  <c r="Q78" i="84"/>
  <c r="N78" i="84"/>
  <c r="R78" i="84"/>
  <c r="S78" i="84"/>
  <c r="M78" i="84"/>
  <c r="T79" i="84"/>
  <c r="Q82" i="84"/>
  <c r="N82" i="84"/>
  <c r="R82" i="84"/>
  <c r="S82" i="84"/>
  <c r="M82" i="84"/>
  <c r="T82" i="84"/>
  <c r="T3" i="84"/>
  <c r="C79" i="9"/>
  <c r="S25" i="31"/>
  <c r="S26" i="31"/>
  <c r="S27" i="31"/>
  <c r="S28" i="31"/>
  <c r="S29" i="31"/>
  <c r="S30" i="31"/>
  <c r="S31" i="31"/>
  <c r="S32" i="31"/>
  <c r="S33" i="31"/>
  <c r="S34" i="31"/>
  <c r="S35" i="31"/>
  <c r="S36" i="31"/>
  <c r="S37" i="31"/>
  <c r="S38" i="31"/>
  <c r="S39" i="31"/>
  <c r="S40" i="31"/>
  <c r="S41" i="31"/>
  <c r="S42" i="31"/>
  <c r="S43" i="31"/>
  <c r="S44" i="31"/>
  <c r="S45" i="31"/>
  <c r="S46" i="31"/>
  <c r="S47" i="31"/>
  <c r="S48" i="31"/>
  <c r="S49" i="31"/>
  <c r="S50" i="31"/>
  <c r="S51" i="31"/>
  <c r="S52" i="31"/>
  <c r="S53" i="31"/>
  <c r="S54" i="31"/>
  <c r="S55" i="31"/>
  <c r="S56" i="31"/>
  <c r="S57" i="31"/>
  <c r="S58" i="31"/>
  <c r="S59" i="31"/>
  <c r="S60" i="31"/>
  <c r="S61" i="31"/>
  <c r="S62" i="31"/>
  <c r="S63" i="31"/>
  <c r="S64" i="31"/>
  <c r="S65" i="31"/>
  <c r="S66" i="31"/>
  <c r="S67" i="31"/>
  <c r="S68" i="31"/>
  <c r="S69" i="31"/>
  <c r="S70" i="31"/>
  <c r="S71" i="31"/>
  <c r="S72" i="31"/>
  <c r="S73" i="31"/>
  <c r="S74" i="31"/>
  <c r="S75" i="31"/>
  <c r="S76" i="31"/>
  <c r="S77" i="31"/>
  <c r="S78" i="31"/>
  <c r="S79" i="31"/>
  <c r="S80" i="31"/>
  <c r="S81" i="31"/>
  <c r="S82" i="31"/>
  <c r="S83" i="31"/>
  <c r="S84" i="31"/>
  <c r="S85" i="31"/>
  <c r="S86" i="31"/>
  <c r="S87" i="31"/>
  <c r="S88" i="31"/>
  <c r="S89" i="31"/>
  <c r="S90" i="31"/>
  <c r="S91" i="31"/>
  <c r="S92" i="31"/>
  <c r="S93" i="31"/>
  <c r="S94" i="31"/>
  <c r="S95" i="31"/>
  <c r="S96" i="31"/>
  <c r="S97" i="31"/>
  <c r="S98" i="31"/>
  <c r="S99" i="31"/>
  <c r="S100" i="31"/>
  <c r="S101" i="31"/>
  <c r="S102" i="31"/>
  <c r="S103" i="31"/>
  <c r="L68" i="9"/>
  <c r="M68" i="9"/>
  <c r="L65" i="9"/>
  <c r="M65" i="9"/>
  <c r="L66" i="9"/>
  <c r="M66" i="9"/>
  <c r="L64" i="9"/>
  <c r="M64" i="9"/>
  <c r="L63" i="9"/>
  <c r="M63" i="9"/>
  <c r="L67" i="9"/>
  <c r="M67" i="9"/>
  <c r="C105" i="9"/>
  <c r="I4" i="52"/>
  <c r="H102" i="9"/>
  <c r="H108" i="9"/>
  <c r="D122" i="9"/>
  <c r="D13" i="53"/>
  <c r="D6" i="53"/>
  <c r="B22" i="72"/>
  <c r="B20" i="72"/>
  <c r="D54" i="9"/>
  <c r="D48" i="9"/>
  <c r="M52" i="9"/>
  <c r="T80" i="84"/>
  <c r="T76" i="84"/>
  <c r="Q73" i="84"/>
  <c r="N73" i="84"/>
  <c r="R73" i="84"/>
  <c r="S73" i="84"/>
  <c r="M73" i="84"/>
  <c r="T68" i="84"/>
  <c r="Q65" i="84"/>
  <c r="N65" i="84"/>
  <c r="R65" i="84"/>
  <c r="S65" i="84"/>
  <c r="M65" i="84"/>
  <c r="T60" i="84"/>
  <c r="Q57" i="84"/>
  <c r="N57" i="84"/>
  <c r="R57" i="84"/>
  <c r="S57" i="84"/>
  <c r="M57" i="84"/>
  <c r="T52" i="84"/>
  <c r="Q49" i="84"/>
  <c r="N49" i="84"/>
  <c r="R49" i="84"/>
  <c r="S49" i="84"/>
  <c r="M49" i="84"/>
  <c r="T44" i="84"/>
  <c r="Q41" i="84"/>
  <c r="N41" i="84"/>
  <c r="R41" i="84"/>
  <c r="S41" i="84"/>
  <c r="M41" i="84"/>
  <c r="T36" i="84"/>
  <c r="Q33" i="84"/>
  <c r="N33" i="84"/>
  <c r="R33" i="84"/>
  <c r="S33" i="84"/>
  <c r="M33" i="84"/>
  <c r="T28" i="84"/>
  <c r="Q25" i="84"/>
  <c r="N25" i="84"/>
  <c r="R25" i="84"/>
  <c r="S25" i="84"/>
  <c r="M25" i="84"/>
  <c r="T20" i="84"/>
  <c r="N3" i="84"/>
  <c r="R3" i="84"/>
  <c r="S3" i="84"/>
  <c r="Q80" i="84"/>
  <c r="N80" i="84"/>
  <c r="R80" i="84"/>
  <c r="S80" i="84"/>
  <c r="M80" i="84"/>
  <c r="Q79" i="84"/>
  <c r="N79" i="84"/>
  <c r="R79" i="84"/>
  <c r="S79" i="84"/>
  <c r="M79" i="84"/>
  <c r="Q76" i="84"/>
  <c r="N76" i="84"/>
  <c r="R76" i="84"/>
  <c r="S76" i="84"/>
  <c r="M76" i="84"/>
  <c r="T73" i="84"/>
  <c r="T72" i="84"/>
  <c r="Q69" i="84"/>
  <c r="N69" i="84"/>
  <c r="R69" i="84"/>
  <c r="S69" i="84"/>
  <c r="M69" i="84"/>
  <c r="Q68" i="84"/>
  <c r="N68" i="84"/>
  <c r="R68" i="84"/>
  <c r="S68" i="84"/>
  <c r="M68" i="84"/>
  <c r="T65" i="84"/>
  <c r="T64" i="84"/>
  <c r="Q61" i="84"/>
  <c r="N61" i="84"/>
  <c r="R61" i="84"/>
  <c r="S61" i="84"/>
  <c r="M61" i="84"/>
  <c r="Q60" i="84"/>
  <c r="N60" i="84"/>
  <c r="R60" i="84"/>
  <c r="S60" i="84"/>
  <c r="M60" i="84"/>
  <c r="T57" i="84"/>
  <c r="T56" i="84"/>
  <c r="Q53" i="84"/>
  <c r="N53" i="84"/>
  <c r="R53" i="84"/>
  <c r="S53" i="84"/>
  <c r="M53" i="84"/>
  <c r="Q52" i="84"/>
  <c r="N52" i="84"/>
  <c r="R52" i="84"/>
  <c r="S52" i="84"/>
  <c r="M52" i="84"/>
  <c r="T49" i="84"/>
  <c r="T48" i="84"/>
  <c r="Q45" i="84"/>
  <c r="N45" i="84"/>
  <c r="R45" i="84"/>
  <c r="S45" i="84"/>
  <c r="M45" i="84"/>
  <c r="Q44" i="84"/>
  <c r="N44" i="84"/>
  <c r="R44" i="84"/>
  <c r="S44" i="84"/>
  <c r="M44" i="84"/>
  <c r="T41" i="84"/>
  <c r="T40" i="84"/>
  <c r="Q37" i="84"/>
  <c r="N37" i="84"/>
  <c r="R37" i="84"/>
  <c r="S37" i="84"/>
  <c r="M37" i="84"/>
  <c r="Q36" i="84"/>
  <c r="N36" i="84"/>
  <c r="R36" i="84"/>
  <c r="S36" i="84"/>
  <c r="M36" i="84"/>
  <c r="T33" i="84"/>
  <c r="T32" i="84"/>
  <c r="Q29" i="84"/>
  <c r="N29" i="84"/>
  <c r="R29" i="84"/>
  <c r="S29" i="84"/>
  <c r="M29" i="84"/>
  <c r="Q28" i="84"/>
  <c r="N28" i="84"/>
  <c r="R28" i="84"/>
  <c r="S28" i="84"/>
  <c r="M28" i="84"/>
  <c r="T25" i="84"/>
  <c r="T24" i="84"/>
  <c r="Q21" i="84"/>
  <c r="N21" i="84"/>
  <c r="R21" i="84"/>
  <c r="S21" i="84"/>
  <c r="M21" i="84"/>
  <c r="Q20" i="84"/>
  <c r="N20" i="84"/>
  <c r="R20" i="84"/>
  <c r="S20" i="84"/>
  <c r="M20" i="84"/>
  <c r="M3" i="84"/>
  <c r="U3" i="84"/>
  <c r="Q81" i="84"/>
  <c r="N81" i="84"/>
  <c r="R81" i="84"/>
  <c r="S81" i="84"/>
  <c r="M81" i="84"/>
  <c r="T74" i="84"/>
  <c r="T70" i="84"/>
  <c r="T66" i="84"/>
  <c r="T62" i="84"/>
  <c r="T58" i="84"/>
  <c r="T54" i="84"/>
  <c r="T50" i="84"/>
  <c r="T46" i="84"/>
  <c r="T42" i="84"/>
  <c r="T38" i="84"/>
  <c r="T34" i="84"/>
  <c r="T30" i="84"/>
  <c r="T26" i="84"/>
  <c r="T22" i="84"/>
  <c r="T81" i="84"/>
  <c r="T78" i="84"/>
  <c r="Q75" i="84"/>
  <c r="N75" i="84"/>
  <c r="R75" i="84"/>
  <c r="S75" i="84"/>
  <c r="M75" i="84"/>
  <c r="U75" i="84"/>
  <c r="Q74" i="84"/>
  <c r="N74" i="84"/>
  <c r="R74" i="84"/>
  <c r="S74" i="84"/>
  <c r="M74" i="84"/>
  <c r="Q71" i="84"/>
  <c r="N71" i="84"/>
  <c r="R71" i="84"/>
  <c r="S71" i="84"/>
  <c r="M71" i="84"/>
  <c r="Q70" i="84"/>
  <c r="N70" i="84"/>
  <c r="R70" i="84"/>
  <c r="S70" i="84"/>
  <c r="M70" i="84"/>
  <c r="Q67" i="84"/>
  <c r="N67" i="84"/>
  <c r="R67" i="84"/>
  <c r="S67" i="84"/>
  <c r="M67" i="84"/>
  <c r="U67" i="84"/>
  <c r="Q66" i="84"/>
  <c r="N66" i="84"/>
  <c r="R66" i="84"/>
  <c r="S66" i="84"/>
  <c r="M66" i="84"/>
  <c r="Q63" i="84"/>
  <c r="N63" i="84"/>
  <c r="R63" i="84"/>
  <c r="S63" i="84"/>
  <c r="M63" i="84"/>
  <c r="U63" i="84"/>
  <c r="Q62" i="84"/>
  <c r="N62" i="84"/>
  <c r="R62" i="84"/>
  <c r="S62" i="84"/>
  <c r="M62" i="84"/>
  <c r="Q59" i="84"/>
  <c r="N59" i="84"/>
  <c r="R59" i="84"/>
  <c r="S59" i="84"/>
  <c r="M59" i="84"/>
  <c r="Q58" i="84"/>
  <c r="N58" i="84"/>
  <c r="R58" i="84"/>
  <c r="S58" i="84"/>
  <c r="M58" i="84"/>
  <c r="Q55" i="84"/>
  <c r="N55" i="84"/>
  <c r="R55" i="84"/>
  <c r="S55" i="84"/>
  <c r="M55" i="84"/>
  <c r="U55" i="84"/>
  <c r="Q54" i="84"/>
  <c r="N54" i="84"/>
  <c r="R54" i="84"/>
  <c r="S54" i="84"/>
  <c r="M54" i="84"/>
  <c r="Q51" i="84"/>
  <c r="N51" i="84"/>
  <c r="R51" i="84"/>
  <c r="S51" i="84"/>
  <c r="M51" i="84"/>
  <c r="U51" i="84"/>
  <c r="Q50" i="84"/>
  <c r="N50" i="84"/>
  <c r="R50" i="84"/>
  <c r="S50" i="84"/>
  <c r="M50" i="84"/>
  <c r="Q47" i="84"/>
  <c r="N47" i="84"/>
  <c r="R47" i="84"/>
  <c r="S47" i="84"/>
  <c r="M47" i="84"/>
  <c r="U47" i="84"/>
  <c r="Q46" i="84"/>
  <c r="N46" i="84"/>
  <c r="R46" i="84"/>
  <c r="S46" i="84"/>
  <c r="M46" i="84"/>
  <c r="Q43" i="84"/>
  <c r="N43" i="84"/>
  <c r="R43" i="84"/>
  <c r="S43" i="84"/>
  <c r="M43" i="84"/>
  <c r="U43" i="84"/>
  <c r="Q42" i="84"/>
  <c r="N42" i="84"/>
  <c r="R42" i="84"/>
  <c r="S42" i="84"/>
  <c r="M42" i="84"/>
  <c r="Q39" i="84"/>
  <c r="N39" i="84"/>
  <c r="R39" i="84"/>
  <c r="S39" i="84"/>
  <c r="M39" i="84"/>
  <c r="U39" i="84"/>
  <c r="Q38" i="84"/>
  <c r="N38" i="84"/>
  <c r="R38" i="84"/>
  <c r="S38" i="84"/>
  <c r="M38" i="84"/>
  <c r="Q35" i="84"/>
  <c r="N35" i="84"/>
  <c r="R35" i="84"/>
  <c r="S35" i="84"/>
  <c r="M35" i="84"/>
  <c r="U35" i="84"/>
  <c r="Q34" i="84"/>
  <c r="N34" i="84"/>
  <c r="R34" i="84"/>
  <c r="S34" i="84"/>
  <c r="M34" i="84"/>
  <c r="U34" i="84"/>
  <c r="Q31" i="84"/>
  <c r="N31" i="84"/>
  <c r="R31" i="84"/>
  <c r="S31" i="84"/>
  <c r="M31" i="84"/>
  <c r="U31" i="84"/>
  <c r="Q30" i="84"/>
  <c r="N30" i="84"/>
  <c r="R30" i="84"/>
  <c r="S30" i="84"/>
  <c r="M30" i="84"/>
  <c r="U30" i="84"/>
  <c r="Q27" i="84"/>
  <c r="N27" i="84"/>
  <c r="R27" i="84"/>
  <c r="S27" i="84"/>
  <c r="M27" i="84"/>
  <c r="U27" i="84"/>
  <c r="Q26" i="84"/>
  <c r="N26" i="84"/>
  <c r="R26" i="84"/>
  <c r="S26" i="84"/>
  <c r="M26" i="84"/>
  <c r="U26" i="84"/>
  <c r="Q23" i="84"/>
  <c r="N23" i="84"/>
  <c r="R23" i="84"/>
  <c r="S23" i="84"/>
  <c r="M23" i="84"/>
  <c r="U23" i="84"/>
  <c r="Q22" i="84"/>
  <c r="N22" i="84"/>
  <c r="R22" i="84"/>
  <c r="S22" i="84"/>
  <c r="M22" i="84"/>
  <c r="U22" i="84"/>
  <c r="H83" i="84"/>
  <c r="H85" i="84" s="1"/>
  <c r="G84" i="84"/>
  <c r="U33" i="84"/>
  <c r="U28" i="84"/>
  <c r="K19" i="84"/>
  <c r="L19" i="84"/>
  <c r="U19" i="84"/>
  <c r="U32" i="84"/>
  <c r="U29" i="84"/>
  <c r="U25" i="84"/>
  <c r="U24" i="84"/>
  <c r="U21" i="84"/>
  <c r="U20" i="84"/>
  <c r="U17" i="84"/>
  <c r="U15" i="84"/>
  <c r="U13" i="84"/>
  <c r="U11" i="84"/>
  <c r="U9" i="84"/>
  <c r="U49" i="84"/>
  <c r="U48" i="84"/>
  <c r="U46" i="84"/>
  <c r="U45" i="84"/>
  <c r="U44" i="84"/>
  <c r="U42" i="84"/>
  <c r="U41" i="84"/>
  <c r="U40" i="84"/>
  <c r="U38" i="84"/>
  <c r="U37" i="84"/>
  <c r="U36" i="84"/>
  <c r="U80" i="84"/>
  <c r="T77" i="84"/>
  <c r="U77" i="84"/>
  <c r="B3" i="68"/>
  <c r="U7" i="84"/>
  <c r="U82" i="84"/>
  <c r="U71" i="84"/>
  <c r="U65" i="84"/>
  <c r="U64" i="84"/>
  <c r="U5" i="84"/>
  <c r="U73" i="84"/>
  <c r="U72" i="84"/>
  <c r="U59" i="84"/>
  <c r="U57" i="84"/>
  <c r="U56" i="84"/>
  <c r="U76" i="84"/>
  <c r="U69" i="84"/>
  <c r="U68" i="84"/>
  <c r="U61" i="84"/>
  <c r="U60" i="84"/>
  <c r="U53" i="84"/>
  <c r="U52" i="84"/>
  <c r="S22" i="31"/>
  <c r="R22" i="31"/>
  <c r="U79" i="84"/>
  <c r="U78" i="84"/>
  <c r="U74" i="84"/>
  <c r="U70" i="84"/>
  <c r="U66" i="84"/>
  <c r="U62" i="84"/>
  <c r="U58" i="84"/>
  <c r="U54" i="84"/>
  <c r="U50" i="84"/>
  <c r="U18" i="84"/>
  <c r="U16" i="84"/>
  <c r="U14" i="84"/>
  <c r="U12" i="84"/>
  <c r="U10" i="84"/>
  <c r="U8" i="84"/>
  <c r="U6" i="84"/>
  <c r="C97" i="9"/>
  <c r="S4" i="84"/>
  <c r="M4" i="84"/>
  <c r="U4" i="84"/>
  <c r="C80" i="9"/>
  <c r="C81" i="9"/>
  <c r="M69" i="9"/>
  <c r="N69" i="9"/>
  <c r="D14" i="53"/>
  <c r="B32" i="72"/>
  <c r="B30" i="72"/>
  <c r="D15" i="53"/>
  <c r="B31" i="72"/>
  <c r="D123" i="9"/>
  <c r="D9" i="52"/>
  <c r="D8" i="52"/>
  <c r="D7" i="53"/>
  <c r="B21" i="72"/>
  <c r="D34" i="9"/>
  <c r="D35" i="9"/>
  <c r="L83" i="84"/>
  <c r="R83" i="84"/>
  <c r="U81" i="84"/>
  <c r="D14" i="74"/>
  <c r="G14" i="74"/>
  <c r="B6" i="74"/>
  <c r="D6" i="74"/>
  <c r="M83" i="84"/>
  <c r="C35" i="9"/>
  <c r="B20" i="31"/>
  <c r="B21" i="31"/>
  <c r="E80" i="9"/>
  <c r="E81" i="9"/>
  <c r="D58" i="9"/>
  <c r="D56" i="9"/>
  <c r="M54" i="9"/>
  <c r="N57" i="9"/>
  <c r="B5" i="74"/>
  <c r="C5" i="74"/>
  <c r="E14" i="74"/>
  <c r="F14" i="74"/>
  <c r="C6" i="74"/>
  <c r="C34" i="9"/>
  <c r="D118" i="9"/>
  <c r="F118" i="9"/>
  <c r="D5" i="74"/>
  <c r="N58" i="9"/>
  <c r="P57" i="9"/>
  <c r="N59" i="9"/>
  <c r="F4" i="52"/>
  <c r="B51" i="72"/>
  <c r="G118" i="9"/>
  <c r="F119" i="9"/>
  <c r="F5" i="52"/>
  <c r="B53" i="72"/>
  <c r="D119" i="9"/>
  <c r="D5" i="52"/>
  <c r="B49" i="72"/>
  <c r="D4" i="52"/>
  <c r="B47" i="72"/>
  <c r="H111" i="9"/>
  <c r="N60" i="9"/>
  <c r="N61" i="9"/>
  <c r="H112" i="9"/>
  <c r="G4" i="52"/>
  <c r="B52" i="72"/>
  <c r="E118" i="9"/>
  <c r="E4" i="52"/>
  <c r="B48" i="72"/>
  <c r="D21" i="53"/>
  <c r="B39" i="72"/>
  <c r="D126" i="9"/>
  <c r="D19" i="53"/>
  <c r="B38" i="72"/>
  <c r="D20" i="53"/>
  <c r="B40" i="72"/>
  <c r="D127" i="9"/>
  <c r="D13" i="52"/>
  <c r="D12" i="52"/>
  <c r="U83" i="84" l="1"/>
  <c r="I14" i="74" l="1"/>
  <c r="B8" i="74" s="1"/>
  <c r="E5" i="74" s="1"/>
  <c r="U85" i="84"/>
  <c r="D8" i="74"/>
  <c r="C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在建项目均选择“是”</t>
        </r>
      </text>
    </comment>
    <comment ref="F59" authorId="1" shapeId="0" xr:uid="{00000000-0006-0000-1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B00-000006000000}">
      <text>
        <r>
          <rPr>
            <sz val="10"/>
            <color indexed="81"/>
            <rFont val="宋体"/>
            <family val="3"/>
            <charset val="134"/>
          </rPr>
          <t xml:space="preserve">在建
</t>
        </r>
      </text>
    </comment>
    <comment ref="N59" authorId="0" shapeId="0" xr:uid="{00000000-0006-0000-1B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C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D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300-000004000000}">
      <text>
        <r>
          <rPr>
            <b/>
            <sz val="12"/>
            <color indexed="81"/>
            <rFont val="宋体"/>
            <family val="3"/>
            <charset val="134"/>
          </rPr>
          <t>所属项目品质或
物业管理</t>
        </r>
      </text>
    </comment>
    <comment ref="B90" authorId="0" shapeId="0" xr:uid="{00000000-0006-0000-23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400-000004000000}">
      <text>
        <r>
          <rPr>
            <b/>
            <sz val="12"/>
            <color indexed="81"/>
            <rFont val="宋体"/>
            <family val="3"/>
            <charset val="134"/>
          </rPr>
          <t>所属项目品质或
物业管理</t>
        </r>
      </text>
    </comment>
    <comment ref="B86" authorId="0" shapeId="0" xr:uid="{00000000-0006-0000-2400-000005000000}">
      <text>
        <r>
          <rPr>
            <b/>
            <sz val="12"/>
            <color indexed="81"/>
            <rFont val="宋体"/>
            <family val="3"/>
            <charset val="134"/>
          </rPr>
          <t>所属项目品质</t>
        </r>
      </text>
    </comment>
    <comment ref="B89" authorId="0" shapeId="0" xr:uid="{00000000-0006-0000-24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5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6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6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1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11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2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2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2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2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2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2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2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300-000001000000}">
      <text>
        <r>
          <rPr>
            <sz val="12"/>
            <color indexed="81"/>
            <rFont val="宋体"/>
            <family val="3"/>
            <charset val="134"/>
          </rPr>
          <t xml:space="preserve">指区域居住用地比例、居住小区规模和社区发展完善程度
</t>
        </r>
      </text>
    </comment>
    <comment ref="F3" authorId="0" shapeId="0" xr:uid="{00000000-0006-0000-1300-000002000000}">
      <text>
        <r>
          <rPr>
            <sz val="12"/>
            <color indexed="81"/>
            <rFont val="宋体"/>
            <family val="3"/>
            <charset val="134"/>
          </rPr>
          <t xml:space="preserve">也指工业区成熟度，工业区性质、相关产业的配套及集聚状况
</t>
        </r>
      </text>
    </comment>
    <comment ref="B4" authorId="0" shapeId="0" xr:uid="{00000000-0006-0000-13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3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3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3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300-000007000000}">
      <text>
        <r>
          <rPr>
            <sz val="12"/>
            <color indexed="81"/>
            <rFont val="宋体"/>
            <family val="3"/>
            <charset val="134"/>
          </rPr>
          <t>主要指污染排放状况及治理状况、距离危险设施或污染源的临近程度、自然条件等</t>
        </r>
      </text>
    </comment>
    <comment ref="B9" authorId="0" shapeId="0" xr:uid="{00000000-0006-0000-13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5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5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5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5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9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900-000002000000}">
      <text>
        <r>
          <rPr>
            <sz val="11"/>
            <color indexed="81"/>
            <rFont val="宋体"/>
            <family val="3"/>
            <charset val="134"/>
          </rPr>
          <t xml:space="preserve">录入层数，将对应的结果录入至左侧相应层的楼层修正系数单元格中
</t>
        </r>
      </text>
    </comment>
    <comment ref="C16" authorId="1" shapeId="0" xr:uid="{00000000-0006-0000-19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900-000004000000}">
      <text>
        <r>
          <rPr>
            <sz val="12"/>
            <color indexed="81"/>
            <rFont val="宋体"/>
            <family val="3"/>
            <charset val="134"/>
          </rPr>
          <t>1.05~1.1</t>
        </r>
        <r>
          <rPr>
            <sz val="9"/>
            <color indexed="81"/>
            <rFont val="宋体"/>
            <family val="3"/>
            <charset val="134"/>
          </rPr>
          <t xml:space="preserve">
</t>
        </r>
      </text>
    </comment>
    <comment ref="E16" authorId="1" shapeId="0" xr:uid="{00000000-0006-0000-19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9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9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9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900-000009000000}">
      <text>
        <r>
          <rPr>
            <sz val="9"/>
            <color indexed="81"/>
            <rFont val="宋体"/>
            <family val="3"/>
            <charset val="134"/>
          </rPr>
          <t xml:space="preserve">需在此处填写剩余土地年限
</t>
        </r>
      </text>
    </comment>
    <comment ref="C111" authorId="0" shapeId="0" xr:uid="{00000000-0006-0000-19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9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9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9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9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9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9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9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9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9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9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9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9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<sst xmlns="http://schemas.openxmlformats.org/spreadsheetml/2006/main" count="8509" uniqueCount="3738">
  <si>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</si>
  <si>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</si>
  <si>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</si>
  <si>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</si>
  <si>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</si>
  <si>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</si>
  <si>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</si>
  <si>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</si>
  <si>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</si>
  <si>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</si>
  <si>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</si>
  <si>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</si>
  <si>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</si>
  <si>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</si>
  <si>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</si>
  <si>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</si>
  <si>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</si>
  <si>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</si>
  <si>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</si>
  <si>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</si>
  <si>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</si>
  <si>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</si>
  <si>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</si>
  <si>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</si>
  <si>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</si>
  <si>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</si>
  <si>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</si>
  <si>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</si>
  <si>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</si>
  <si>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</si>
  <si>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</si>
  <si>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</si>
  <si>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</si>
  <si>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</si>
  <si>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</si>
  <si>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</si>
  <si>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</si>
  <si>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</si>
  <si>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</si>
  <si>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</si>
  <si>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</si>
  <si>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</si>
  <si>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</si>
  <si>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</si>
  <si>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</si>
  <si>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</si>
  <si>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</si>
  <si>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</si>
  <si>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</si>
  <si>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</si>
  <si>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</si>
  <si>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</si>
  <si>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</si>
  <si>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</si>
  <si>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</si>
  <si>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</si>
  <si>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</si>
  <si>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</si>
  <si>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</si>
  <si>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</si>
  <si>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</si>
  <si>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</si>
  <si>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</si>
  <si>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</si>
  <si>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</si>
  <si>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</si>
  <si>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</si>
  <si>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</si>
  <si>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</si>
  <si>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</si>
  <si>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</si>
  <si>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</si>
  <si>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</si>
  <si>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</si>
  <si>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</si>
  <si>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</si>
  <si>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</si>
  <si>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</si>
  <si>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</si>
  <si>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</si>
  <si>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</si>
  <si>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</si>
  <si>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</si>
  <si>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</si>
  <si>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</si>
  <si>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</si>
  <si>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</si>
  <si>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</si>
  <si>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</si>
  <si>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</si>
  <si>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</si>
  <si>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</si>
  <si>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</si>
  <si>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</si>
  <si>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</si>
  <si>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</si>
  <si>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</si>
  <si>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</si>
  <si>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</si>
  <si>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</si>
  <si>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</si>
  <si>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</si>
  <si>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</si>
  <si>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</si>
  <si>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</si>
  <si>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</si>
  <si>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</si>
  <si>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</si>
  <si>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</si>
  <si>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</si>
  <si>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</si>
  <si>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</si>
  <si>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</si>
  <si>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</si>
  <si>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</si>
  <si>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</si>
  <si>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</si>
  <si>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</si>
  <si>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</si>
  <si>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</si>
  <si>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</si>
  <si>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</si>
  <si>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</si>
  <si>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</si>
  <si>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</si>
  <si>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</si>
  <si>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</si>
  <si>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</si>
  <si>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</si>
  <si>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</si>
  <si>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</si>
  <si>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</si>
  <si>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</si>
  <si>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</si>
  <si>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</si>
  <si>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</si>
  <si>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</si>
  <si>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</si>
  <si>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</si>
  <si>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</si>
  <si>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</si>
  <si>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</si>
  <si>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</si>
  <si>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</si>
  <si>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</si>
  <si>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</si>
  <si>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</si>
  <si>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</si>
  <si>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</si>
  <si>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</si>
  <si>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</si>
  <si>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</si>
  <si>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</si>
  <si>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</si>
  <si>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</si>
  <si>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</si>
  <si>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</si>
  <si>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</si>
  <si>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</si>
  <si>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</si>
  <si>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</si>
  <si>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</si>
  <si>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</si>
  <si>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</si>
  <si>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</si>
  <si>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</si>
  <si>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</si>
  <si>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</si>
  <si>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</si>
  <si>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</si>
  <si>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</si>
  <si>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</si>
  <si>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</si>
  <si>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</si>
  <si>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</si>
  <si>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</si>
  <si>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</si>
  <si>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</si>
  <si>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</si>
  <si>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</si>
  <si>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</si>
  <si>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</si>
  <si>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</si>
  <si>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</si>
  <si>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</si>
  <si>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</si>
  <si>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</si>
  <si>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</si>
  <si>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</si>
  <si>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</si>
  <si>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</si>
  <si>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</si>
  <si>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</si>
  <si>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</si>
  <si>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</si>
  <si>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</si>
  <si>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</si>
  <si>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</si>
  <si>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</si>
  <si>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</si>
  <si>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</si>
  <si>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</si>
  <si>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</si>
  <si>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</si>
  <si>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</si>
  <si>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</si>
  <si>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</si>
  <si>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</si>
  <si>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</si>
  <si>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</si>
  <si>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</si>
  <si>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</si>
  <si>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</si>
  <si>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</si>
  <si>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</si>
  <si>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</si>
  <si>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</si>
  <si>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</si>
  <si>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</si>
  <si>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</si>
  <si>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</si>
  <si>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</si>
  <si>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</si>
  <si>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</si>
  <si>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</si>
  <si>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</si>
  <si>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</si>
  <si>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</si>
  <si>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</si>
  <si>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</si>
  <si>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</si>
  <si>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</si>
  <si>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</si>
  <si>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</si>
  <si>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</si>
  <si>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</si>
  <si>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</si>
  <si>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</si>
  <si>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</si>
  <si>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</si>
  <si>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</si>
  <si>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</si>
  <si>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</si>
  <si>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</si>
  <si>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</si>
  <si>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</si>
  <si>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</si>
  <si>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</si>
  <si>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</si>
  <si>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</si>
  <si>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</si>
  <si>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</si>
  <si>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</si>
  <si>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</si>
  <si>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</si>
  <si>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</si>
  <si>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</si>
  <si>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</si>
  <si>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</si>
  <si>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</si>
  <si>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</si>
  <si>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</si>
  <si>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</si>
  <si>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</si>
  <si>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</si>
  <si>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</si>
  <si>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</si>
  <si>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</si>
  <si>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</si>
  <si>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</si>
  <si>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</si>
  <si>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</si>
  <si>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</si>
  <si>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</si>
  <si>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</si>
  <si>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</si>
  <si>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</si>
  <si>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</si>
  <si>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</si>
  <si>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</si>
  <si>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</si>
  <si>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</si>
  <si>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</si>
  <si>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</si>
  <si>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</si>
  <si>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</si>
  <si>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</si>
  <si>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</si>
  <si>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</si>
  <si>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</si>
  <si>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</si>
  <si>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</si>
  <si>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</si>
  <si>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</si>
  <si>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</si>
  <si>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</si>
  <si>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</si>
  <si>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</si>
  <si>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</si>
  <si>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</si>
  <si>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</si>
  <si>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</si>
  <si>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</si>
  <si>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</si>
  <si>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</si>
  <si>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</si>
  <si>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</si>
  <si>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</si>
  <si>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</si>
  <si>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</si>
  <si>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</si>
  <si>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</si>
  <si>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</si>
  <si>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</si>
  <si>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</si>
  <si>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</si>
  <si>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</si>
  <si>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</si>
  <si>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</si>
  <si>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</si>
  <si>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</si>
  <si>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</si>
  <si>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</si>
  <si>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</si>
  <si>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</si>
  <si>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</si>
  <si>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</si>
  <si>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</si>
  <si>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</si>
  <si>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</si>
  <si>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</si>
  <si>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</si>
  <si>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</si>
  <si>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</si>
  <si>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</si>
  <si>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</si>
  <si>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</si>
  <si>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</si>
  <si>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</si>
  <si>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</si>
  <si>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</si>
  <si>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</si>
  <si>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</si>
  <si>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</si>
  <si>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</si>
  <si>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</si>
  <si>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</si>
  <si>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</si>
  <si>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</si>
  <si>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</si>
  <si>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</si>
  <si>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</si>
  <si>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</si>
  <si>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</si>
  <si>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</si>
  <si>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</si>
  <si>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</si>
  <si>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</si>
  <si>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</si>
  <si>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</si>
  <si>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</si>
  <si>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</si>
  <si>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</si>
  <si>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</si>
  <si>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</si>
  <si>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</si>
  <si>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</si>
  <si>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</si>
  <si>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</si>
  <si>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</si>
  <si>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</si>
  <si>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</si>
  <si>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</si>
  <si>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</si>
  <si>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</si>
  <si>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</si>
  <si>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</si>
  <si>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</si>
  <si>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</si>
  <si>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</si>
  <si>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</si>
  <si>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</si>
  <si>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</si>
  <si>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</si>
  <si>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</si>
  <si>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</si>
  <si>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</si>
  <si>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</si>
  <si>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</si>
  <si>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</si>
  <si>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</si>
  <si>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</si>
  <si>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</si>
  <si>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</si>
  <si>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</si>
  <si>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</si>
  <si>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</si>
  <si>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</si>
  <si>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</si>
  <si>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</si>
  <si>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</si>
  <si>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</si>
  <si>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</si>
  <si>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</si>
  <si>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</si>
  <si>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</si>
  <si>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</si>
  <si>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</si>
  <si>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</si>
  <si>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</si>
  <si>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</si>
  <si>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</si>
  <si>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</si>
  <si>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</si>
  <si>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</si>
  <si>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</si>
  <si>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</si>
  <si>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</si>
  <si>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</si>
  <si>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</si>
  <si>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</si>
  <si>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</si>
  <si>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</si>
  <si>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</si>
  <si>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</si>
  <si>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</si>
  <si>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</si>
  <si>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</si>
  <si>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</si>
  <si>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</si>
  <si>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</si>
  <si>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</si>
  <si>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</si>
  <si>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</si>
  <si>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</si>
  <si>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</si>
  <si>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</si>
  <si>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</si>
  <si>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</si>
  <si>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</si>
  <si>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</si>
  <si>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</si>
  <si>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</si>
  <si>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</si>
  <si>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</si>
  <si>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</si>
  <si>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</si>
  <si>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</si>
  <si>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</si>
  <si>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</si>
  <si>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</si>
  <si>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</si>
  <si>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</si>
  <si>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</si>
  <si>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</si>
  <si>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</si>
  <si>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</si>
  <si>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</si>
  <si>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</si>
  <si>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</si>
  <si>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</si>
  <si>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</si>
  <si>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</si>
  <si>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</si>
  <si>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</si>
  <si>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</si>
  <si>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</si>
  <si>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</si>
  <si>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</si>
  <si>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</si>
  <si>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</si>
  <si>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</si>
  <si>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</si>
  <si>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</si>
  <si>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</si>
  <si>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</si>
  <si>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</si>
  <si>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</si>
  <si>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</si>
  <si>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</si>
  <si>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</si>
  <si>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</si>
  <si>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</si>
  <si>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</si>
  <si>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</si>
  <si>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</si>
  <si>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</si>
  <si>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</si>
  <si>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</si>
  <si>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</si>
  <si>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</si>
  <si>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</si>
  <si>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</si>
  <si>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</si>
  <si>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</si>
  <si>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</si>
  <si>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</si>
  <si>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</si>
  <si>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</si>
  <si>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</si>
  <si>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</si>
  <si>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</si>
  <si>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</si>
  <si>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</si>
  <si>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</si>
  <si>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</si>
  <si>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</si>
  <si>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</si>
  <si>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</si>
  <si>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</si>
  <si>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</si>
  <si>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</si>
  <si>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</si>
  <si>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</si>
  <si>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</si>
  <si>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</si>
  <si>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</si>
  <si>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</si>
  <si>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</si>
  <si>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</si>
  <si>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</si>
  <si>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</si>
  <si>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</si>
  <si>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</si>
  <si>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</si>
  <si>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</si>
  <si>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</si>
  <si>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</si>
  <si>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</si>
  <si>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</si>
  <si>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</si>
  <si>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</si>
  <si>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</si>
  <si>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</si>
  <si>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</si>
  <si>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</si>
  <si>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</si>
  <si>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</si>
  <si>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</si>
  <si>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</si>
  <si>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</si>
  <si>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</si>
  <si>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</si>
  <si>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</si>
  <si>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</si>
  <si>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</si>
  <si>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</si>
  <si>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</si>
  <si>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</si>
  <si>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</si>
  <si>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</si>
  <si>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</si>
  <si>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</si>
  <si>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</si>
  <si>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</si>
  <si>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</si>
  <si>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</si>
  <si>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</si>
  <si>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</si>
  <si>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</si>
  <si>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</si>
  <si>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</si>
  <si>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</si>
  <si>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</si>
  <si>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</si>
  <si>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</si>
  <si>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</si>
  <si>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</si>
  <si>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</si>
  <si>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</si>
  <si>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</si>
  <si>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</si>
  <si>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</si>
  <si>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</si>
  <si>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</si>
  <si>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</si>
  <si>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</si>
  <si>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</si>
  <si>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</si>
  <si>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</si>
  <si>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</si>
  <si>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</si>
  <si>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</si>
  <si>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</si>
  <si>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</si>
  <si>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</si>
  <si>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</si>
  <si>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</si>
  <si>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</si>
  <si>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</si>
  <si>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</si>
  <si>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</si>
  <si>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</si>
  <si>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</si>
  <si>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</si>
  <si>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</si>
  <si>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</si>
  <si>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</si>
  <si>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</si>
  <si>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</si>
  <si>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</si>
  <si>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</si>
  <si>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</si>
  <si>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</si>
  <si>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</si>
  <si>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</si>
  <si>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</si>
  <si>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</si>
  <si>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</si>
  <si>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</si>
  <si>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</si>
  <si>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</si>
  <si>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</si>
  <si>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</si>
  <si>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</si>
  <si>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</si>
  <si>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</si>
  <si>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</si>
  <si>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</si>
  <si>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</si>
  <si>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</si>
  <si>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</si>
  <si>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</si>
  <si>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</si>
  <si>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</si>
  <si>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</si>
  <si>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</si>
  <si>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</si>
  <si>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</si>
  <si>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</si>
  <si>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</si>
  <si>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</si>
  <si>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</si>
  <si>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</si>
  <si>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</si>
  <si>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</si>
  <si>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</si>
  <si>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</si>
  <si>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</si>
  <si>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</si>
  <si>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</si>
  <si>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</si>
  <si>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</si>
  <si>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</si>
  <si>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</si>
  <si>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</si>
  <si>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</si>
  <si>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</si>
  <si>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</si>
  <si>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</si>
  <si>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</si>
  <si>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</si>
  <si>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</si>
  <si>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</si>
  <si>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</si>
  <si>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</si>
  <si>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</si>
  <si>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</si>
  <si>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</si>
  <si>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</si>
  <si>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</si>
  <si>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</si>
  <si>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</si>
  <si>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</si>
  <si>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</si>
  <si>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</si>
  <si>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</si>
  <si>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</si>
  <si>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</si>
  <si>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</si>
  <si>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</si>
  <si>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</si>
  <si>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</si>
  <si>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</si>
  <si>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</si>
  <si>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</si>
  <si>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</si>
  <si>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</si>
  <si>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</si>
  <si>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</si>
  <si>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</si>
  <si>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</si>
  <si>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</si>
  <si>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</si>
  <si>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</si>
  <si>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</si>
  <si>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</si>
  <si>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</si>
  <si>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</si>
  <si>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</si>
  <si>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</si>
  <si>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</si>
  <si>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</si>
  <si>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</si>
  <si>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</si>
  <si>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</si>
  <si>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</si>
  <si>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</si>
  <si>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</si>
  <si>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</si>
  <si>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</si>
  <si>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</si>
  <si>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</si>
  <si>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</si>
  <si>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</si>
  <si>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</si>
  <si>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</si>
  <si>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</si>
  <si>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</si>
  <si>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</si>
  <si>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</si>
  <si>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</si>
  <si>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</si>
  <si>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</si>
  <si>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</si>
  <si>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</si>
  <si>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</si>
  <si>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</si>
  <si>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</si>
  <si>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</si>
  <si>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</si>
  <si>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</si>
  <si>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</si>
  <si>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</si>
  <si>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</si>
  <si>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</si>
  <si>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</si>
  <si>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</si>
  <si>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</si>
  <si>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</si>
  <si>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</si>
  <si>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</si>
  <si>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</si>
  <si>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</si>
  <si>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</si>
  <si>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</si>
  <si>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</si>
  <si>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</si>
  <si>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</si>
  <si>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</si>
  <si>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</si>
  <si>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</si>
  <si>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</si>
  <si>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</si>
  <si>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</si>
  <si>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</si>
  <si>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</si>
  <si>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</si>
  <si>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</si>
  <si>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</si>
  <si>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</si>
  <si>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</si>
  <si>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</si>
  <si>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</si>
  <si>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</si>
  <si>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</si>
  <si>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</si>
  <si>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</si>
  <si>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</si>
  <si>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</si>
  <si>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</si>
  <si>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</si>
  <si>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</si>
  <si>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</si>
  <si>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</si>
  <si>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</si>
  <si>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</si>
  <si>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</si>
  <si>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</si>
  <si>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</si>
  <si>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</si>
  <si>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</si>
  <si>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</si>
  <si>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</si>
  <si>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</si>
  <si>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</si>
  <si>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</si>
  <si>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</si>
  <si>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</si>
  <si>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</si>
  <si>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</si>
  <si>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</si>
  <si>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</si>
  <si>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</si>
  <si>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</si>
  <si>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</si>
  <si>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</si>
  <si>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</si>
  <si>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</si>
  <si>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</si>
  <si>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</si>
  <si>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</si>
  <si>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</si>
  <si>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</si>
  <si>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</si>
  <si>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</si>
  <si>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</si>
  <si>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</si>
  <si>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</si>
  <si>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</si>
  <si>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</si>
  <si>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</si>
  <si>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</si>
  <si>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</si>
  <si>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</si>
  <si>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</si>
  <si>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</si>
  <si>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</si>
  <si>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</si>
  <si>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</si>
  <si>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</si>
  <si>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</si>
  <si>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</si>
  <si>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</si>
  <si>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</si>
  <si>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</si>
  <si>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</si>
  <si>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</si>
  <si>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</si>
  <si>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</si>
  <si>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</si>
  <si>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</si>
  <si>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</si>
  <si>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</si>
  <si>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</si>
  <si>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</si>
  <si>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</si>
  <si>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</si>
  <si>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</si>
  <si>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</si>
  <si>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</si>
  <si>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</si>
  <si>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</si>
  <si>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</si>
  <si>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</si>
  <si>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</si>
  <si>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</si>
  <si>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</si>
  <si>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</si>
  <si>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</si>
  <si>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</si>
  <si>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</si>
  <si>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</si>
  <si>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</si>
  <si>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</si>
  <si>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</si>
  <si>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</si>
  <si>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</si>
  <si>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</si>
  <si>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</si>
  <si>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</si>
  <si>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</si>
  <si>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</si>
  <si>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</si>
  <si>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</si>
  <si>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</si>
  <si>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</si>
  <si>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</si>
  <si>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</si>
  <si>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</si>
  <si>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</si>
  <si>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</si>
  <si>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</si>
  <si>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</si>
  <si>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</si>
  <si>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</si>
  <si>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</si>
  <si>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</si>
  <si>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</si>
  <si>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</si>
  <si>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</si>
  <si>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</si>
  <si>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</si>
  <si>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</si>
  <si>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</si>
  <si>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</si>
  <si>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</si>
  <si>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</si>
  <si>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</si>
  <si>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</si>
  <si>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</si>
  <si>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</si>
  <si>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</si>
  <si>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</si>
  <si>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</si>
  <si>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</si>
  <si>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</si>
  <si>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</si>
  <si>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</si>
  <si>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</si>
  <si>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</si>
  <si>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</si>
  <si>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</si>
  <si>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</si>
  <si>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</si>
  <si>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</si>
  <si>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</si>
  <si>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</si>
  <si>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</si>
  <si>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</si>
  <si>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</si>
  <si>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</si>
  <si>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</si>
  <si>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</si>
  <si>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</si>
  <si>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</si>
  <si>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</si>
  <si>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</si>
  <si>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</si>
  <si>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</si>
  <si>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</si>
  <si>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</si>
  <si>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</si>
  <si>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</si>
  <si>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</si>
  <si>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</si>
  <si>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</si>
  <si>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</si>
  <si>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</si>
  <si>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</si>
  <si>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</si>
  <si>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</si>
  <si>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</si>
  <si>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</si>
  <si>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</si>
  <si>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</si>
  <si>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</si>
  <si>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</si>
  <si>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</si>
  <si>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</si>
  <si>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</si>
  <si>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</si>
  <si>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</si>
  <si>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</si>
  <si>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</si>
  <si>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</si>
  <si>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</si>
  <si>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</si>
  <si>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</si>
  <si>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</si>
  <si>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</si>
  <si>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</si>
  <si>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</si>
  <si>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</si>
  <si>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</si>
  <si>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</si>
  <si>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</si>
  <si>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</si>
  <si>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</si>
  <si>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</si>
  <si>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</si>
  <si>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</si>
  <si>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</si>
  <si>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</si>
  <si>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</si>
  <si>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</si>
  <si>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</si>
  <si>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</si>
  <si>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</si>
  <si>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</si>
  <si>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</si>
  <si>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</si>
  <si>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</si>
  <si>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</si>
  <si>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</si>
  <si>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</si>
  <si>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</si>
  <si>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</si>
  <si>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</si>
  <si>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</si>
  <si>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</si>
  <si>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</si>
  <si>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</si>
  <si>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</si>
  <si>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</si>
  <si>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</si>
  <si>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</si>
  <si>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</si>
  <si>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</si>
  <si>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</si>
  <si>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</si>
  <si>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</si>
  <si>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</si>
  <si>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</si>
  <si>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</si>
  <si>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</si>
  <si>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</si>
  <si>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</si>
  <si>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</si>
  <si>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</si>
  <si>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</si>
  <si>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</si>
  <si>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</si>
  <si>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</si>
  <si>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</si>
  <si>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</si>
  <si>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</si>
  <si>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</si>
  <si>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</si>
  <si>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</si>
  <si>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</si>
  <si>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</si>
  <si>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</si>
  <si>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</si>
  <si>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</si>
  <si>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</si>
  <si>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</si>
  <si>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</si>
  <si>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</si>
  <si>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</si>
  <si>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</si>
  <si>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</si>
  <si>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</si>
  <si>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</si>
  <si>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</si>
  <si>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</si>
  <si>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</si>
  <si>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</si>
  <si>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</si>
  <si>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</si>
  <si>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</si>
  <si>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</si>
  <si>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</si>
  <si>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</si>
  <si>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</si>
  <si>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</si>
  <si>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</si>
  <si>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</si>
  <si>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</si>
  <si>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</si>
  <si>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</si>
  <si>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</si>
  <si>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</si>
  <si>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</si>
  <si>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</si>
  <si>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</si>
  <si>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</si>
  <si>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</si>
  <si>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</si>
  <si>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</si>
  <si>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</si>
  <si>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</si>
  <si>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</si>
  <si>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</si>
  <si>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</si>
  <si>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</si>
  <si>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</si>
  <si>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</si>
  <si>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</si>
  <si>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</si>
  <si>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</si>
  <si>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</si>
  <si>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</si>
  <si>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</si>
  <si>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</si>
  <si>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</si>
  <si>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</si>
  <si>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</si>
  <si>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</si>
  <si>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</si>
  <si>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</si>
  <si>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</si>
  <si>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</si>
  <si>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</si>
  <si>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</si>
  <si>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</si>
  <si>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</si>
  <si>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</si>
  <si>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</si>
  <si>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</si>
  <si>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</si>
  <si>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</si>
  <si>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</si>
  <si>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</si>
  <si>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</si>
  <si>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</si>
  <si>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</si>
  <si>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</si>
  <si>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</si>
  <si>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</si>
  <si>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</si>
  <si>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</si>
  <si>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</si>
  <si>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</si>
  <si>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</si>
  <si>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</si>
  <si>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</si>
  <si>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</si>
  <si>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</si>
  <si>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</si>
  <si>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</si>
  <si>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</si>
  <si>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</si>
  <si>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</si>
  <si>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</si>
  <si>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</si>
  <si>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</si>
  <si>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</si>
  <si>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</si>
  <si>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</si>
  <si>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</si>
  <si>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</si>
  <si>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</si>
  <si>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</si>
  <si>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</si>
  <si>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</si>
  <si>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</si>
  <si>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</si>
  <si>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</si>
  <si>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</si>
  <si>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</si>
  <si>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</si>
  <si>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</si>
  <si>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</si>
  <si>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</si>
  <si>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</si>
  <si>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</si>
  <si>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</si>
  <si>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</si>
  <si>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</si>
  <si>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</si>
  <si>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</si>
  <si>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</si>
  <si>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</si>
  <si>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</si>
  <si>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</si>
  <si>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</si>
  <si>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</si>
  <si>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</si>
  <si>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</si>
  <si>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</si>
  <si>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</si>
  <si>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</si>
  <si>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</si>
  <si>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</si>
  <si>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</si>
  <si>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</si>
  <si>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</si>
  <si>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</si>
  <si>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</si>
  <si>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</si>
  <si>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</si>
  <si>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</si>
  <si>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</si>
  <si>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</si>
  <si>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</si>
  <si>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</si>
  <si>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</si>
  <si>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</si>
  <si>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</si>
  <si>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</si>
  <si>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</si>
  <si>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</si>
  <si>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</si>
  <si>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</si>
  <si>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</si>
  <si>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</si>
  <si>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</si>
  <si>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</si>
  <si>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</si>
  <si>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</si>
  <si>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</si>
  <si>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</si>
  <si>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</si>
  <si>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</si>
  <si>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</si>
  <si>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</si>
  <si>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</si>
  <si>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</si>
  <si>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</si>
  <si>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</si>
  <si>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</si>
  <si>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</si>
  <si>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</si>
  <si>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</si>
  <si>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</si>
  <si>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</si>
  <si>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</si>
  <si>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</si>
  <si>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</si>
  <si>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</si>
  <si>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</si>
  <si>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</si>
  <si>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</si>
  <si>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</si>
  <si>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</si>
  <si>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</si>
  <si>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</si>
  <si>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</si>
  <si>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</si>
  <si>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</si>
  <si>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</si>
  <si>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</si>
  <si>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</si>
  <si>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</si>
  <si>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</si>
  <si>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</si>
  <si>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</si>
  <si>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</si>
  <si>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</si>
  <si>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</si>
  <si>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</si>
  <si>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</si>
  <si>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</si>
  <si>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</si>
  <si>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</si>
  <si>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</si>
  <si>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</si>
  <si>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</si>
  <si>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</si>
  <si>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</si>
  <si>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</si>
  <si>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</si>
  <si>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</si>
  <si>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</si>
  <si>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</si>
  <si>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</si>
  <si>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</si>
  <si>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</si>
  <si>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</si>
  <si>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</si>
  <si>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</si>
  <si>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</si>
  <si>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</si>
  <si>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</si>
  <si>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</si>
  <si>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</si>
  <si>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</si>
  <si>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</si>
  <si>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</si>
  <si>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</si>
  <si>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</si>
  <si>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</si>
  <si>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</si>
  <si>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</si>
  <si>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</si>
  <si>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</si>
  <si>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</si>
  <si>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</si>
  <si>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</si>
  <si>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</si>
  <si>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</si>
  <si>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</si>
  <si>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</si>
  <si>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</si>
  <si>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</si>
  <si>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</si>
  <si>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</si>
  <si>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</si>
  <si>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</si>
  <si>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</si>
  <si>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</si>
  <si>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</si>
  <si>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</si>
  <si>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</si>
  <si>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</si>
  <si>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</si>
  <si>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</si>
  <si>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</si>
  <si>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</si>
  <si>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</si>
  <si>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</si>
  <si>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</si>
  <si>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</si>
  <si>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</si>
  <si>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</si>
  <si>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</si>
  <si>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</si>
  <si>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</si>
  <si>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</si>
  <si>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</si>
  <si>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</si>
  <si>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</si>
  <si>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</si>
  <si>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</si>
  <si>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</si>
  <si>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</si>
  <si>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</si>
  <si>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</si>
  <si>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</si>
  <si>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</si>
  <si>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</si>
  <si>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</si>
  <si>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</si>
  <si>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</si>
  <si>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</si>
  <si>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</si>
  <si>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</si>
  <si>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</si>
  <si>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</si>
  <si>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</si>
  <si>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</si>
  <si>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</si>
  <si>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</si>
  <si>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</si>
  <si>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</si>
  <si>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</si>
  <si>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</si>
  <si>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</si>
  <si>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</si>
  <si>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</si>
  <si>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</si>
  <si>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</si>
  <si>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</si>
  <si>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</si>
  <si>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</si>
  <si>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</si>
  <si>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</si>
  <si>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</si>
  <si>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</si>
  <si>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</si>
  <si>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</si>
  <si>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</si>
  <si>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</si>
  <si>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</si>
  <si>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</si>
  <si>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</si>
  <si>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</si>
  <si>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</si>
  <si>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</si>
  <si>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</si>
  <si>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</si>
  <si>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</si>
  <si>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</si>
  <si>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</si>
  <si>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</si>
  <si>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</si>
  <si>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</si>
  <si>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</si>
  <si>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</si>
  <si>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</si>
  <si>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</si>
  <si>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</si>
  <si>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</si>
  <si>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</si>
  <si>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</si>
  <si>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</si>
  <si>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</si>
  <si>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</si>
  <si>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</si>
  <si>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</si>
  <si>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</si>
  <si>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</si>
  <si>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</si>
  <si>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</si>
  <si>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</si>
  <si>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</si>
  <si>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</si>
  <si>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</si>
  <si>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</si>
  <si>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</si>
  <si>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</si>
  <si>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</si>
  <si>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</si>
  <si>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</si>
  <si>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</si>
  <si>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</si>
  <si>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</si>
  <si>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</si>
  <si>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</si>
  <si>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</si>
  <si>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</si>
  <si>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</si>
  <si>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</si>
  <si>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</si>
  <si>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</si>
  <si>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</si>
  <si>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</si>
  <si>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</si>
  <si>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</si>
  <si>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</si>
  <si>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</si>
  <si>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</si>
  <si>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</si>
  <si>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</si>
  <si>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</si>
  <si>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</si>
  <si>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</si>
  <si>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</si>
  <si>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</si>
  <si>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</si>
  <si>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</si>
  <si>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</si>
  <si>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</si>
  <si>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</si>
  <si>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</si>
  <si>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</si>
  <si>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</si>
  <si>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</si>
  <si>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</si>
  <si>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</si>
  <si>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</si>
  <si>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</si>
  <si>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</si>
  <si>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</si>
  <si>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</si>
  <si>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</si>
  <si>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</si>
  <si>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</si>
  <si>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</si>
  <si>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</si>
  <si>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</si>
  <si>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</si>
  <si>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</si>
  <si>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</si>
  <si>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</si>
  <si>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</si>
  <si>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</si>
  <si>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</si>
  <si>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</si>
  <si>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</si>
  <si>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</si>
  <si>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</si>
  <si>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</si>
  <si>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</si>
  <si>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</si>
  <si>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</si>
  <si>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</si>
  <si>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</si>
  <si>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</si>
  <si>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</si>
  <si>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</si>
  <si>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</si>
  <si>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</si>
  <si>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</si>
  <si>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</si>
  <si>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</si>
  <si>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</si>
  <si>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</si>
  <si>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</si>
  <si>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</si>
  <si>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</si>
  <si>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</si>
  <si>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</si>
  <si>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</si>
  <si>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</si>
  <si>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</si>
  <si>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</si>
  <si>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</si>
  <si>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</si>
  <si>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</si>
  <si>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</si>
  <si>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</si>
  <si>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</si>
  <si>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</si>
  <si>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</si>
  <si>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</si>
  <si>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</si>
  <si>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</si>
  <si>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</si>
  <si>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</si>
  <si>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</si>
  <si>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</si>
  <si>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</si>
  <si>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</si>
  <si>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</si>
  <si>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</si>
  <si>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</si>
  <si>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</si>
  <si>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</si>
  <si>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</si>
  <si>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</si>
  <si>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</si>
  <si>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</si>
  <si>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</si>
  <si>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</si>
  <si>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</si>
  <si>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</si>
  <si>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</si>
  <si>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</si>
  <si>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</si>
  <si>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</si>
  <si>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</si>
  <si>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</si>
  <si>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</si>
  <si>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</si>
  <si>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</si>
  <si>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</si>
  <si>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</si>
  <si>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</si>
  <si>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</si>
  <si>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</si>
  <si>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</si>
  <si>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</si>
  <si>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</si>
  <si>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</si>
  <si>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</si>
  <si>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</si>
  <si>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</si>
  <si>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</si>
  <si>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</si>
  <si>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</si>
  <si>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</si>
  <si>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</si>
  <si>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</si>
  <si>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</si>
  <si>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</si>
  <si>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</si>
  <si>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</si>
  <si>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</si>
  <si>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</si>
  <si>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</si>
  <si>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</si>
  <si>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</si>
  <si>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</si>
  <si>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</si>
  <si>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</si>
  <si>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</si>
  <si>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</si>
  <si>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</si>
  <si>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</si>
  <si>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</si>
  <si>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</si>
  <si>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</si>
  <si>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</si>
  <si>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</si>
  <si>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</si>
  <si>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</si>
  <si>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</si>
  <si>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</si>
  <si>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</si>
  <si>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</si>
  <si>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</si>
  <si>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</si>
  <si>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</si>
  <si>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</si>
  <si>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</si>
  <si>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</si>
  <si>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</si>
  <si>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</si>
  <si>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</si>
  <si>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</si>
  <si>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</si>
  <si>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</si>
  <si>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</si>
  <si>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</si>
  <si>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</si>
  <si>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</si>
  <si>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</si>
  <si>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</si>
  <si>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</si>
  <si>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</si>
  <si>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</si>
  <si>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</si>
  <si>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</si>
  <si>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</si>
  <si>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</si>
  <si>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</si>
  <si>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</si>
  <si>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</si>
  <si>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</si>
  <si>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</si>
  <si>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</si>
  <si>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</si>
  <si>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</si>
  <si>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</si>
  <si>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</si>
  <si>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</si>
  <si>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</si>
  <si>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</si>
  <si>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</si>
  <si>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</si>
  <si>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</si>
  <si>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</si>
  <si>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</si>
  <si>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</si>
  <si>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</si>
  <si>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</si>
  <si>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</si>
  <si>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</si>
  <si>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</si>
  <si>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</si>
  <si>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</si>
  <si>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</si>
  <si>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</si>
  <si>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</si>
  <si>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</si>
  <si>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</si>
  <si>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</si>
  <si>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</si>
  <si>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</si>
  <si>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</si>
  <si>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</si>
  <si>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</si>
  <si>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</si>
  <si>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</si>
  <si>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</si>
  <si>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</si>
  <si>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</si>
  <si>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</si>
  <si>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</si>
  <si>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</si>
  <si>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</si>
  <si>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</si>
  <si>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</si>
  <si>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</si>
  <si>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</si>
  <si>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</si>
  <si>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</si>
  <si>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</si>
  <si>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</si>
  <si>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</si>
  <si>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</si>
  <si>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</si>
  <si>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</si>
  <si>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</si>
  <si>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</si>
  <si>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</si>
  <si>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</si>
  <si>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</si>
  <si>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</si>
  <si>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</si>
  <si>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</si>
  <si>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</si>
  <si>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</si>
  <si>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</si>
  <si>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</si>
  <si>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</si>
  <si>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</si>
  <si>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</si>
  <si>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</si>
  <si>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</si>
  <si>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</si>
  <si>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</si>
  <si>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</si>
  <si>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</si>
  <si>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</si>
  <si>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</si>
  <si>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</si>
  <si>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</si>
  <si>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</si>
  <si>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</si>
  <si>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</si>
  <si>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</si>
  <si>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</si>
  <si>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</si>
  <si>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</si>
  <si>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</si>
  <si>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</si>
  <si>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</si>
  <si>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</si>
  <si>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</si>
  <si>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</si>
  <si>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</si>
  <si>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</si>
  <si>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</si>
  <si>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</si>
  <si>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</si>
  <si>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</si>
  <si>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</si>
  <si>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</si>
  <si>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</si>
  <si>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</si>
  <si>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</si>
  <si>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</si>
  <si>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</si>
  <si>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</si>
  <si>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</si>
  <si>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</si>
  <si>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</si>
  <si>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</si>
  <si>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</si>
  <si>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</si>
  <si>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</si>
  <si>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</si>
  <si>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</si>
  <si>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</si>
  <si>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</si>
  <si>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</si>
  <si>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</si>
  <si>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</si>
  <si>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</si>
  <si>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</si>
  <si>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</si>
  <si>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</si>
  <si>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</si>
  <si>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</si>
  <si>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</si>
  <si>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</si>
  <si>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</si>
  <si>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</si>
  <si>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</si>
  <si>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</si>
  <si>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</si>
  <si>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</si>
  <si>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</si>
  <si>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</si>
  <si>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</si>
  <si>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</si>
  <si>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</si>
  <si>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</si>
  <si>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</si>
  <si>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</si>
  <si>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</si>
  <si>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</si>
  <si>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</si>
  <si>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</si>
  <si>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</si>
  <si>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</si>
  <si>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</si>
  <si>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</si>
  <si>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</si>
  <si>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</si>
  <si>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</si>
  <si>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</si>
  <si>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</si>
  <si>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</si>
  <si>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</si>
  <si>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</si>
  <si>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</si>
  <si>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</si>
  <si>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</si>
  <si>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</si>
  <si>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</si>
  <si>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</si>
  <si>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</si>
  <si>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</si>
  <si>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</si>
  <si>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</si>
  <si>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</si>
  <si>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</si>
  <si>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</si>
  <si>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</si>
  <si>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</si>
  <si>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</si>
  <si>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</si>
  <si>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</si>
  <si>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</si>
  <si>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</si>
  <si>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</si>
  <si>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</si>
  <si>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</si>
  <si>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</si>
  <si>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</si>
  <si>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</si>
  <si>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</si>
  <si>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</si>
  <si>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</si>
  <si>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</si>
  <si>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</si>
  <si>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</si>
  <si>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</si>
  <si>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</si>
  <si>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</si>
  <si>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</si>
  <si>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</si>
  <si>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</si>
  <si>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</si>
  <si>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</si>
  <si>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</si>
  <si>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</si>
  <si>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</si>
  <si>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</si>
  <si>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</si>
  <si>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</si>
  <si>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</si>
  <si>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</si>
  <si>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</si>
  <si>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</si>
  <si>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</si>
  <si>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</si>
  <si>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</si>
  <si>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</si>
  <si>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</si>
  <si>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</si>
  <si>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</si>
  <si>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</si>
  <si>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</si>
  <si>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</si>
  <si>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</si>
  <si>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</si>
  <si>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</si>
  <si>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</si>
  <si>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</si>
  <si>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</si>
  <si>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</si>
  <si>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</si>
  <si>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</si>
  <si>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</si>
  <si>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</si>
  <si>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</si>
  <si>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</si>
  <si>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</si>
  <si>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</si>
  <si>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</si>
  <si>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</si>
  <si>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</si>
  <si>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</si>
  <si>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</si>
  <si>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</si>
  <si>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</si>
  <si>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</si>
  <si>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</si>
  <si>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</si>
  <si>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</si>
  <si>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</si>
  <si>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</si>
  <si>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</si>
  <si>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</si>
  <si>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</si>
  <si>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</si>
  <si>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</si>
  <si>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</si>
  <si>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</si>
  <si>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</si>
  <si>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</si>
  <si>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</si>
  <si>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</si>
  <si>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</si>
  <si>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</si>
  <si>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</si>
  <si>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</si>
  <si>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</si>
  <si>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</si>
  <si>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</si>
  <si>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</si>
  <si>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</si>
  <si>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</si>
  <si>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</si>
  <si>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</si>
  <si>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</si>
  <si>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</si>
  <si>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</si>
  <si>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</si>
  <si>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</si>
  <si>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</si>
  <si>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</si>
  <si>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</si>
  <si>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</si>
  <si>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</si>
  <si>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</si>
  <si>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</si>
  <si>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</si>
  <si>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</si>
  <si>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</si>
  <si>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</si>
  <si>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</si>
  <si>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</si>
  <si>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</si>
  <si>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</si>
  <si>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</si>
  <si>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</si>
  <si>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</si>
  <si>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</si>
  <si>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</si>
  <si>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</si>
  <si>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</si>
  <si>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</si>
  <si>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</si>
  <si>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</si>
  <si>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</si>
  <si>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</si>
  <si>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</si>
  <si>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</si>
  <si>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</si>
  <si>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</si>
  <si>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</si>
  <si>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</si>
  <si>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</si>
  <si>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</si>
  <si>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</si>
  <si>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</si>
  <si>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</si>
  <si>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</si>
  <si>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</si>
  <si>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</si>
  <si>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</si>
  <si>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</si>
  <si>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</si>
  <si>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</si>
  <si>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</si>
  <si>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</si>
  <si>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</si>
  <si>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</si>
  <si>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</si>
  <si>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</si>
  <si>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</si>
  <si>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</si>
  <si>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</si>
  <si>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</si>
  <si>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</si>
  <si>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</si>
  <si>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</si>
  <si>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</si>
  <si>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</si>
  <si>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</si>
  <si>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</si>
  <si>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</si>
  <si>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</si>
  <si>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</si>
  <si>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</si>
  <si>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</si>
  <si>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</si>
  <si>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</si>
  <si>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</si>
  <si>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</si>
  <si>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</si>
  <si>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</si>
  <si>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</si>
  <si>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</si>
  <si>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</si>
  <si>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</si>
  <si>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</si>
  <si>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</si>
  <si>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</si>
  <si>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</si>
  <si>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</si>
  <si>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</si>
  <si>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</si>
  <si>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</si>
  <si>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</si>
  <si>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</si>
  <si>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</si>
  <si>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</si>
  <si>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</si>
  <si>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</si>
  <si>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</si>
  <si>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</si>
  <si>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</si>
  <si>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</si>
  <si>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</si>
  <si>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</si>
  <si>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</si>
  <si>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</si>
  <si>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</si>
  <si>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</si>
  <si>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</si>
  <si>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</si>
  <si>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</si>
  <si>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</si>
  <si>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</si>
  <si>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</si>
  <si>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</si>
  <si>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</si>
  <si>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</si>
  <si>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</si>
  <si>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</si>
  <si>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</si>
  <si>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</si>
  <si>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</si>
  <si>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</si>
  <si>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</si>
  <si>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</si>
  <si>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</si>
  <si>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</si>
  <si>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</si>
  <si>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</si>
  <si>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</si>
  <si>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</si>
  <si>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</si>
  <si>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</si>
  <si>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</si>
  <si>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</si>
  <si>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</si>
  <si>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</si>
  <si>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</si>
  <si>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</si>
  <si>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</si>
  <si>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</si>
  <si>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</si>
  <si>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</si>
  <si>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</si>
  <si>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</si>
  <si>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</si>
  <si>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</si>
  <si>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</si>
  <si>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</si>
  <si>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</si>
  <si>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</si>
  <si>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</si>
  <si>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</si>
  <si>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</si>
  <si>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</si>
  <si>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</si>
  <si>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</si>
  <si>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</si>
  <si>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</si>
  <si>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</si>
  <si>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</si>
  <si>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</si>
  <si>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</si>
  <si>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</si>
  <si>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</si>
  <si>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</si>
  <si>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</si>
  <si>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</si>
  <si>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</si>
  <si>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</si>
  <si>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</si>
  <si>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</si>
  <si>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</si>
  <si>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</si>
  <si>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</si>
  <si>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</si>
  <si>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</si>
  <si>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</si>
  <si>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</si>
  <si>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</si>
  <si>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</si>
  <si>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</si>
  <si>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</si>
  <si>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</si>
  <si>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</si>
  <si>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</si>
  <si>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</si>
  <si>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</si>
  <si>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</si>
  <si>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</si>
  <si>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</si>
  <si>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</si>
  <si>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</si>
  <si>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</si>
  <si>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</si>
  <si>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</si>
  <si>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</si>
  <si>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</si>
  <si>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</si>
  <si>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</si>
  <si>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</si>
  <si>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</si>
  <si>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</si>
  <si>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</si>
  <si>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</si>
  <si>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</si>
  <si>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</si>
  <si>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</si>
  <si>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</si>
  <si>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</si>
  <si>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</si>
  <si>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</si>
  <si>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</si>
  <si>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</si>
  <si>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</si>
  <si>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</si>
  <si>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</si>
  <si>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</si>
  <si>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</si>
  <si>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</si>
  <si>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</si>
  <si>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</si>
  <si>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</si>
  <si>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</si>
  <si>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</si>
  <si>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</si>
  <si>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</si>
  <si>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</si>
  <si>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</si>
  <si>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</si>
  <si>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</si>
  <si>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</si>
  <si>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</si>
  <si>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</si>
  <si>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</si>
  <si>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</si>
  <si>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</si>
  <si>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</si>
  <si>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</si>
  <si>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</si>
  <si>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</si>
  <si>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</si>
  <si>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</si>
  <si>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</si>
  <si>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</si>
  <si>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</si>
  <si>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</si>
  <si>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</si>
  <si>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</si>
  <si>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</si>
  <si>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</si>
  <si>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</si>
  <si>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</si>
  <si>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</si>
  <si>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</si>
  <si>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</si>
  <si>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</si>
  <si>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</si>
  <si>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</si>
  <si>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</si>
  <si>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</si>
  <si>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</si>
  <si>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</si>
  <si>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</si>
  <si>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</si>
  <si>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</si>
  <si>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</si>
  <si>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</si>
  <si>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</si>
  <si>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</si>
  <si>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</si>
  <si>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</si>
  <si>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</si>
  <si>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</si>
  <si>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</si>
  <si>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</si>
  <si>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</si>
  <si>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</si>
  <si>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</si>
  <si>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</si>
  <si>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</si>
  <si>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</si>
  <si>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</si>
  <si>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</si>
  <si>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</si>
  <si>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</si>
  <si>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</si>
  <si>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</si>
  <si>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</si>
  <si>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</si>
  <si>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</si>
  <si>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</si>
  <si>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</si>
  <si>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</si>
  <si>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</si>
  <si>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</si>
  <si>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</si>
  <si>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</si>
  <si>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</si>
  <si>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</si>
  <si>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</si>
  <si>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</si>
  <si>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</si>
  <si>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</si>
  <si>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</si>
  <si>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</si>
  <si>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</si>
  <si>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</si>
  <si>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</si>
  <si>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</si>
  <si>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</si>
  <si>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</si>
  <si>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</si>
  <si>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</si>
  <si>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</si>
  <si>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</si>
  <si>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</si>
  <si>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</si>
  <si>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</si>
  <si>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</si>
  <si>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</si>
  <si>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</si>
  <si>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</si>
  <si>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</si>
  <si>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</si>
  <si>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</si>
  <si>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</si>
  <si>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</si>
  <si>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</si>
  <si>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</si>
  <si>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</si>
  <si>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</si>
  <si>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</si>
  <si>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</si>
  <si>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</si>
  <si>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</si>
  <si>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</si>
  <si>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</si>
  <si>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</si>
  <si>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</si>
  <si>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</si>
  <si>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</si>
  <si>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</si>
  <si>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</si>
  <si>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</si>
  <si>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</si>
  <si>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</si>
  <si>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</si>
  <si>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</si>
  <si>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</si>
  <si>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</si>
  <si>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</si>
  <si>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</si>
  <si>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</si>
  <si>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</si>
  <si>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</si>
  <si>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</si>
  <si>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</si>
  <si>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</si>
  <si>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</si>
  <si>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</si>
  <si>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</si>
  <si>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</si>
  <si>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</si>
  <si>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</si>
  <si>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</si>
  <si>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</si>
  <si>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</si>
  <si>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</si>
  <si>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</si>
  <si>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</si>
  <si>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</si>
  <si>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</si>
  <si>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</si>
  <si>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</si>
  <si>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</si>
  <si>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</si>
  <si>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</si>
  <si>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</si>
  <si>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</si>
  <si>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</si>
  <si>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</si>
  <si>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</si>
  <si>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</si>
  <si>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</si>
  <si>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</si>
  <si>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</si>
  <si>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</si>
  <si>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</si>
  <si>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</si>
  <si>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</si>
  <si>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</si>
  <si>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</si>
  <si>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</si>
  <si>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</si>
  <si>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</si>
  <si>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</si>
  <si>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</si>
  <si>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</si>
  <si>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</si>
  <si>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</si>
  <si>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</si>
  <si>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</si>
  <si>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</si>
  <si>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</si>
  <si>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</si>
  <si>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</si>
  <si>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</si>
  <si>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</si>
  <si>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</si>
  <si>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</si>
  <si>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</si>
  <si>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</si>
  <si>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</si>
  <si>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</si>
  <si>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</si>
  <si>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</si>
  <si>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</si>
  <si>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</si>
  <si>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</si>
  <si>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</si>
  <si>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</si>
  <si>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</si>
  <si>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</si>
  <si>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</si>
  <si>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</si>
  <si>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</si>
  <si>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</si>
  <si>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</si>
  <si>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</si>
  <si>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</si>
  <si>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</si>
  <si>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</si>
  <si>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</si>
  <si>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</si>
  <si>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</si>
  <si>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</si>
  <si>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</si>
  <si>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</si>
  <si>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</si>
  <si>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</si>
  <si>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</si>
  <si>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</si>
  <si>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</si>
  <si>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</si>
  <si>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</si>
  <si>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</si>
  <si>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</si>
  <si>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</si>
  <si>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</si>
  <si>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</si>
  <si>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</si>
  <si>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</si>
  <si>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</si>
  <si>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</si>
  <si>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</si>
  <si>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</si>
  <si>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</si>
  <si>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</si>
  <si>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</si>
  <si>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</si>
  <si>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</si>
  <si>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</si>
  <si>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</si>
  <si>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</si>
  <si>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</si>
  <si>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</si>
  <si>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</si>
  <si>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</si>
  <si>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</si>
  <si>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</si>
  <si>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</si>
  <si>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</si>
  <si>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</si>
  <si>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</si>
  <si>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</si>
  <si>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</si>
  <si>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</si>
  <si>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</si>
  <si>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</si>
  <si>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</si>
  <si>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</si>
  <si>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</si>
  <si>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</si>
  <si>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</si>
  <si>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</si>
  <si>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</si>
  <si>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</si>
  <si>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</si>
  <si>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</si>
  <si>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</si>
  <si>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</si>
  <si>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</si>
  <si>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</si>
  <si>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</si>
  <si>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</si>
  <si>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</si>
  <si>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</si>
  <si>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</si>
  <si>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</si>
  <si>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</si>
  <si>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</si>
  <si>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</si>
  <si>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</si>
  <si>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</si>
  <si>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</si>
  <si>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</si>
  <si>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</si>
  <si>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</si>
  <si>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</si>
  <si>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</si>
  <si>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</si>
  <si>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</si>
  <si>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</si>
  <si>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</si>
  <si>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</si>
  <si>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</si>
  <si>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</si>
  <si>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</si>
  <si>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</si>
  <si>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</si>
  <si>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</si>
  <si>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</si>
  <si>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</si>
  <si>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</si>
  <si>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</si>
  <si>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</si>
  <si>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</si>
  <si>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</si>
  <si>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</si>
  <si>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</si>
  <si>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</si>
  <si>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</si>
  <si>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</si>
  <si>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</si>
  <si>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</si>
  <si>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</si>
  <si>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</si>
  <si>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</si>
  <si>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</si>
  <si>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</si>
  <si>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</si>
  <si>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</si>
  <si>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</si>
  <si>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</si>
  <si>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</si>
  <si>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</si>
  <si>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</si>
  <si>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</si>
  <si>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</si>
  <si>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</si>
  <si>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</si>
  <si>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</si>
  <si>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</si>
  <si>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</si>
  <si>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</si>
  <si>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</si>
  <si>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</si>
  <si>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</si>
  <si>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</si>
  <si>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</si>
  <si>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</si>
  <si>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</si>
  <si>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</si>
  <si>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</si>
  <si>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</si>
  <si>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</si>
  <si>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</si>
  <si>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</si>
  <si>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</si>
  <si>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</si>
  <si>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</si>
  <si>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</si>
  <si>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</si>
  <si>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</si>
  <si>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</si>
  <si>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</si>
  <si>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</si>
  <si>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</si>
  <si>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</si>
  <si>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</si>
  <si>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</si>
  <si>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</si>
  <si>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</si>
  <si>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</si>
  <si>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</si>
  <si>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</si>
  <si>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</si>
  <si>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</si>
  <si>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</si>
  <si>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</si>
  <si>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</si>
  <si>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</si>
  <si>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</si>
  <si>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</si>
  <si>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</si>
  <si>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</si>
  <si>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</si>
  <si>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</si>
  <si>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</si>
  <si>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</si>
  <si>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</si>
  <si>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</si>
  <si>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</si>
  <si>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</si>
  <si>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</si>
  <si>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</si>
  <si>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</si>
  <si>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</si>
  <si>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</si>
  <si>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</si>
  <si>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</si>
  <si>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</si>
  <si>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</si>
  <si>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</si>
  <si>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</si>
  <si>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</si>
  <si>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</si>
  <si>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</si>
  <si>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</si>
  <si>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</si>
  <si>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</si>
  <si>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</si>
  <si>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</si>
  <si>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</si>
  <si>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</si>
  <si>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</si>
  <si>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</si>
  <si>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</si>
  <si>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</si>
  <si>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</si>
  <si>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</si>
  <si>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</si>
  <si>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</si>
  <si>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</si>
  <si>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</si>
  <si>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</si>
  <si>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</si>
  <si>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</si>
  <si>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</si>
  <si>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</si>
  <si>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</si>
  <si>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</si>
  <si>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</si>
  <si>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</si>
  <si>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</si>
  <si>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</si>
  <si>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</si>
  <si>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</si>
  <si>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</si>
  <si>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</si>
  <si>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</si>
  <si>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</si>
  <si>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</si>
  <si>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</si>
  <si>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</si>
  <si>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</si>
  <si>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</si>
  <si>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</si>
  <si>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</si>
  <si>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</si>
  <si>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</si>
  <si>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</si>
  <si>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</si>
  <si>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</si>
  <si>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</si>
  <si>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</si>
  <si>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</si>
  <si>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</si>
  <si>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</si>
  <si>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</si>
  <si>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</si>
  <si>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</si>
  <si>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</si>
  <si>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</si>
  <si>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</si>
  <si>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</si>
  <si>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</si>
  <si>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</si>
  <si>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</si>
  <si>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</si>
  <si>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</si>
  <si>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</si>
  <si>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</si>
  <si>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</si>
  <si>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</si>
  <si>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</si>
  <si>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</si>
  <si>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</si>
  <si>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</si>
  <si>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</si>
  <si>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</si>
  <si>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</si>
  <si>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</si>
  <si>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</si>
  <si>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</si>
  <si>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</si>
  <si>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</si>
  <si>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</si>
  <si>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</si>
  <si>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</si>
  <si>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</si>
  <si>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</si>
  <si>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</si>
  <si>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</si>
  <si>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</si>
  <si>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</si>
  <si>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</si>
  <si>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</si>
  <si>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</si>
  <si>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</si>
  <si>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</si>
  <si>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</si>
  <si>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</si>
  <si>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</si>
  <si>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</si>
  <si>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</si>
  <si>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</si>
  <si>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</si>
  <si>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</si>
  <si>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</si>
  <si>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</si>
  <si>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</si>
  <si>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</si>
  <si>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</si>
  <si>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</si>
  <si>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</si>
  <si>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</si>
  <si>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</si>
  <si>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</si>
  <si>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</si>
  <si>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</si>
  <si>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</si>
  <si>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</si>
  <si>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</si>
  <si>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</si>
  <si>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</si>
  <si>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</si>
  <si>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</si>
  <si>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</si>
  <si>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</si>
  <si>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</si>
  <si>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</si>
  <si>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</si>
  <si>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</si>
  <si>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</si>
  <si>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</si>
  <si>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</si>
  <si>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</si>
  <si>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</si>
  <si>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</si>
  <si>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</si>
  <si>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</si>
  <si>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</si>
  <si>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</si>
  <si>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</si>
  <si>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</si>
  <si>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</si>
  <si>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</si>
  <si>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</si>
  <si>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</si>
  <si>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</si>
  <si>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</si>
  <si>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</si>
  <si>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</si>
  <si>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</si>
  <si>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</si>
  <si>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</si>
  <si>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</si>
  <si>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</si>
  <si>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</si>
  <si>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</si>
  <si>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</si>
  <si>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</si>
  <si>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</si>
  <si>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</si>
  <si>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</si>
  <si>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</si>
  <si>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</si>
  <si>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</si>
  <si>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</si>
  <si>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</si>
  <si>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</si>
  <si>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</si>
  <si>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</si>
  <si>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</si>
  <si>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</si>
  <si>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</si>
  <si>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</si>
  <si>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</si>
  <si>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</si>
  <si>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</si>
  <si>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</si>
  <si>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</si>
  <si>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</si>
  <si>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</si>
  <si>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</si>
  <si>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</si>
  <si>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</si>
  <si>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</si>
  <si>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</si>
  <si>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</si>
  <si>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</si>
  <si>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</si>
  <si>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</si>
  <si>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</si>
  <si>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</si>
  <si>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</si>
  <si>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</si>
  <si>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</si>
  <si>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</si>
  <si>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</si>
  <si>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</si>
  <si>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</si>
  <si>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</si>
  <si>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</si>
  <si>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</si>
  <si>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</si>
  <si>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</si>
  <si>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</si>
  <si>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</si>
  <si>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</si>
  <si>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</si>
  <si>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</si>
  <si>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</si>
  <si>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</si>
  <si>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</si>
  <si>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</si>
  <si>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</si>
  <si>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</si>
  <si>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</si>
  <si>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</si>
  <si>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</si>
  <si>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</si>
  <si>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</si>
  <si>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</si>
  <si>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</si>
  <si>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</si>
  <si>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</si>
  <si>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</si>
  <si>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</si>
  <si>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</si>
  <si>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</si>
  <si>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</si>
  <si>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</si>
  <si>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</si>
  <si>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</si>
  <si>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</si>
  <si>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</si>
  <si>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</si>
  <si>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</si>
  <si>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</si>
  <si>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</si>
  <si>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</si>
  <si>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</si>
  <si>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</si>
  <si>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</si>
  <si>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</si>
  <si>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</si>
  <si>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</si>
  <si>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</si>
  <si>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</si>
  <si>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</si>
  <si>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</si>
  <si>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</si>
  <si>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</si>
  <si>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</si>
  <si>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</si>
  <si>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</si>
  <si>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</si>
  <si>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</si>
  <si>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</si>
  <si>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</si>
  <si>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</si>
  <si>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</si>
  <si>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</si>
  <si>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</si>
  <si>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</si>
  <si>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</si>
  <si>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</si>
  <si>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</si>
  <si>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</si>
  <si>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</si>
  <si>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</si>
  <si>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</si>
  <si>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</si>
  <si>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</si>
  <si>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</si>
  <si>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</si>
  <si>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</si>
  <si>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</si>
  <si>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</si>
  <si>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</si>
  <si>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</si>
  <si>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</si>
  <si>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</si>
  <si>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</si>
  <si>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</si>
  <si>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</si>
  <si>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</si>
  <si>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</si>
  <si>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</si>
  <si>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</si>
  <si>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</si>
  <si>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</si>
  <si>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</si>
  <si>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</si>
  <si>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</si>
  <si>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</si>
  <si>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</si>
  <si>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</si>
  <si>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</si>
  <si>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</si>
  <si>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</si>
  <si>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</si>
  <si>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</si>
  <si>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</si>
  <si>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</si>
  <si>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</si>
  <si>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</si>
  <si>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</si>
  <si>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</si>
  <si>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</si>
  <si>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</si>
  <si>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</si>
  <si>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</si>
  <si>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</si>
  <si>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</si>
  <si>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</si>
  <si>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</si>
  <si>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</si>
  <si>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</si>
  <si>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</si>
  <si>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</si>
  <si>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</si>
  <si>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</si>
  <si>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</si>
  <si>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</si>
  <si>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</si>
  <si>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</si>
  <si>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</si>
  <si>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</si>
  <si>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</si>
  <si>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</si>
  <si>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</si>
  <si>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</si>
  <si>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</si>
  <si>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</si>
  <si>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</si>
  <si>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</si>
  <si>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</si>
  <si>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</si>
  <si>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</si>
  <si>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</si>
  <si>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</si>
  <si>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</si>
  <si>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</si>
  <si>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</si>
  <si>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</si>
  <si>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</si>
  <si>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</si>
  <si>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</si>
  <si>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</si>
  <si>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</si>
  <si>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</si>
  <si>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</si>
  <si>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</si>
  <si>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</si>
  <si>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</si>
  <si>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</si>
  <si>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</si>
  <si>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</si>
  <si>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</si>
  <si>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</si>
  <si>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</si>
  <si>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</si>
  <si>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</si>
  <si>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</si>
  <si>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</si>
  <si>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</si>
  <si>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</si>
  <si>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</si>
  <si>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</si>
  <si>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</si>
  <si>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</si>
  <si>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</si>
  <si>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</si>
  <si>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</si>
  <si>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</si>
  <si>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2023-1</t>
    <phoneticPr fontId="4" type="noConversion"/>
  </si>
  <si>
    <t>2022-4</t>
    <phoneticPr fontId="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</si>
  <si>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</si>
  <si>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</si>
  <si>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</si>
  <si>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</si>
  <si>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</si>
  <si>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</si>
  <si>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</si>
  <si>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</si>
  <si>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</si>
  <si>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</si>
  <si>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</si>
  <si>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</si>
  <si>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</si>
  <si>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</si>
  <si>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</si>
  <si>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</si>
  <si>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</si>
  <si>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</si>
  <si>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</si>
  <si>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</si>
  <si>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</si>
  <si>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</si>
  <si>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</si>
  <si>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</si>
  <si>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</si>
  <si>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</si>
  <si>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</si>
  <si>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</si>
  <si>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</si>
  <si>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</si>
  <si>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</si>
  <si>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</si>
  <si>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</si>
  <si>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</si>
  <si>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</si>
  <si>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</si>
  <si>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</si>
  <si>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</si>
  <si>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</si>
  <si>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</si>
  <si>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</si>
  <si>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</si>
  <si>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</si>
  <si>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</si>
  <si>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</si>
  <si>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</si>
  <si>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</si>
  <si>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</si>
  <si>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</si>
  <si>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</si>
  <si>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</si>
  <si>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</si>
  <si>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</si>
  <si>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</si>
  <si>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</si>
  <si>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</si>
  <si>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</si>
  <si>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</si>
  <si>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</si>
  <si>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</si>
  <si>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</si>
  <si>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</si>
  <si>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</si>
  <si>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</si>
  <si>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</si>
  <si>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</si>
  <si>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</si>
  <si>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</si>
  <si>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</si>
  <si>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</si>
  <si>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</si>
  <si>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</si>
  <si>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</si>
  <si>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</si>
  <si>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</si>
  <si>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</si>
  <si>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</si>
  <si>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</si>
  <si>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</si>
  <si>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</si>
  <si>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</si>
  <si>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</si>
  <si>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</si>
  <si>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</si>
  <si>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</si>
  <si>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</si>
  <si>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</si>
  <si>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</si>
  <si>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</si>
  <si>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</si>
  <si>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</si>
  <si>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</si>
  <si>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</si>
  <si>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</si>
  <si>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</si>
  <si>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</si>
  <si>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</si>
  <si>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</si>
  <si>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</si>
  <si>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</si>
  <si>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</si>
  <si>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</si>
  <si>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</si>
  <si>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</si>
  <si>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</si>
  <si>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</si>
  <si>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</si>
  <si>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</si>
  <si>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</si>
  <si>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</si>
  <si>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</si>
  <si>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</si>
  <si>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</si>
  <si>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</si>
  <si>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</si>
  <si>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</si>
  <si>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</si>
  <si>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</si>
  <si>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</si>
  <si>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</si>
  <si>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</si>
  <si>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</si>
  <si>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</si>
  <si>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</si>
  <si>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</si>
  <si>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</si>
  <si>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</si>
  <si>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</si>
  <si>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</si>
  <si>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</si>
  <si>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</si>
  <si>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</si>
  <si>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</si>
  <si>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</si>
  <si>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</si>
  <si>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</si>
  <si>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</si>
  <si>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</si>
  <si>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</si>
  <si>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</si>
  <si>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</si>
  <si>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</si>
  <si>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</si>
  <si>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</si>
  <si>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</si>
  <si>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</si>
  <si>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</si>
  <si>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</si>
  <si>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</si>
  <si>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</si>
  <si>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</si>
  <si>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</si>
  <si>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</si>
  <si>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</si>
  <si>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</si>
  <si>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</si>
  <si>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</si>
  <si>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</si>
  <si>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</si>
  <si>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</si>
  <si>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</si>
  <si>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</si>
  <si>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</si>
  <si>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</si>
  <si>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</si>
  <si>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</si>
  <si>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</si>
  <si>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</si>
  <si>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</si>
  <si>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</si>
  <si>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</si>
  <si>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</si>
  <si>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</si>
  <si>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</si>
  <si>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</si>
  <si>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</si>
  <si>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</si>
  <si>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</si>
  <si>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</si>
  <si>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</si>
  <si>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</si>
  <si>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</si>
  <si>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</si>
  <si>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</si>
  <si>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</si>
  <si>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</si>
  <si>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</si>
  <si>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</si>
  <si>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</si>
  <si>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</si>
  <si>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</si>
  <si>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</si>
  <si>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</si>
  <si>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</si>
  <si>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</si>
  <si>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</si>
  <si>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</si>
  <si>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</si>
  <si>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</si>
  <si>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</si>
  <si>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</si>
  <si>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</si>
  <si>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</si>
  <si>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</si>
  <si>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</si>
  <si>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</si>
  <si>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</si>
  <si>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</si>
  <si>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</si>
  <si>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</si>
  <si>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</si>
  <si>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</si>
  <si>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</si>
  <si>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</si>
  <si>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</si>
  <si>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</si>
  <si>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</si>
  <si>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</si>
  <si>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</si>
  <si>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</si>
  <si>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</si>
  <si>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</si>
  <si>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</si>
  <si>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</si>
  <si>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</si>
  <si>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</si>
  <si>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</si>
  <si>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</si>
  <si>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</si>
  <si>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</si>
  <si>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</si>
  <si>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</si>
  <si>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</si>
  <si>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</si>
  <si>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</si>
  <si>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</si>
  <si>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</si>
  <si>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</si>
  <si>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</si>
  <si>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</si>
  <si>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</si>
  <si>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</si>
  <si>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</si>
  <si>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</si>
  <si>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</si>
  <si>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</si>
  <si>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</si>
  <si>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</si>
  <si>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</si>
  <si>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</si>
  <si>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</si>
  <si>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</si>
  <si>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</si>
  <si>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</si>
  <si>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</si>
  <si>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</si>
  <si>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</si>
  <si>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</si>
  <si>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</si>
  <si>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</si>
  <si>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</si>
  <si>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</si>
  <si>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</si>
  <si>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</si>
  <si>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</si>
  <si>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</si>
  <si>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</si>
  <si>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</si>
  <si>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</si>
  <si>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</si>
  <si>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</si>
  <si>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</si>
  <si>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</si>
  <si>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</si>
  <si>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</si>
  <si>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</si>
  <si>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</si>
  <si>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</si>
  <si>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</si>
  <si>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</si>
  <si>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</si>
  <si>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</si>
  <si>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</si>
  <si>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</si>
  <si>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</si>
  <si>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</si>
  <si>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</si>
  <si>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</si>
  <si>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</si>
  <si>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</si>
  <si>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</si>
  <si>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</si>
  <si>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</si>
  <si>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</si>
  <si>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</si>
  <si>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</si>
  <si>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</si>
  <si>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</si>
  <si>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</si>
  <si>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</si>
  <si>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</si>
  <si>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</si>
  <si>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</si>
  <si>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</si>
  <si>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</si>
  <si>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</si>
  <si>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</si>
  <si>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</si>
  <si>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</si>
  <si>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</si>
  <si>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</si>
  <si>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</si>
  <si>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</si>
  <si>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</si>
  <si>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</si>
  <si>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</si>
  <si>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</si>
  <si>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</si>
  <si>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</si>
  <si>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</si>
  <si>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</si>
  <si>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</si>
  <si>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</si>
  <si>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</si>
  <si>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</si>
  <si>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</si>
  <si>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</si>
  <si>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</si>
  <si>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</si>
  <si>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</si>
  <si>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</si>
  <si>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</si>
  <si>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</si>
  <si>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</si>
  <si>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</si>
  <si>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</si>
  <si>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</si>
  <si>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</si>
  <si>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</si>
  <si>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</si>
  <si>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</si>
  <si>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</si>
  <si>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</si>
  <si>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</si>
  <si>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</si>
  <si>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</si>
  <si>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</si>
  <si>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</si>
  <si>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</si>
  <si>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</si>
  <si>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</si>
  <si>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</si>
  <si>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</si>
  <si>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</si>
  <si>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</si>
  <si>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</si>
  <si>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</si>
  <si>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</si>
  <si>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</si>
  <si>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</si>
  <si>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</si>
  <si>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</si>
  <si>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</si>
  <si>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</si>
  <si>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</si>
  <si>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</si>
  <si>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</si>
  <si>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</si>
  <si>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</si>
  <si>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</si>
  <si>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</si>
  <si>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</si>
  <si>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</si>
  <si>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</si>
  <si>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</si>
  <si>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</si>
  <si>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</si>
  <si>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</si>
  <si>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</si>
  <si>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</si>
  <si>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</si>
  <si>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</si>
  <si>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</si>
  <si>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</si>
  <si>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</si>
  <si>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</si>
  <si>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</si>
  <si>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</si>
  <si>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</si>
  <si>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</si>
  <si>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</si>
  <si>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</si>
  <si>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</si>
  <si>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</si>
  <si>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</si>
  <si>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</si>
  <si>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</si>
  <si>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</si>
  <si>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</si>
  <si>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</si>
  <si>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</si>
  <si>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</si>
  <si>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</si>
  <si>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</si>
  <si>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</si>
  <si>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</si>
  <si>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</si>
  <si>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</si>
  <si>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</si>
  <si>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</si>
  <si>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</si>
  <si>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</si>
  <si>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</si>
  <si>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</si>
  <si>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</si>
  <si>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</si>
  <si>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</si>
  <si>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</si>
  <si>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</si>
  <si>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</si>
  <si>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</si>
  <si>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</si>
  <si>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</si>
  <si>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</si>
  <si>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</si>
  <si>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</si>
  <si>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</si>
  <si>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</si>
  <si>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</si>
  <si>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</si>
  <si>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</si>
  <si>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</si>
  <si>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</si>
  <si>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</si>
  <si>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</si>
  <si>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</si>
  <si>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</si>
  <si>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</si>
  <si>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</si>
  <si>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</si>
  <si>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</si>
  <si>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</si>
  <si>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</si>
  <si>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</si>
  <si>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</si>
  <si>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</si>
  <si>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</si>
  <si>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</si>
  <si>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</si>
  <si>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</si>
  <si>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</si>
  <si>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</si>
  <si>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</si>
  <si>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</si>
  <si>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</si>
  <si>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</si>
  <si>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</si>
  <si>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</si>
  <si>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</si>
  <si>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</si>
  <si>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</si>
  <si>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</si>
  <si>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</si>
  <si>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</si>
  <si>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</si>
  <si>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</si>
  <si>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</si>
  <si>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</si>
  <si>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</si>
  <si>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</si>
  <si>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</si>
  <si>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</si>
  <si>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</si>
  <si>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</si>
  <si>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</si>
  <si>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</si>
  <si>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</si>
  <si>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</si>
  <si>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</si>
  <si>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</si>
  <si>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</si>
  <si>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</si>
  <si>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</si>
  <si>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</si>
  <si>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</si>
  <si>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</si>
  <si>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</si>
  <si>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</si>
  <si>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</si>
  <si>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</si>
  <si>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</si>
  <si>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</si>
  <si>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</si>
  <si>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</si>
  <si>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</si>
  <si>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</si>
  <si>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</si>
  <si>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</si>
  <si>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</si>
  <si>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</si>
  <si>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</si>
  <si>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</si>
  <si>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</si>
  <si>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</si>
  <si>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</si>
  <si>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</si>
  <si>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</si>
  <si>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</si>
  <si>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</si>
  <si>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</si>
  <si>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</si>
  <si>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</si>
  <si>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</si>
  <si>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</si>
  <si>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</si>
  <si>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</si>
  <si>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</si>
  <si>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</si>
  <si>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</si>
  <si>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</si>
  <si>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</si>
  <si>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</si>
  <si>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</si>
  <si>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</si>
  <si>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</si>
  <si>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</si>
  <si>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</si>
  <si>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</si>
  <si>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</si>
  <si>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</si>
  <si>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</si>
  <si>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</si>
  <si>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</si>
  <si>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</si>
  <si>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</si>
  <si>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</si>
  <si>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</si>
  <si>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</si>
  <si>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</si>
  <si>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</si>
  <si>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</si>
  <si>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</si>
  <si>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</si>
  <si>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</si>
  <si>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</si>
  <si>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</si>
  <si>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2022-4</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</si>
  <si>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</si>
  <si>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</si>
  <si>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</si>
  <si>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</si>
  <si>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</si>
  <si>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</si>
  <si>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抵押</t>
  </si>
  <si>
    <t>房地产抵押价值</t>
  </si>
  <si>
    <t>北京市</t>
  </si>
  <si>
    <t>企业</t>
  </si>
  <si>
    <t>Ⅱ—13</t>
  </si>
  <si>
    <t>是</t>
  </si>
  <si>
    <t>序号</t>
  </si>
  <si>
    <t>序号</t>
    <phoneticPr fontId="135" type="noConversion"/>
  </si>
  <si>
    <t>坐落</t>
    <phoneticPr fontId="135" type="noConversion"/>
  </si>
  <si>
    <t>所在楼层</t>
    <phoneticPr fontId="135" type="noConversion"/>
  </si>
  <si>
    <t>总楼层</t>
    <phoneticPr fontId="135" type="noConversion"/>
  </si>
  <si>
    <t>建筑面积</t>
    <phoneticPr fontId="135" type="noConversion"/>
  </si>
  <si>
    <t>竣工</t>
    <phoneticPr fontId="135" type="noConversion"/>
  </si>
  <si>
    <r>
      <t>朝阳区新东路12号院</t>
    </r>
    <r>
      <rPr>
        <sz val="11"/>
        <color theme="1"/>
        <rFont val="宋体"/>
        <family val="3"/>
        <charset val="134"/>
        <scheme val="minor"/>
      </rPr>
      <t>1、2、3、4号楼地下室-1层-001</t>
    </r>
    <phoneticPr fontId="135" type="noConversion"/>
  </si>
  <si>
    <t>朝阳区新东路12号院3号楼2层2-119</t>
    <phoneticPr fontId="135" type="noConversion"/>
  </si>
  <si>
    <t>朝阳区新东路12号院3号楼1层1-001</t>
    <phoneticPr fontId="135" type="noConversion"/>
  </si>
  <si>
    <t>朝阳区新东路12号院3号楼1层1-002</t>
    <phoneticPr fontId="135" type="noConversion"/>
  </si>
  <si>
    <t>朝阳区新东路12号院3号楼1层1-005</t>
    <phoneticPr fontId="135" type="noConversion"/>
  </si>
  <si>
    <t>朝阳区新东路12号院3号楼1层1-006</t>
    <phoneticPr fontId="135" type="noConversion"/>
  </si>
  <si>
    <t>朝阳区新东路12号院3号楼1层1-008</t>
    <phoneticPr fontId="135" type="noConversion"/>
  </si>
  <si>
    <t>朝阳区新东路12号院3号楼1层1-009</t>
    <phoneticPr fontId="135" type="noConversion"/>
  </si>
  <si>
    <t>朝阳区新东路12号院3号楼1层1-010</t>
    <phoneticPr fontId="135" type="noConversion"/>
  </si>
  <si>
    <t>朝阳区新东路12号院3号楼1层1-015</t>
    <phoneticPr fontId="135" type="noConversion"/>
  </si>
  <si>
    <t>朝阳区新东路12号院3号楼2层2-120</t>
  </si>
  <si>
    <t>朝阳区新东路12号院3号楼2层2-121</t>
  </si>
  <si>
    <t>朝阳区新东路12号院3号楼2层2-122</t>
  </si>
  <si>
    <t>朝阳区新东路12号院3号楼2层2-123</t>
  </si>
  <si>
    <t>朝阳区新东路12号院3号楼2层2-125</t>
    <phoneticPr fontId="135" type="noConversion"/>
  </si>
  <si>
    <t>朝阳区新东路12号院3号楼2层2-126</t>
  </si>
  <si>
    <t>朝阳区新东路12号院3号楼2层2-127</t>
  </si>
  <si>
    <t>朝阳区新东路12号院3号楼2层2-128</t>
  </si>
  <si>
    <t>朝阳区新东路12号院3号楼2层2-129</t>
  </si>
  <si>
    <t>朝阳区新东路12号院3号楼2层2-130</t>
  </si>
  <si>
    <t>朝阳区新东路12号院3号楼2层2-131</t>
  </si>
  <si>
    <t>朝阳区新东路12号院3号楼2层2-132</t>
  </si>
  <si>
    <t>朝阳区新东路12号院3号楼2层2-133</t>
  </si>
  <si>
    <t>朝阳区新东路12号院3号楼2层2-135</t>
    <phoneticPr fontId="135" type="noConversion"/>
  </si>
  <si>
    <t>朝阳区新东路12号院3号楼2层2-137</t>
    <phoneticPr fontId="135" type="noConversion"/>
  </si>
  <si>
    <t>朝阳区新东路12号院3号楼2层2-138</t>
  </si>
  <si>
    <t>朝阳区新东路12号院3号楼2层2-139</t>
  </si>
  <si>
    <t>朝阳区新东路12号院3号楼2层2-186</t>
    <phoneticPr fontId="135" type="noConversion"/>
  </si>
  <si>
    <t>朝阳区新东路12号院3号楼2层2-187</t>
  </si>
  <si>
    <t>朝阳区新东路12号院3号楼2层2-188</t>
  </si>
  <si>
    <t>朝阳区新东路12号院3号楼2层2-189</t>
  </si>
  <si>
    <t>朝阳区新东路12号院3号楼3层3-119</t>
    <phoneticPr fontId="135" type="noConversion"/>
  </si>
  <si>
    <t>朝阳区新东路12号院3号楼3层3-120</t>
  </si>
  <si>
    <t>朝阳区新东路12号院3号楼3层3-121</t>
  </si>
  <si>
    <t>朝阳区新东路12号院3号楼3层3-122</t>
  </si>
  <si>
    <t>朝阳区新东路12号院3号楼3层3-123</t>
  </si>
  <si>
    <t>朝阳区新东路12号院3号楼3层3-125</t>
    <phoneticPr fontId="135" type="noConversion"/>
  </si>
  <si>
    <t>朝阳区新东路12号院3号楼3层3-126</t>
  </si>
  <si>
    <t>朝阳区新东路12号院3号楼3层3-127</t>
  </si>
  <si>
    <t>朝阳区新东路12号院3号楼3层3-128</t>
  </si>
  <si>
    <t>朝阳区新东路12号院3号楼3层3-129</t>
  </si>
  <si>
    <t>朝阳区新东路12号院3号楼3层3-130</t>
  </si>
  <si>
    <t>朝阳区新东路12号院3号楼3层3-131</t>
  </si>
  <si>
    <t>朝阳区新东路12号院3号楼3层3-132</t>
  </si>
  <si>
    <t>朝阳区新东路12号院3号楼3层3-133</t>
  </si>
  <si>
    <t>朝阳区新东路12号院3号楼3层3-135</t>
    <phoneticPr fontId="135" type="noConversion"/>
  </si>
  <si>
    <t>朝阳区新东路12号院3号楼3层3-136</t>
  </si>
  <si>
    <t>朝阳区新东路12号院3号楼3层3-137</t>
  </si>
  <si>
    <t>朝阳区新东路12号院3号楼3层3-138</t>
  </si>
  <si>
    <t>朝阳区新东路12号院3号楼3层3-139</t>
  </si>
  <si>
    <t>朝阳区新东路12号院3号楼3层3-150</t>
    <phoneticPr fontId="135" type="noConversion"/>
  </si>
  <si>
    <t>朝阳区新东路12号院3号楼3层3-176</t>
    <phoneticPr fontId="135" type="noConversion"/>
  </si>
  <si>
    <t>朝阳区新东路12号院3号楼3层3-177</t>
  </si>
  <si>
    <t>朝阳区新东路12号院3号楼3层3-178</t>
  </si>
  <si>
    <t>朝阳区新东路12号院3号楼3层3-179</t>
  </si>
  <si>
    <t>朝阳区新东路12号院3号楼3层3-180</t>
  </si>
  <si>
    <t>朝阳区新东路12号院3号楼3层3-181</t>
  </si>
  <si>
    <t>朝阳区新东路12号院3号楼3层3-182</t>
  </si>
  <si>
    <t>朝阳区新东路12号院3号楼3层3-183</t>
  </si>
  <si>
    <t>朝阳区新东路12号院3号楼3层3-185</t>
    <phoneticPr fontId="135" type="noConversion"/>
  </si>
  <si>
    <t>朝阳区新东路12号院3号楼3层3-186</t>
  </si>
  <si>
    <t>朝阳区新东路12号院3号楼3层3-187</t>
  </si>
  <si>
    <t>朝阳区新东路12号院3号楼3层3-188</t>
  </si>
  <si>
    <t>朝阳区新东路12号院3号楼3层3-189</t>
  </si>
  <si>
    <r>
      <t>朝阳区新东路12号院</t>
    </r>
    <r>
      <rPr>
        <sz val="11"/>
        <color theme="1"/>
        <rFont val="宋体"/>
        <family val="3"/>
        <charset val="134"/>
        <scheme val="minor"/>
      </rPr>
      <t>1、2、3、4号楼地下室-1层-002</t>
    </r>
    <r>
      <rPr>
        <sz val="11"/>
        <color theme="1"/>
        <rFont val="宋体"/>
        <family val="2"/>
        <scheme val="minor"/>
      </rPr>
      <t/>
    </r>
  </si>
  <si>
    <r>
      <t>朝阳区新东路12号院</t>
    </r>
    <r>
      <rPr>
        <sz val="11"/>
        <color theme="1"/>
        <rFont val="宋体"/>
        <family val="3"/>
        <charset val="134"/>
        <scheme val="minor"/>
      </rPr>
      <t>1、2、3、4号楼地下室-1层-003</t>
    </r>
    <r>
      <rPr>
        <sz val="11"/>
        <color theme="1"/>
        <rFont val="宋体"/>
        <family val="2"/>
        <scheme val="minor"/>
      </rPr>
      <t/>
    </r>
  </si>
  <si>
    <t>朝阳区新东路12号院1、2、3、4号楼地下室-1层-005</t>
    <phoneticPr fontId="135" type="noConversion"/>
  </si>
  <si>
    <t>朝阳区新东路12号院1、2、3、4号楼地下室-1层-006</t>
  </si>
  <si>
    <t>朝阳区新东路12号院1、2、3、4号楼地下室-1层-007</t>
  </si>
  <si>
    <t>朝阳区新东路12号院1、2、3、4号楼地下室-1层-008</t>
  </si>
  <si>
    <t>朝阳区新东路12号院1、2、3、4号楼地下室-1层-009</t>
  </si>
  <si>
    <t>朝阳区新东路12号院1、2、3、4号楼地下室-1层-010</t>
  </si>
  <si>
    <t>朝阳区新东路12号院1、2、3、4号楼地下室-1层-011</t>
  </si>
  <si>
    <t>朝阳区新东路12号院1、2、3、4号楼地下室-1层-012</t>
  </si>
  <si>
    <t>朝阳区新东路12号院1、2、3、4号楼地下室-1层-015</t>
    <phoneticPr fontId="135" type="noConversion"/>
  </si>
  <si>
    <t>朝阳区新东路12号院1、2、3、4号楼地下室-1层-016</t>
  </si>
  <si>
    <t>朝阳区新东路12号院1、2、3、4号楼地下室-1层-017</t>
  </si>
  <si>
    <t>朝阳区新东路12号院1、2、3、4号楼地下室-1层-018</t>
  </si>
  <si>
    <t>朝阳区新东路12号院1、2、3、4号楼地下室-1层-019</t>
  </si>
  <si>
    <t>朝阳区新东路12号院1、2、3、4号楼地下室-1层-020</t>
  </si>
  <si>
    <t>1层</t>
    <phoneticPr fontId="135" type="noConversion"/>
  </si>
  <si>
    <t>2层</t>
  </si>
  <si>
    <t>3层</t>
  </si>
  <si>
    <t>负1层</t>
    <phoneticPr fontId="135" type="noConversion"/>
  </si>
  <si>
    <t>套数</t>
    <phoneticPr fontId="135" type="noConversion"/>
  </si>
  <si>
    <t>北京晟业信和置业投资有限公司租户情况</t>
  </si>
  <si>
    <t xml:space="preserve">租户名称      </t>
  </si>
  <si>
    <t>面积</t>
  </si>
  <si>
    <t>年租金（元）</t>
  </si>
  <si>
    <t>支付方式</t>
  </si>
  <si>
    <t>租金水平（元）</t>
  </si>
  <si>
    <t>租赁期限</t>
  </si>
  <si>
    <t>出租地址</t>
  </si>
  <si>
    <t>广发银行</t>
  </si>
  <si>
    <t>820.42㎡</t>
  </si>
  <si>
    <t>4740750/年（每年8月付款）</t>
  </si>
  <si>
    <t>2013.9.1-2023.8.31</t>
  </si>
  <si>
    <t>北京市朝阳区新东路12号院3号楼一层001.002.005.006 、二层119.120.121.122.123.125.126.127.128</t>
  </si>
  <si>
    <t>北京世代医药有限公司</t>
  </si>
  <si>
    <t>149.55㎡</t>
  </si>
  <si>
    <t>80000/月</t>
  </si>
  <si>
    <t>2017.3.1-2025.2.28</t>
  </si>
  <si>
    <t>北京市朝阳区新东路12号院3号楼一层1-010</t>
  </si>
  <si>
    <t>北京华旸予晗品牌管理有限公司</t>
  </si>
  <si>
    <t>514.75㎡</t>
  </si>
  <si>
    <t>500000/季</t>
  </si>
  <si>
    <t>2021.10.20-2031.10.19</t>
  </si>
  <si>
    <t>北京市朝阳区新东路12号院3号楼地下一层007、009、010
、011、012</t>
  </si>
  <si>
    <t>北京缘味星灿餐饮管理有限公司</t>
  </si>
  <si>
    <t>352.45㎡</t>
  </si>
  <si>
    <t>337691.13/季</t>
  </si>
  <si>
    <t>2022.8.1-2032.7.31</t>
  </si>
  <si>
    <t>北京市朝阳区新东路12号院3号楼地下一层001.005</t>
  </si>
  <si>
    <t>郑增华</t>
  </si>
  <si>
    <t>279.64㎡</t>
  </si>
  <si>
    <t>2245509.40/年</t>
  </si>
  <si>
    <t>2018.7.5-2028.7.4</t>
  </si>
  <si>
    <t>北京市朝阳区新东路12号院3号楼1层1-008、1-009</t>
  </si>
  <si>
    <t>北京维多利亚酒店管理有限公司</t>
  </si>
  <si>
    <t>2129.29㎡</t>
  </si>
  <si>
    <t>800000/季</t>
  </si>
  <si>
    <t>2020.5.10-2035.5.9</t>
  </si>
  <si>
    <t>北京酩茄餐饮管理有限公司</t>
  </si>
  <si>
    <t>77.74㎡</t>
  </si>
  <si>
    <t>120000/季</t>
  </si>
  <si>
    <t>2019.1.1-2028.12.31</t>
  </si>
  <si>
    <t>北京市朝阳区新东路12号院3号楼1层1-015</t>
  </si>
  <si>
    <t>北京泰和国医诊所有限公司</t>
  </si>
  <si>
    <t>349.53㎡</t>
  </si>
  <si>
    <t>275000/季度</t>
  </si>
  <si>
    <t>2017.9.1-2032.8.31</t>
  </si>
  <si>
    <t>北京市朝阳区新东路12号院3号楼地下一层002.003.006.022.023</t>
  </si>
  <si>
    <t>北京华康云庭酒店管理有限公司</t>
  </si>
  <si>
    <t>164.44㎡</t>
  </si>
  <si>
    <t>75025.74/季度</t>
  </si>
  <si>
    <t>2021.4.3-2035.4.2</t>
  </si>
  <si>
    <t>北京市朝阳区新东路12号院3号楼2层2-129、2-130号</t>
  </si>
  <si>
    <t>北京伍珅医疗美容诊所有限公司</t>
  </si>
  <si>
    <t>318.18㎡</t>
  </si>
  <si>
    <t>307759.56/半年</t>
  </si>
  <si>
    <t>2020.4.20-2030.4.19</t>
  </si>
  <si>
    <t>北京市朝阳区新东路12号院3号楼2层2-186、2-187、2-188、2-189</t>
  </si>
  <si>
    <t>白广宇</t>
  </si>
  <si>
    <t>408.23㎡</t>
  </si>
  <si>
    <t>480540/季</t>
  </si>
  <si>
    <t>2022.01.05-2027.01.04</t>
  </si>
  <si>
    <t xml:space="preserve">北京市朝阳区新东路12号院3号楼地下一层015、016、017、018
</t>
  </si>
  <si>
    <t>左文燕</t>
  </si>
  <si>
    <t>650㎡</t>
  </si>
  <si>
    <t>351000/季</t>
  </si>
  <si>
    <t>2021.3.1-2031.2.28</t>
  </si>
  <si>
    <t xml:space="preserve">北京市朝阳区新东路12号院3号楼地下一层019、020
</t>
  </si>
  <si>
    <t>北京义恒毅树体育文化有限公司</t>
  </si>
  <si>
    <t>85㎡</t>
  </si>
  <si>
    <t>155125/年</t>
  </si>
  <si>
    <t xml:space="preserve">北京市朝阳区新东路12号院3号楼地下一层-1-008
</t>
  </si>
  <si>
    <t>1、2</t>
    <phoneticPr fontId="135" type="noConversion"/>
  </si>
  <si>
    <t>楼层</t>
    <phoneticPr fontId="135" type="noConversion"/>
  </si>
  <si>
    <t>北京市朝阳区新东路12号院3号楼3层119.120.121.122.123.125.126.127.128.129.130.131.132.133.135.136.137.138.139.150.176.177.178.179.180.181.182.183.185.186.187.188.189</t>
    <phoneticPr fontId="135" type="noConversion"/>
  </si>
  <si>
    <t>地上</t>
  </si>
  <si>
    <t>地下</t>
  </si>
  <si>
    <t>成新度</t>
  </si>
  <si>
    <t>利息：取LPR加浮动点数</t>
  </si>
  <si>
    <t>押一</t>
  </si>
  <si>
    <t>钢混</t>
  </si>
  <si>
    <t>非生产用房</t>
  </si>
  <si>
    <t>自定义容积率</t>
  </si>
  <si>
    <t>不临65条商业街</t>
  </si>
  <si>
    <t>与级别开发程度一致</t>
  </si>
  <si>
    <t>楼层修正</t>
  </si>
  <si>
    <t>较好</t>
  </si>
  <si>
    <t>好</t>
  </si>
  <si>
    <t>一般</t>
  </si>
  <si>
    <t>已包含在土地取得成本中</t>
  </si>
  <si>
    <t>成本法</t>
  </si>
  <si>
    <t>总价</t>
  </si>
  <si>
    <t>成本比率</t>
  </si>
  <si>
    <t>情况4</t>
  </si>
  <si>
    <t>购房发票</t>
  </si>
  <si>
    <t>2016年5月1日前购买</t>
  </si>
  <si>
    <t>正常</t>
  </si>
  <si>
    <t>转让取得</t>
  </si>
  <si>
    <t>非个人房产</t>
  </si>
  <si>
    <t>京（2019）朝不动产权第0075236号</t>
    <phoneticPr fontId="135" type="noConversion"/>
  </si>
  <si>
    <t>证号</t>
    <phoneticPr fontId="135" type="noConversion"/>
  </si>
  <si>
    <t>京（2019）朝不动产权第0078860号</t>
    <phoneticPr fontId="135" type="noConversion"/>
  </si>
  <si>
    <t>京（2019）朝不动产权第0078748号</t>
    <phoneticPr fontId="135" type="noConversion"/>
  </si>
  <si>
    <t>京（2019）朝不动产权第0078864号</t>
    <phoneticPr fontId="135" type="noConversion"/>
  </si>
  <si>
    <t>京（2019）朝不动产权第0078882号</t>
    <phoneticPr fontId="135" type="noConversion"/>
  </si>
  <si>
    <t>京（2019）朝不动产权第0078888号</t>
    <phoneticPr fontId="135" type="noConversion"/>
  </si>
  <si>
    <t>京（2019）朝不动产权第0078896号</t>
    <phoneticPr fontId="135" type="noConversion"/>
  </si>
  <si>
    <t>京（2019）朝不动产权第0078899号</t>
    <phoneticPr fontId="135" type="noConversion"/>
  </si>
  <si>
    <t>京（2019）朝不动产权第0078903号</t>
    <phoneticPr fontId="135" type="noConversion"/>
  </si>
  <si>
    <t>京（2019）朝不动产权第0078911号</t>
    <phoneticPr fontId="135" type="noConversion"/>
  </si>
  <si>
    <t>京（2019）朝不动产权第0078791号</t>
    <phoneticPr fontId="135" type="noConversion"/>
  </si>
  <si>
    <t>楼梯</t>
    <phoneticPr fontId="135" type="noConversion"/>
  </si>
  <si>
    <t>2层</t>
    <phoneticPr fontId="135" type="noConversion"/>
  </si>
  <si>
    <t>京（2019）朝不动产权第0078742号</t>
    <phoneticPr fontId="135" type="noConversion"/>
  </si>
  <si>
    <t>京（2019）朝不动产权第0078735号</t>
    <phoneticPr fontId="135" type="noConversion"/>
  </si>
  <si>
    <t>京（2019）朝不动产权第0078725号</t>
    <phoneticPr fontId="135" type="noConversion"/>
  </si>
  <si>
    <t>京（2019）朝不动产权第0078718号</t>
    <phoneticPr fontId="135" type="noConversion"/>
  </si>
  <si>
    <t>京（2019）朝不动产权第0078593号</t>
    <phoneticPr fontId="135" type="noConversion"/>
  </si>
  <si>
    <t>京（2019）朝不动产权第0078588号</t>
    <phoneticPr fontId="135" type="noConversion"/>
  </si>
  <si>
    <t>京（2019）朝不动产权第0078589号</t>
    <phoneticPr fontId="135" type="noConversion"/>
  </si>
  <si>
    <t>京（2019）朝不动产权第0078573号</t>
    <phoneticPr fontId="135" type="noConversion"/>
  </si>
  <si>
    <t>京（2019）朝不动产权第0078822号</t>
    <phoneticPr fontId="135" type="noConversion"/>
  </si>
  <si>
    <t>京（2019）朝不动产权第0078818号</t>
    <phoneticPr fontId="135" type="noConversion"/>
  </si>
  <si>
    <t>京（2019）朝不动产权第0078816号</t>
    <phoneticPr fontId="135" type="noConversion"/>
  </si>
  <si>
    <t>京（2019）朝不动产权第0078813号</t>
    <phoneticPr fontId="135" type="noConversion"/>
  </si>
  <si>
    <t>京（2019）朝不动产权第0078805号</t>
    <phoneticPr fontId="135" type="noConversion"/>
  </si>
  <si>
    <t>京（2019）朝不动产权第0078802号</t>
    <phoneticPr fontId="135" type="noConversion"/>
  </si>
  <si>
    <t>京（2019）朝不动产权第0078801号</t>
    <phoneticPr fontId="135" type="noConversion"/>
  </si>
  <si>
    <t>京（2019）朝不动产权第0078796号</t>
    <phoneticPr fontId="135" type="noConversion"/>
  </si>
  <si>
    <t>京（2019）朝不动产权第0078546号</t>
    <phoneticPr fontId="135" type="noConversion"/>
  </si>
  <si>
    <t>京（2019）朝不动产权第0078916号</t>
    <phoneticPr fontId="135" type="noConversion"/>
  </si>
  <si>
    <t>京（2019）朝不动产权第0080068号</t>
    <phoneticPr fontId="135" type="noConversion"/>
  </si>
  <si>
    <t>京（2019）朝不动产权第0080036号</t>
    <phoneticPr fontId="135" type="noConversion"/>
  </si>
  <si>
    <t>京（2019）朝不动产权第0080137号</t>
    <phoneticPr fontId="135" type="noConversion"/>
  </si>
  <si>
    <t>京（2019）朝不动产权第0080152号</t>
    <phoneticPr fontId="135" type="noConversion"/>
  </si>
  <si>
    <t>京（2019）朝不动产权第0080149号</t>
    <phoneticPr fontId="135" type="noConversion"/>
  </si>
  <si>
    <t>京（2019）朝不动产权第0080142号</t>
    <phoneticPr fontId="135" type="noConversion"/>
  </si>
  <si>
    <t>京（2019）朝不动产权第0080139号</t>
    <phoneticPr fontId="135" type="noConversion"/>
  </si>
  <si>
    <t>京（2019）朝不动产权第0080078号</t>
    <phoneticPr fontId="135" type="noConversion"/>
  </si>
  <si>
    <t>京（2019）朝不动产权第0080157号</t>
    <phoneticPr fontId="135" type="noConversion"/>
  </si>
  <si>
    <t>京（2019）朝不动产权第0080161号</t>
    <phoneticPr fontId="135" type="noConversion"/>
  </si>
  <si>
    <t>京（2019）朝不动产权第0080058号</t>
    <phoneticPr fontId="135" type="noConversion"/>
  </si>
  <si>
    <t>京（2019）朝不动产权第0080114号</t>
    <phoneticPr fontId="135" type="noConversion"/>
  </si>
  <si>
    <t>京（2019）朝不动产权第0080118号</t>
    <phoneticPr fontId="135" type="noConversion"/>
  </si>
  <si>
    <t>京（2019）朝不动产权第0080121号</t>
    <phoneticPr fontId="135" type="noConversion"/>
  </si>
  <si>
    <t>京（2019）朝不动产权第0080048号</t>
    <phoneticPr fontId="135" type="noConversion"/>
  </si>
  <si>
    <t>京（2019）朝不动产权第0080042号</t>
    <phoneticPr fontId="135" type="noConversion"/>
  </si>
  <si>
    <t>京（2019）朝不动产权第0080124号</t>
    <phoneticPr fontId="135" type="noConversion"/>
  </si>
  <si>
    <t>京（2019）朝不动产权第0080014号</t>
    <phoneticPr fontId="135" type="noConversion"/>
  </si>
  <si>
    <t>京（2019）朝不动产权第0080127号</t>
    <phoneticPr fontId="135" type="noConversion"/>
  </si>
  <si>
    <t>京（2019）朝不动产权第0080072号</t>
    <phoneticPr fontId="135" type="noConversion"/>
  </si>
  <si>
    <t>京（2019）朝不动产权第0082421号</t>
    <phoneticPr fontId="135" type="noConversion"/>
  </si>
  <si>
    <t>京（2019）朝不动产权第0082417号</t>
    <phoneticPr fontId="135" type="noConversion"/>
  </si>
  <si>
    <t>京（2019）朝不动产权第0082415号</t>
    <phoneticPr fontId="135" type="noConversion"/>
  </si>
  <si>
    <t>京（2019）朝不动产权第0082412号</t>
    <phoneticPr fontId="135" type="noConversion"/>
  </si>
  <si>
    <t>京（2019）朝不动产权第0082410号</t>
    <phoneticPr fontId="135" type="noConversion"/>
  </si>
  <si>
    <t>京（2019）朝不动产权第0084383号</t>
    <phoneticPr fontId="135" type="noConversion"/>
  </si>
  <si>
    <t>京（2019）朝不动产权第0082401号</t>
    <phoneticPr fontId="135" type="noConversion"/>
  </si>
  <si>
    <t>京（2019）朝不动产权第0082400号</t>
    <phoneticPr fontId="135" type="noConversion"/>
  </si>
  <si>
    <t>京（2019）朝不动产权第0082395号</t>
    <phoneticPr fontId="135" type="noConversion"/>
  </si>
  <si>
    <t>京（2019）朝不动产权第0082397号</t>
    <phoneticPr fontId="135" type="noConversion"/>
  </si>
  <si>
    <t>京（2019）朝不动产权第0082341号</t>
    <phoneticPr fontId="135" type="noConversion"/>
  </si>
  <si>
    <t>京（2019）朝不动产权第0082345号</t>
    <phoneticPr fontId="135" type="noConversion"/>
  </si>
  <si>
    <t>京（2019）朝不动产权第0082348号</t>
    <phoneticPr fontId="135" type="noConversion"/>
  </si>
  <si>
    <t>京（2019）朝不动产权第0082354号</t>
    <phoneticPr fontId="135" type="noConversion"/>
  </si>
  <si>
    <t>京（2019）朝不动产权第0082359号</t>
    <phoneticPr fontId="135" type="noConversion"/>
  </si>
  <si>
    <t>京（2019）朝不动产权第0082865号</t>
    <phoneticPr fontId="135" type="noConversion"/>
  </si>
  <si>
    <t>京（2019）朝不动产权第0082858号</t>
    <phoneticPr fontId="135" type="noConversion"/>
  </si>
  <si>
    <t>京（2019）朝不动产权第0084043号</t>
    <phoneticPr fontId="135" type="noConversion"/>
  </si>
  <si>
    <t>京（2019）朝不动产权第0082863号</t>
    <phoneticPr fontId="135" type="noConversion"/>
  </si>
  <si>
    <t>京（2019）朝不动产权第0082852号</t>
    <phoneticPr fontId="135" type="noConversion"/>
  </si>
  <si>
    <t>京（2019）朝不动产权第0078884号</t>
    <phoneticPr fontId="135" type="noConversion"/>
  </si>
  <si>
    <t>京（2019）朝不动产权第0082840号</t>
    <phoneticPr fontId="135" type="noConversion"/>
  </si>
  <si>
    <t>京（2019）朝不动产权第0082842号</t>
    <phoneticPr fontId="135" type="noConversion"/>
  </si>
  <si>
    <t>京（2019）朝不动产权第0082849号</t>
    <phoneticPr fontId="135" type="noConversion"/>
  </si>
  <si>
    <t>京（2019）朝不动产权第0082850号</t>
    <phoneticPr fontId="135" type="noConversion"/>
  </si>
  <si>
    <t>京（2019）朝不动产权第0082845号</t>
    <phoneticPr fontId="135" type="noConversion"/>
  </si>
  <si>
    <t>京（2019）朝不动产权第0082855号</t>
    <phoneticPr fontId="135" type="noConversion"/>
  </si>
  <si>
    <t>京（2019）朝不动产权第0082322号</t>
    <phoneticPr fontId="135" type="noConversion"/>
  </si>
  <si>
    <t>京（2019）朝不动产权第0082325号</t>
    <phoneticPr fontId="135" type="noConversion"/>
  </si>
  <si>
    <t>京（2019）朝不动产权第0082330号</t>
    <phoneticPr fontId="135" type="noConversion"/>
  </si>
  <si>
    <t>京（2019）朝不动产权第0082335号</t>
    <phoneticPr fontId="135" type="noConversion"/>
  </si>
  <si>
    <t>电梯</t>
    <phoneticPr fontId="135" type="noConversion"/>
  </si>
  <si>
    <t>楼</t>
    <phoneticPr fontId="135" type="noConversion"/>
  </si>
  <si>
    <t>过道</t>
    <phoneticPr fontId="135" type="noConversion"/>
  </si>
  <si>
    <t>卫生间</t>
    <phoneticPr fontId="135" type="noConversion"/>
  </si>
  <si>
    <t>门厅</t>
    <phoneticPr fontId="135" type="noConversion"/>
  </si>
  <si>
    <t>走道</t>
    <phoneticPr fontId="135" type="noConversion"/>
  </si>
  <si>
    <t>负1层缺13号</t>
    <phoneticPr fontId="135" type="noConversion"/>
  </si>
  <si>
    <t>其他商业</t>
    <phoneticPr fontId="8" type="noConversion"/>
  </si>
  <si>
    <t>1层001号商业</t>
  </si>
  <si>
    <t>1层001号商业</t>
    <phoneticPr fontId="8" type="noConversion"/>
  </si>
  <si>
    <t>建筑面积</t>
    <phoneticPr fontId="135" type="noConversion"/>
  </si>
  <si>
    <t>收益法 (元)</t>
  </si>
  <si>
    <t>成本法 (元)</t>
  </si>
  <si>
    <t>单套模式</t>
  </si>
  <si>
    <t>售价</t>
  </si>
  <si>
    <t>挂牌</t>
  </si>
  <si>
    <t>挂牌</t>
    <phoneticPr fontId="31" type="noConversion"/>
  </si>
  <si>
    <t>商业</t>
    <phoneticPr fontId="31" type="noConversion"/>
  </si>
  <si>
    <r>
      <t>35-40</t>
    </r>
    <r>
      <rPr>
        <sz val="11"/>
        <rFont val="宋体"/>
        <family val="3"/>
        <charset val="134"/>
      </rPr>
      <t>（含）</t>
    </r>
    <phoneticPr fontId="4" type="noConversion"/>
  </si>
  <si>
    <r>
      <t>30-35</t>
    </r>
    <r>
      <rPr>
        <sz val="11"/>
        <rFont val="宋体"/>
        <family val="3"/>
        <charset val="134"/>
      </rPr>
      <t>（含）</t>
    </r>
    <phoneticPr fontId="4" type="noConversion"/>
  </si>
  <si>
    <r>
      <t>25-30</t>
    </r>
    <r>
      <rPr>
        <sz val="11"/>
        <rFont val="宋体"/>
        <family val="3"/>
        <charset val="134"/>
      </rPr>
      <t>（含）</t>
    </r>
    <phoneticPr fontId="4" type="noConversion"/>
  </si>
  <si>
    <r>
      <t>20</t>
    </r>
    <r>
      <rPr>
        <sz val="11"/>
        <rFont val="Arial"/>
        <family val="2"/>
      </rPr>
      <t>-25</t>
    </r>
    <r>
      <rPr>
        <sz val="11"/>
        <rFont val="宋体"/>
        <family val="3"/>
        <charset val="134"/>
      </rPr>
      <t>（含）</t>
    </r>
    <phoneticPr fontId="4" type="noConversion"/>
  </si>
  <si>
    <r>
      <t>15-20</t>
    </r>
    <r>
      <rPr>
        <sz val="11"/>
        <rFont val="宋体"/>
        <family val="3"/>
        <charset val="134"/>
      </rPr>
      <t>（含）</t>
    </r>
    <phoneticPr fontId="4" type="noConversion"/>
  </si>
  <si>
    <t>好</t>
    <phoneticPr fontId="4" type="noConversion"/>
  </si>
  <si>
    <t>较好</t>
    <phoneticPr fontId="4" type="noConversion"/>
  </si>
  <si>
    <t>一般</t>
    <phoneticPr fontId="4" type="noConversion"/>
  </si>
  <si>
    <t>大</t>
    <phoneticPr fontId="4" type="noConversion"/>
  </si>
  <si>
    <t>较大</t>
    <phoneticPr fontId="4" type="noConversion"/>
  </si>
  <si>
    <t>较小</t>
    <phoneticPr fontId="4" type="noConversion"/>
  </si>
  <si>
    <t>小</t>
    <phoneticPr fontId="4" type="noConversion"/>
  </si>
  <si>
    <t>独立商业</t>
    <phoneticPr fontId="31" type="noConversion"/>
  </si>
  <si>
    <t>办公配套商业</t>
  </si>
  <si>
    <t>办公配套商业</t>
    <phoneticPr fontId="31" type="noConversion"/>
  </si>
  <si>
    <t>住宅配套商业</t>
  </si>
  <si>
    <t>住宅配套商业</t>
    <phoneticPr fontId="31" type="noConversion"/>
  </si>
  <si>
    <t>钢混</t>
    <phoneticPr fontId="4" type="noConversion"/>
  </si>
  <si>
    <t>混合</t>
    <phoneticPr fontId="4" type="noConversion"/>
  </si>
  <si>
    <t>普装</t>
    <phoneticPr fontId="4" type="noConversion"/>
  </si>
  <si>
    <t>七通</t>
  </si>
  <si>
    <t>七通</t>
    <phoneticPr fontId="31" type="noConversion"/>
  </si>
  <si>
    <t>六通</t>
  </si>
  <si>
    <t>六通</t>
    <phoneticPr fontId="31" type="noConversion"/>
  </si>
  <si>
    <t>五通</t>
    <phoneticPr fontId="31" type="noConversion"/>
  </si>
  <si>
    <t>超高</t>
  </si>
  <si>
    <t>标准</t>
  </si>
  <si>
    <t>可餐饮</t>
  </si>
  <si>
    <t>可餐饮</t>
    <phoneticPr fontId="31" type="noConversion"/>
  </si>
  <si>
    <t>不可餐饮</t>
  </si>
  <si>
    <t>不可餐饮</t>
    <phoneticPr fontId="31" type="noConversion"/>
  </si>
  <si>
    <r>
      <t>35-40</t>
    </r>
    <r>
      <rPr>
        <sz val="11"/>
        <color indexed="8"/>
        <rFont val="宋体"/>
        <family val="3"/>
        <charset val="134"/>
      </rPr>
      <t>（含）</t>
    </r>
    <phoneticPr fontId="31" type="noConversion"/>
  </si>
  <si>
    <t>好</t>
    <phoneticPr fontId="25" type="noConversion"/>
  </si>
  <si>
    <t>较好</t>
    <phoneticPr fontId="25" type="noConversion"/>
  </si>
  <si>
    <t>七通</t>
    <phoneticPr fontId="25" type="noConversion"/>
  </si>
  <si>
    <t>次干道</t>
    <phoneticPr fontId="25" type="noConversion"/>
  </si>
  <si>
    <t>中国红街大厦</t>
    <phoneticPr fontId="4" type="noConversion"/>
  </si>
  <si>
    <t>美林大厦底商</t>
    <phoneticPr fontId="135" type="noConversion"/>
  </si>
  <si>
    <t>可餐饮</t>
    <phoneticPr fontId="135" type="noConversion"/>
  </si>
  <si>
    <t>建成年代</t>
    <phoneticPr fontId="135" type="noConversion"/>
  </si>
  <si>
    <t>总价</t>
    <phoneticPr fontId="135" type="noConversion"/>
  </si>
  <si>
    <t>面积</t>
    <phoneticPr fontId="135" type="noConversion"/>
  </si>
  <si>
    <t>15-20（含）</t>
    <phoneticPr fontId="135" type="noConversion"/>
  </si>
  <si>
    <t>单价</t>
    <phoneticPr fontId="135" type="noConversion"/>
  </si>
  <si>
    <t>三里屯南27号楼底商</t>
    <phoneticPr fontId="135" type="noConversion"/>
  </si>
  <si>
    <t>不可餐饮</t>
    <phoneticPr fontId="135" type="noConversion"/>
  </si>
  <si>
    <r>
      <t>15</t>
    </r>
    <r>
      <rPr>
        <sz val="11"/>
        <rFont val="宋体"/>
        <family val="3"/>
        <charset val="134"/>
      </rPr>
      <t>（含）以下</t>
    </r>
    <phoneticPr fontId="4" type="noConversion"/>
  </si>
  <si>
    <r>
      <t>7</t>
    </r>
    <r>
      <rPr>
        <sz val="11"/>
        <color theme="1"/>
        <rFont val="宋体"/>
        <family val="3"/>
        <charset val="134"/>
        <scheme val="minor"/>
      </rPr>
      <t>0年代</t>
    </r>
    <phoneticPr fontId="135" type="noConversion"/>
  </si>
  <si>
    <t>三里屯南27号楼底商</t>
    <phoneticPr fontId="4" type="noConversion"/>
  </si>
  <si>
    <t>普装</t>
  </si>
  <si>
    <t>业态</t>
    <phoneticPr fontId="4" type="noConversion"/>
  </si>
  <si>
    <t>-1</t>
  </si>
  <si>
    <t>-1</t>
    <phoneticPr fontId="31" type="noConversion"/>
  </si>
  <si>
    <t>比较法-商业</t>
  </si>
  <si>
    <t>3层整层</t>
    <phoneticPr fontId="135" type="noConversion"/>
  </si>
  <si>
    <t>购买价格</t>
    <phoneticPr fontId="135" type="noConversion"/>
  </si>
  <si>
    <t>购买年限</t>
    <phoneticPr fontId="135" type="noConversion"/>
  </si>
  <si>
    <t>增值税及附加</t>
    <phoneticPr fontId="135" type="noConversion"/>
  </si>
  <si>
    <t>土增税</t>
    <phoneticPr fontId="135" type="noConversion"/>
  </si>
  <si>
    <t>加计扣减项</t>
    <phoneticPr fontId="34" type="noConversion"/>
  </si>
  <si>
    <t>1.扣除项合计</t>
    <phoneticPr fontId="135" type="noConversion"/>
  </si>
  <si>
    <t>2.增值额</t>
    <phoneticPr fontId="135" type="noConversion"/>
  </si>
  <si>
    <t>增值额与扣除项比率</t>
    <phoneticPr fontId="38" type="noConversion"/>
  </si>
  <si>
    <r>
      <t>3</t>
    </r>
    <r>
      <rPr>
        <sz val="11"/>
        <color theme="1"/>
        <rFont val="宋体"/>
        <family val="3"/>
        <charset val="134"/>
        <scheme val="minor"/>
      </rPr>
      <t>.</t>
    </r>
    <r>
      <rPr>
        <sz val="11"/>
        <color theme="1"/>
        <rFont val="宋体"/>
        <family val="3"/>
        <charset val="134"/>
        <scheme val="minor"/>
      </rPr>
      <t>增值额与扣除项比率</t>
    </r>
    <phoneticPr fontId="135" type="noConversion"/>
  </si>
  <si>
    <t>印花税</t>
    <phoneticPr fontId="135" type="noConversion"/>
  </si>
  <si>
    <t>评估单价</t>
    <phoneticPr fontId="135" type="noConversion"/>
  </si>
  <si>
    <t>评估总价</t>
    <phoneticPr fontId="135" type="noConversion"/>
  </si>
  <si>
    <t>抵押净值</t>
    <phoneticPr fontId="135" type="noConversion"/>
  </si>
  <si>
    <t>纳税基数</t>
    <phoneticPr fontId="38" type="noConversion"/>
  </si>
  <si>
    <t>纳税基数</t>
    <phoneticPr fontId="135" type="noConversion"/>
  </si>
  <si>
    <t>大</t>
  </si>
  <si>
    <t>美林大厦底商</t>
    <phoneticPr fontId="4" type="noConversion"/>
  </si>
  <si>
    <t>多面临街</t>
    <phoneticPr fontId="4" type="noConversion"/>
  </si>
  <si>
    <t>双面临街</t>
    <phoneticPr fontId="4" type="noConversion"/>
  </si>
  <si>
    <t>单面临街</t>
  </si>
  <si>
    <t>单面临街</t>
    <phoneticPr fontId="4" type="noConversion"/>
  </si>
  <si>
    <r>
      <t>15-20</t>
    </r>
    <r>
      <rPr>
        <sz val="11"/>
        <color indexed="8"/>
        <rFont val="宋体"/>
        <family val="3"/>
        <charset val="134"/>
      </rPr>
      <t>（含）</t>
    </r>
    <phoneticPr fontId="31" type="noConversion"/>
  </si>
  <si>
    <r>
      <t>15-20</t>
    </r>
    <r>
      <rPr>
        <sz val="11"/>
        <color indexed="8"/>
        <rFont val="宋体"/>
        <family val="3"/>
        <charset val="134"/>
      </rPr>
      <t>（含）</t>
    </r>
    <phoneticPr fontId="31" type="noConversion"/>
  </si>
  <si>
    <r>
      <t>15</t>
    </r>
    <r>
      <rPr>
        <sz val="11"/>
        <color indexed="8"/>
        <rFont val="宋体"/>
        <family val="3"/>
        <charset val="134"/>
      </rPr>
      <t>（含）以下</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</si>
</sst>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 numFmtId="197" formatCode="0.0"/>
    <numFmt numFmtId="198" formatCode="[DBNum2][$-804]General"/>
  </numFmts>
  <fonts count="272">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8"/>
      <color theme="1"/>
      <name val="宋体"/>
      <family val="3"/>
      <charset val="134"/>
      <scheme val="minor"/>
    </font>
    <font>
      <sz val="11"/>
      <color theme="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rgb="FFFFFFCC"/>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rgb="FFB2B2B2"/>
      </left>
      <right style="thin">
        <color rgb="FFB2B2B2"/>
      </right>
      <top style="thin">
        <color rgb="FFB2B2B2"/>
      </top>
      <bottom style="thin">
        <color rgb="FFB2B2B2"/>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271" fillId="23" borderId="176" applyNumberFormat="0" applyFont="0" applyAlignment="0" applyProtection="0">
      <alignment vertical="center"/>
    </xf>
  </cellStyleXfs>
  <cellXfs count="353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0" borderId="0" xfId="0" applyFont="1" applyAlignment="1">
      <alignment vertical="center" wrapText="1"/>
    </xf>
    <xf numFmtId="0" fontId="0" fillId="0" borderId="0" xfId="0" applyAlignment="1">
      <alignment vertical="center" wrapText="1"/>
    </xf>
    <xf numFmtId="0" fontId="270" fillId="0" borderId="1" xfId="0" applyFont="1" applyBorder="1" applyAlignment="1">
      <alignment horizontal="center" vertical="center"/>
    </xf>
    <xf numFmtId="0" fontId="270" fillId="0" borderId="1" xfId="0" applyFont="1" applyBorder="1" applyAlignment="1">
      <alignment horizontal="center" vertical="center" wrapText="1"/>
    </xf>
    <xf numFmtId="196" fontId="270" fillId="0" borderId="1" xfId="0" applyNumberFormat="1" applyFont="1" applyBorder="1" applyAlignment="1">
      <alignment horizontal="center" vertical="center" wrapText="1"/>
    </xf>
    <xf numFmtId="196" fontId="270" fillId="0" borderId="1" xfId="0" applyNumberFormat="1" applyFont="1" applyBorder="1" applyAlignment="1">
      <alignment horizontal="center" vertical="center"/>
    </xf>
    <xf numFmtId="0" fontId="270" fillId="5" borderId="1" xfId="0" applyFont="1" applyFill="1" applyBorder="1" applyAlignment="1">
      <alignment horizontal="center" vertical="center"/>
    </xf>
    <xf numFmtId="196" fontId="270" fillId="5" borderId="1" xfId="0" applyNumberFormat="1" applyFont="1" applyFill="1" applyBorder="1" applyAlignment="1">
      <alignment horizontal="center" vertical="center"/>
    </xf>
    <xf numFmtId="196" fontId="270" fillId="5" borderId="1" xfId="0" applyNumberFormat="1" applyFont="1" applyFill="1" applyBorder="1" applyAlignment="1">
      <alignment horizontal="center" vertical="center" wrapText="1"/>
    </xf>
    <xf numFmtId="196" fontId="270" fillId="0" borderId="1" xfId="0" applyNumberFormat="1" applyFont="1" applyBorder="1" applyAlignment="1">
      <alignment vertical="center" wrapText="1"/>
    </xf>
    <xf numFmtId="0" fontId="270" fillId="0" borderId="0" xfId="0" applyFont="1">
      <alignment vertical="center"/>
    </xf>
    <xf numFmtId="196" fontId="270" fillId="0" borderId="58" xfId="0" applyNumberFormat="1" applyFont="1" applyBorder="1" applyAlignment="1">
      <alignment horizontal="center" vertical="center" wrapText="1"/>
    </xf>
    <xf numFmtId="0" fontId="0" fillId="22" borderId="0" xfId="0" applyFill="1">
      <alignment vertical="center"/>
    </xf>
    <xf numFmtId="196" fontId="270" fillId="0" borderId="15" xfId="0" applyNumberFormat="1" applyFont="1" applyBorder="1" applyAlignment="1">
      <alignment horizontal="center" vertical="center" wrapText="1"/>
    </xf>
    <xf numFmtId="0" fontId="96" fillId="9" borderId="1" xfId="0" applyFont="1" applyFill="1" applyBorder="1" applyAlignment="1">
      <alignment horizontal="left" vertical="center"/>
    </xf>
    <xf numFmtId="0" fontId="0" fillId="0" borderId="0" xfId="0" applyAlignment="1">
      <alignment horizontal="center" vertical="center"/>
    </xf>
    <xf numFmtId="0" fontId="0" fillId="0" borderId="1" xfId="0" applyBorder="1" applyAlignment="1">
      <alignment horizontal="center" vertical="center"/>
    </xf>
    <xf numFmtId="0" fontId="96" fillId="0" borderId="1" xfId="0" applyFont="1" applyBorder="1" applyAlignment="1">
      <alignment horizontal="center" vertical="center"/>
    </xf>
    <xf numFmtId="0" fontId="0" fillId="22" borderId="1" xfId="0" applyFill="1" applyBorder="1" applyAlignment="1">
      <alignment horizontal="center" vertical="center"/>
    </xf>
    <xf numFmtId="0" fontId="96" fillId="0" borderId="13" xfId="0" applyFont="1" applyBorder="1" applyAlignment="1">
      <alignment horizontal="center" vertical="center"/>
    </xf>
    <xf numFmtId="0" fontId="0" fillId="0" borderId="2" xfId="0" applyBorder="1" applyAlignment="1">
      <alignment horizontal="center" vertical="center"/>
    </xf>
    <xf numFmtId="196" fontId="270" fillId="0" borderId="0" xfId="0" applyNumberFormat="1" applyFont="1" applyAlignment="1">
      <alignment horizontal="center" vertical="center" wrapText="1"/>
    </xf>
    <xf numFmtId="0" fontId="0" fillId="22" borderId="0" xfId="0" applyFill="1" applyAlignment="1">
      <alignment horizontal="center" vertical="center"/>
    </xf>
    <xf numFmtId="0" fontId="51" fillId="22" borderId="9" xfId="0" applyFont="1" applyFill="1" applyBorder="1" applyAlignment="1" applyProtection="1">
      <alignment horizontal="left" vertical="center" wrapText="1"/>
      <protection locked="0"/>
    </xf>
    <xf numFmtId="0" fontId="129" fillId="0" borderId="2"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49" fontId="223" fillId="0" borderId="24" xfId="0" applyNumberFormat="1" applyFont="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223" fillId="0" borderId="49" xfId="0" applyFont="1" applyBorder="1" applyProtection="1">
      <alignment vertical="center"/>
      <protection locked="0"/>
    </xf>
    <xf numFmtId="0" fontId="223" fillId="0" borderId="108" xfId="0" applyFont="1" applyBorder="1" applyAlignment="1" applyProtection="1">
      <alignment horizontal="center" vertical="center" wrapText="1"/>
      <protection locked="0"/>
    </xf>
    <xf numFmtId="49" fontId="129" fillId="0" borderId="44" xfId="0" applyNumberFormat="1" applyFont="1" applyBorder="1" applyAlignment="1" applyProtection="1">
      <alignment horizontal="center" vertical="center" wrapText="1"/>
      <protection locked="0"/>
    </xf>
    <xf numFmtId="49" fontId="48" fillId="10" borderId="6" xfId="0" applyNumberFormat="1" applyFont="1" applyFill="1" applyBorder="1" applyAlignment="1" applyProtection="1">
      <alignment horizontal="center" vertical="center" wrapText="1"/>
      <protection locked="0"/>
    </xf>
    <xf numFmtId="0" fontId="0" fillId="0" borderId="1" xfId="0" applyBorder="1">
      <alignment vertical="center"/>
    </xf>
    <xf numFmtId="179" fontId="55" fillId="6" borderId="1" xfId="0" applyNumberFormat="1" applyFont="1" applyFill="1" applyBorder="1" applyAlignment="1">
      <alignment horizontal="left" vertical="center" wrapText="1"/>
    </xf>
    <xf numFmtId="178" fontId="55" fillId="6" borderId="32" xfId="0" applyNumberFormat="1" applyFont="1" applyFill="1" applyBorder="1" applyAlignment="1">
      <alignment horizontal="left" vertical="center" wrapText="1"/>
    </xf>
    <xf numFmtId="0" fontId="20" fillId="6" borderId="2" xfId="0" applyFont="1" applyFill="1" applyBorder="1" applyAlignment="1">
      <alignment horizontal="left" vertical="center" wrapText="1"/>
    </xf>
    <xf numFmtId="0" fontId="81" fillId="6" borderId="1" xfId="0" applyFont="1" applyFill="1" applyBorder="1" applyAlignment="1">
      <alignment horizontal="left" vertical="center" wrapText="1"/>
    </xf>
    <xf numFmtId="0" fontId="0" fillId="0" borderId="0" xfId="0" applyAlignment="1">
      <alignment horizontal="center" vertical="center" wrapText="1"/>
    </xf>
    <xf numFmtId="0" fontId="20" fillId="0" borderId="1" xfId="19" applyNumberFormat="1" applyFont="1" applyFill="1" applyBorder="1" applyAlignment="1">
      <alignment horizontal="left" vertical="center" wrapText="1"/>
    </xf>
    <xf numFmtId="0" fontId="0" fillId="0" borderId="1" xfId="0" applyBorder="1" applyAlignment="1">
      <alignment horizontal="left" vertical="center"/>
    </xf>
    <xf numFmtId="10" fontId="0" fillId="0" borderId="1" xfId="0" applyNumberFormat="1" applyBorder="1" applyAlignment="1">
      <alignment horizontal="left" vertical="center"/>
    </xf>
    <xf numFmtId="0" fontId="96" fillId="0" borderId="1" xfId="0" applyFont="1" applyBorder="1" applyAlignment="1">
      <alignment horizontal="left" vertical="center" wrapText="1"/>
    </xf>
    <xf numFmtId="0" fontId="0" fillId="0" borderId="1" xfId="0" applyBorder="1" applyAlignment="1">
      <alignment horizontal="left" vertical="center" wrapText="1"/>
    </xf>
    <xf numFmtId="2" fontId="161" fillId="0" borderId="13" xfId="12" applyNumberFormat="1" applyFont="1" applyBorder="1" applyAlignment="1" applyProtection="1">
      <alignment horizontal="left" vertical="center" wrapText="1"/>
      <protection locked="0"/>
    </xf>
    <xf numFmtId="197" fontId="0" fillId="0" borderId="1" xfId="0" applyNumberFormat="1" applyBorder="1" applyAlignment="1">
      <alignment horizontal="left" vertical="center"/>
    </xf>
    <xf numFmtId="181" fontId="48" fillId="12" borderId="0" xfId="0" applyNumberFormat="1" applyFont="1" applyFill="1" applyAlignment="1" applyProtection="1">
      <alignment horizontal="center"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270" fillId="0" borderId="0" xfId="0" applyFont="1" applyAlignment="1">
      <alignment horizontal="center" vertical="center"/>
    </xf>
    <xf numFmtId="0" fontId="96" fillId="0" borderId="1" xfId="0" applyFont="1" applyBorder="1" applyAlignment="1">
      <alignment horizontal="center" vertical="center"/>
    </xf>
    <xf numFmtId="0" fontId="0" fillId="0" borderId="1" xfId="0" applyBorder="1" applyAlignment="1">
      <alignment horizontal="center"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3"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0" fillId="0" borderId="0" xfId="0" applyFill="1" applyAlignment="1">
      <alignment horizontal="center" vertical="center"/>
    </xf>
    <xf numFmtId="0" fontId="96" fillId="0" borderId="1" xfId="0" applyFont="1" applyFill="1" applyBorder="1" applyAlignment="1">
      <alignment horizontal="left" vertical="center"/>
    </xf>
    <xf numFmtId="0" fontId="0" fillId="0" borderId="1" xfId="0" applyFill="1" applyBorder="1" applyAlignment="1">
      <alignment horizontal="left" vertical="center"/>
    </xf>
    <xf numFmtId="179" fontId="0" fillId="0" borderId="0" xfId="0" applyNumberFormat="1" applyFill="1" applyAlignment="1">
      <alignment horizontal="center" vertical="center"/>
    </xf>
    <xf numFmtId="2" fontId="0" fillId="0" borderId="1" xfId="0" applyNumberFormat="1" applyFill="1" applyBorder="1" applyAlignment="1">
      <alignment horizontal="left" vertical="center"/>
    </xf>
    <xf numFmtId="198" fontId="0" fillId="0" borderId="0" xfId="0" applyNumberFormat="1" applyAlignment="1">
      <alignment horizontal="center"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注释" xfId="19" builtinId="10"/>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24</xdr:row>
      <xdr:rowOff>95780</xdr:rowOff>
    </xdr:to>
    <xdr:pic>
      <xdr:nvPicPr>
        <xdr:cNvPr id="3" name="图片 2">
          <a:extLst>
            <a:ext uri="{FF2B5EF4-FFF2-40B4-BE49-F238E27FC236}">
              <a16:creationId xmlns:a16="http://schemas.microsoft.com/office/drawing/2014/main" id="{0009AEFE-E721-3256-4A70-5A10E9BEED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4210580"/>
        </a:xfrm>
        <a:prstGeom prst="rect">
          <a:avLst/>
        </a:prstGeom>
      </xdr:spPr>
    </xdr:pic>
    <xdr:clientData/>
  </xdr:twoCellAnchor>
  <xdr:twoCellAnchor editAs="oneCell">
    <xdr:from>
      <xdr:col>0</xdr:col>
      <xdr:colOff>0</xdr:colOff>
      <xdr:row>53</xdr:row>
      <xdr:rowOff>0</xdr:rowOff>
    </xdr:from>
    <xdr:to>
      <xdr:col>11</xdr:col>
      <xdr:colOff>228600</xdr:colOff>
      <xdr:row>79</xdr:row>
      <xdr:rowOff>23455</xdr:rowOff>
    </xdr:to>
    <xdr:pic>
      <xdr:nvPicPr>
        <xdr:cNvPr id="7" name="图片 6">
          <a:extLst>
            <a:ext uri="{FF2B5EF4-FFF2-40B4-BE49-F238E27FC236}">
              <a16:creationId xmlns:a16="http://schemas.microsoft.com/office/drawing/2014/main" id="{B8C5339D-C486-F119-D959-66B0367744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086850"/>
          <a:ext cx="7772400" cy="4481155"/>
        </a:xfrm>
        <a:prstGeom prst="rect">
          <a:avLst/>
        </a:prstGeom>
      </xdr:spPr>
    </xdr:pic>
    <xdr:clientData/>
  </xdr:twoCellAnchor>
  <xdr:twoCellAnchor editAs="oneCell">
    <xdr:from>
      <xdr:col>0</xdr:col>
      <xdr:colOff>0</xdr:colOff>
      <xdr:row>26</xdr:row>
      <xdr:rowOff>0</xdr:rowOff>
    </xdr:from>
    <xdr:to>
      <xdr:col>11</xdr:col>
      <xdr:colOff>228600</xdr:colOff>
      <xdr:row>49</xdr:row>
      <xdr:rowOff>19050</xdr:rowOff>
    </xdr:to>
    <xdr:pic>
      <xdr:nvPicPr>
        <xdr:cNvPr id="9" name="图片 8">
          <a:extLst>
            <a:ext uri="{FF2B5EF4-FFF2-40B4-BE49-F238E27FC236}">
              <a16:creationId xmlns:a16="http://schemas.microsoft.com/office/drawing/2014/main" id="{B6997198-403B-4935-6CD2-66B4CC9F39D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4457700"/>
          <a:ext cx="7772400" cy="3962400"/>
        </a:xfrm>
        <a:prstGeom prst="rect">
          <a:avLst/>
        </a:prstGeom>
      </xdr:spPr>
    </xdr:pic>
    <xdr:clientData/>
  </xdr:twoCellAnchor>
  <xdr:twoCellAnchor editAs="oneCell">
    <xdr:from>
      <xdr:col>2</xdr:col>
      <xdr:colOff>0</xdr:colOff>
      <xdr:row>81</xdr:row>
      <xdr:rowOff>0</xdr:rowOff>
    </xdr:from>
    <xdr:to>
      <xdr:col>12</xdr:col>
      <xdr:colOff>400050</xdr:colOff>
      <xdr:row>116</xdr:row>
      <xdr:rowOff>57150</xdr:rowOff>
    </xdr:to>
    <xdr:pic>
      <xdr:nvPicPr>
        <xdr:cNvPr id="4" name="图片 3">
          <a:extLst>
            <a:ext uri="{FF2B5EF4-FFF2-40B4-BE49-F238E27FC236}">
              <a16:creationId xmlns:a16="http://schemas.microsoft.com/office/drawing/2014/main" id="{D332FC7B-65C0-60F1-CD8D-9C3D62E7FAA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71600" y="13887450"/>
          <a:ext cx="7258050" cy="6057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700;&#38754;/&#21556;&#22992;&#21326;&#22799;&#38134;&#34892;&#35810;&#2021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估价对象为北京市房地产，为所有。根据，估价对象（分摊）出让国有建设用地使用权面积为0平方米，建筑面积为6356.88平方米。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估价对象为北京市房地产,属开发建设的，该项目尚在开发建设中。根据，估价对象（分摊）出让国有建设用地使用权面积为0平方米，规划建筑面积为6356.88平方米。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2023年4月6日（评估专业人员实地查勘之日）</v>
      </c>
    </row>
    <row r="13" spans="1:2">
      <c r="A13" s="1118" t="s">
        <v>529</v>
      </c>
      <c r="B13" s="1119" t="str">
        <f>'预评函-1'!A18</f>
        <v>本次估价的“房地产价值”是指在正常市场情况下，在价值时点2023年4月6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本次评估采用的主估价方法为比较法和成本法。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823</v>
      </c>
    </row>
    <row r="21" spans="1:2">
      <c r="A21" s="1118" t="s">
        <v>537</v>
      </c>
      <c r="B21" s="1119">
        <f ca="1">'预评函-2'!D7</f>
        <v>1295</v>
      </c>
    </row>
    <row r="22" spans="1:2">
      <c r="A22" s="1118" t="s">
        <v>538</v>
      </c>
      <c r="B22" s="1119" t="str">
        <f ca="1">'预评函-2'!D6</f>
        <v>捌佰贰拾叁万元整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823</v>
      </c>
    </row>
    <row r="31" spans="1:2">
      <c r="A31" s="1118" t="s">
        <v>576</v>
      </c>
      <c r="B31" s="1119">
        <f ca="1">'预评函-2'!D15</f>
        <v>1295</v>
      </c>
    </row>
    <row r="32" spans="1:2">
      <c r="A32" s="1118" t="s">
        <v>543</v>
      </c>
      <c r="B32" s="1119" t="str">
        <f ca="1">'预评函-2'!D14</f>
        <v>捌佰贰拾叁万元整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4.抵押净值</v>
      </c>
    </row>
    <row r="38" spans="1:2">
      <c r="A38" s="1118" t="s">
        <v>597</v>
      </c>
      <c r="B38" s="1119">
        <f ca="1">'预评函-2'!D19</f>
        <v>794</v>
      </c>
    </row>
    <row r="39" spans="1:2">
      <c r="A39" s="1118" t="s">
        <v>545</v>
      </c>
      <c r="B39" s="1119">
        <f ca="1">'预评函-2'!D21</f>
        <v>1249</v>
      </c>
    </row>
    <row r="40" spans="1:2">
      <c r="A40" s="1118" t="s">
        <v>546</v>
      </c>
      <c r="B40" s="1119" t="str">
        <f ca="1">'预评函-2'!D20</f>
        <v>柒佰玖拾肆万元整</v>
      </c>
    </row>
    <row r="41" spans="1:2">
      <c r="A41" s="1118" t="s">
        <v>592</v>
      </c>
      <c r="B41" s="1119" t="str">
        <f>'预评函-3'!A4</f>
        <v>北京市房地产</v>
      </c>
    </row>
    <row r="42" spans="1:2">
      <c r="A42" s="1118" t="s">
        <v>590</v>
      </c>
      <c r="B42" s="1119" t="str">
        <f>'预评函-3'!B2</f>
        <v>建筑面积</v>
      </c>
    </row>
    <row r="43" spans="1:2">
      <c r="A43" s="1118" t="s">
        <v>591</v>
      </c>
      <c r="B43" s="1119">
        <f>'预评函-3'!B4</f>
        <v>6356.88</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817</v>
      </c>
    </row>
    <row r="48" spans="1:2">
      <c r="A48" s="1118" t="s">
        <v>549</v>
      </c>
      <c r="B48" s="1119">
        <f ca="1">'预评函-3'!E4</f>
        <v>1286</v>
      </c>
    </row>
    <row r="49" spans="1:2">
      <c r="A49" s="1118" t="s">
        <v>550</v>
      </c>
      <c r="B49" s="1119" t="str">
        <f ca="1">'预评函-3'!D5</f>
        <v>捌佰壹拾柒万元整</v>
      </c>
    </row>
    <row r="50" spans="1:2">
      <c r="A50" s="1118" t="s">
        <v>574</v>
      </c>
      <c r="B50" s="1119" t="str">
        <f>'预评函-3'!F2</f>
        <v>在建建筑物价值</v>
      </c>
    </row>
    <row r="51" spans="1:2">
      <c r="A51" s="1118" t="s">
        <v>551</v>
      </c>
      <c r="B51" s="1119">
        <f ca="1">'预评函-3'!F4</f>
        <v>6</v>
      </c>
    </row>
    <row r="52" spans="1:2">
      <c r="A52" s="1118" t="s">
        <v>552</v>
      </c>
      <c r="B52" s="1119">
        <f ca="1">'预评函-3'!G4</f>
        <v>9</v>
      </c>
    </row>
    <row r="53" spans="1:2">
      <c r="A53" s="1118" t="s">
        <v>580</v>
      </c>
      <c r="B53" s="1119" t="str">
        <f ca="1">'预评函-3'!F5</f>
        <v>陆万元整</v>
      </c>
    </row>
    <row r="54" spans="1:2">
      <c r="A54" s="1118" t="s">
        <v>598</v>
      </c>
      <c r="B54" s="1119" t="str">
        <f>'预评函-3'!A8</f>
        <v>房地产抵押价值</v>
      </c>
    </row>
    <row r="55" spans="1:2">
      <c r="A55" s="1118" t="s">
        <v>581</v>
      </c>
      <c r="B55" s="1119" t="str">
        <f>'预评函-3'!A10</f>
        <v/>
      </c>
    </row>
    <row r="56" spans="1:2">
      <c r="A56" s="1118" t="s">
        <v>582</v>
      </c>
      <c r="B56" s="1119" t="str">
        <f>'预评函-3'!A12</f>
        <v>抵押净值</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P26" sqref="P26"/>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3341</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3327</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3328</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3329</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3330</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3331</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3332</v>
      </c>
    </row>
    <row r="8" spans="1:23">
      <c r="A8" s="1440" t="s">
        <v>1026</v>
      </c>
      <c r="B8" s="1440" t="s">
        <v>1027</v>
      </c>
      <c r="C8" s="1441" t="s">
        <v>319</v>
      </c>
      <c r="F8" s="1442" t="s">
        <v>1028</v>
      </c>
      <c r="H8" s="1442" t="s">
        <v>2564</v>
      </c>
      <c r="I8" s="1442" t="s">
        <v>3333</v>
      </c>
    </row>
    <row r="9" spans="1:23">
      <c r="A9" s="1440" t="s">
        <v>1029</v>
      </c>
      <c r="B9" s="1440" t="s">
        <v>1030</v>
      </c>
      <c r="C9" s="1441" t="s">
        <v>320</v>
      </c>
      <c r="F9" s="1442" t="s">
        <v>1031</v>
      </c>
      <c r="H9" s="1442"/>
      <c r="I9" s="1444" t="s">
        <v>3334</v>
      </c>
    </row>
    <row r="10" spans="1:23">
      <c r="A10" s="1440" t="s">
        <v>1032</v>
      </c>
      <c r="B10" s="1440" t="s">
        <v>1033</v>
      </c>
      <c r="C10" s="1441" t="s">
        <v>321</v>
      </c>
      <c r="F10" s="1442" t="s">
        <v>2565</v>
      </c>
      <c r="I10" s="1444" t="s">
        <v>3335</v>
      </c>
    </row>
    <row r="11" spans="1:23">
      <c r="A11" s="1440" t="s">
        <v>1034</v>
      </c>
      <c r="B11" s="1440" t="s">
        <v>1035</v>
      </c>
      <c r="C11" s="1441" t="s">
        <v>322</v>
      </c>
      <c r="F11" s="1442" t="s">
        <v>13</v>
      </c>
      <c r="I11" s="1444" t="s">
        <v>3336</v>
      </c>
    </row>
    <row r="12" spans="1:23">
      <c r="A12" s="1440" t="s">
        <v>1036</v>
      </c>
      <c r="B12" s="1440" t="s">
        <v>1037</v>
      </c>
      <c r="C12" s="1441" t="s">
        <v>323</v>
      </c>
      <c r="I12" s="1444" t="s">
        <v>3337</v>
      </c>
    </row>
    <row r="13" spans="1:23">
      <c r="A13" s="1440" t="s">
        <v>1038</v>
      </c>
      <c r="B13" s="1440" t="s">
        <v>1039</v>
      </c>
      <c r="C13" s="1441" t="s">
        <v>324</v>
      </c>
      <c r="I13" s="1444" t="s">
        <v>3338</v>
      </c>
    </row>
    <row r="14" spans="1:23">
      <c r="A14" s="1440" t="s">
        <v>1040</v>
      </c>
      <c r="B14" s="1440" t="s">
        <v>1041</v>
      </c>
      <c r="C14" s="1442" t="s">
        <v>13</v>
      </c>
      <c r="I14" s="1444" t="s">
        <v>3339</v>
      </c>
    </row>
    <row r="15" spans="1:23">
      <c r="A15" s="1440" t="s">
        <v>1042</v>
      </c>
      <c r="B15" s="1440" t="s">
        <v>1043</v>
      </c>
      <c r="C15" s="1441"/>
      <c r="I15" s="1444" t="s">
        <v>3340</v>
      </c>
    </row>
    <row r="16" spans="1:23">
      <c r="A16" s="1440" t="s">
        <v>1044</v>
      </c>
      <c r="B16" s="1440" t="s">
        <v>312</v>
      </c>
      <c r="C16" s="1441"/>
    </row>
    <row r="17" spans="1:3">
      <c r="A17" s="1440" t="s">
        <v>1045</v>
      </c>
      <c r="B17" s="1440" t="s">
        <v>2277</v>
      </c>
      <c r="C17" s="1441"/>
    </row>
    <row r="18" spans="1:3">
      <c r="A18" s="1440" t="s">
        <v>1046</v>
      </c>
      <c r="B18" s="1440" t="s">
        <v>2420</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9"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9"/>
      <c r="B54" s="1446" t="s">
        <v>385</v>
      </c>
      <c r="C54" s="1444" t="s">
        <v>583</v>
      </c>
    </row>
    <row r="55" spans="1:4">
      <c r="A55" s="3229"/>
      <c r="B55" s="1446" t="s">
        <v>386</v>
      </c>
      <c r="C55" s="1444" t="s">
        <v>584</v>
      </c>
    </row>
    <row r="56" spans="1:4">
      <c r="A56" s="3229"/>
      <c r="B56" s="1446" t="s">
        <v>387</v>
      </c>
      <c r="C56" s="1444" t="s">
        <v>588</v>
      </c>
    </row>
    <row r="57" spans="1:4">
      <c r="A57" s="3229"/>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5"/>
    <col min="8" max="8" width="5.5" style="2755" customWidth="1"/>
    <col min="9" max="13" width="9.5" style="2796" customWidth="1"/>
    <col min="14" max="18" width="9.5" style="2755" customWidth="1"/>
    <col min="19" max="16384" width="15.25" style="2755"/>
  </cols>
  <sheetData>
    <row r="1" spans="1:18">
      <c r="A1" s="2752" t="s">
        <v>2487</v>
      </c>
      <c r="B1" s="2753"/>
      <c r="C1" s="2753"/>
      <c r="D1" s="2753"/>
      <c r="E1" s="2753"/>
      <c r="F1" s="2754"/>
      <c r="I1" s="3131" t="s">
        <v>2580</v>
      </c>
      <c r="J1" s="2779"/>
      <c r="K1" s="2779"/>
      <c r="L1" s="2779"/>
      <c r="M1" s="2779"/>
      <c r="N1" s="2964"/>
      <c r="O1" s="2964"/>
      <c r="P1" s="2964"/>
      <c r="Q1" s="2964"/>
      <c r="R1" s="2964"/>
    </row>
    <row r="2" spans="1:18">
      <c r="A2" s="2756"/>
      <c r="B2" s="2757"/>
      <c r="C2" s="2757"/>
      <c r="D2" s="2757"/>
      <c r="E2" s="2757"/>
      <c r="F2" s="2758"/>
      <c r="I2" s="3230" t="s">
        <v>2567</v>
      </c>
      <c r="J2" s="3230"/>
      <c r="K2" s="3230"/>
      <c r="L2" s="3230"/>
      <c r="M2" s="3230"/>
      <c r="N2" s="3230"/>
      <c r="O2" s="3230"/>
      <c r="P2" s="3230"/>
      <c r="Q2" s="3230"/>
      <c r="R2" s="3230"/>
    </row>
    <row r="3" spans="1:18">
      <c r="A3" s="2759" t="s">
        <v>2488</v>
      </c>
      <c r="B3" s="2760">
        <f>项目基本情况!D3</f>
        <v>45022</v>
      </c>
      <c r="C3" s="2762"/>
      <c r="D3" s="2762"/>
      <c r="E3" s="2762"/>
      <c r="F3" s="2758"/>
      <c r="I3" s="2774"/>
      <c r="J3" s="2774" t="s">
        <v>2571</v>
      </c>
      <c r="K3" s="2774" t="s">
        <v>2572</v>
      </c>
      <c r="L3" s="2774" t="s">
        <v>2573</v>
      </c>
      <c r="M3" s="2774" t="s">
        <v>2574</v>
      </c>
      <c r="N3" s="3132" t="s">
        <v>2575</v>
      </c>
      <c r="O3" s="3132" t="s">
        <v>2576</v>
      </c>
      <c r="P3" s="3132" t="s">
        <v>2577</v>
      </c>
      <c r="Q3" s="3132" t="s">
        <v>2578</v>
      </c>
      <c r="R3" s="3132" t="s">
        <v>2579</v>
      </c>
    </row>
    <row r="4" spans="1:18">
      <c r="A4" s="2759" t="s">
        <v>2489</v>
      </c>
      <c r="B4" s="2762" t="s">
        <v>2490</v>
      </c>
      <c r="C4" s="2762" t="s">
        <v>2491</v>
      </c>
      <c r="D4" s="2762" t="s">
        <v>2492</v>
      </c>
      <c r="E4" s="2762" t="s">
        <v>2493</v>
      </c>
      <c r="F4" s="2758"/>
      <c r="I4" s="2774" t="s">
        <v>2568</v>
      </c>
      <c r="J4" s="2774">
        <v>80</v>
      </c>
      <c r="K4" s="2774">
        <v>70</v>
      </c>
      <c r="L4" s="2774">
        <v>20</v>
      </c>
      <c r="M4" s="2774">
        <v>30</v>
      </c>
      <c r="N4" s="2762">
        <v>45</v>
      </c>
      <c r="O4" s="2762">
        <v>60</v>
      </c>
      <c r="P4" s="2762">
        <v>50</v>
      </c>
      <c r="Q4" s="2762">
        <v>20</v>
      </c>
      <c r="R4" s="2762">
        <v>375</v>
      </c>
    </row>
    <row r="5" spans="1:18">
      <c r="A5" s="2763">
        <v>40</v>
      </c>
      <c r="B5" s="2760">
        <v>46375</v>
      </c>
      <c r="C5" s="2762">
        <f>ROUNDDOWN(MIN((B5-B3)/365,A5),2)</f>
        <v>3.7</v>
      </c>
      <c r="D5" s="2764">
        <f>IF(ISERROR(ROUND(POWER(1+E5,A5-C5)*(POWER(1+E5,C5)-1)/(POWER(1+E5,A5)-1),3)),0,ROUND(POWER(1+E5,A5-C5)*(POWER(1+E5,C5)-1)/(POWER(1+E5,A5)-1),4))</f>
        <v>0.1706</v>
      </c>
      <c r="E5" s="2765">
        <v>0.04</v>
      </c>
      <c r="F5" s="2758"/>
      <c r="I5" s="2774" t="s">
        <v>2569</v>
      </c>
      <c r="J5" s="2774">
        <v>70</v>
      </c>
      <c r="K5" s="2774">
        <v>60</v>
      </c>
      <c r="L5" s="2774">
        <v>15</v>
      </c>
      <c r="M5" s="2774">
        <v>25</v>
      </c>
      <c r="N5" s="2762">
        <v>40</v>
      </c>
      <c r="O5" s="2762">
        <v>50</v>
      </c>
      <c r="P5" s="2762">
        <v>40</v>
      </c>
      <c r="Q5" s="2762">
        <v>15</v>
      </c>
      <c r="R5" s="2762">
        <v>315</v>
      </c>
    </row>
    <row r="6" spans="1:18">
      <c r="A6" s="2763">
        <v>50</v>
      </c>
      <c r="B6" s="2760">
        <v>50028</v>
      </c>
      <c r="C6" s="2762">
        <f>ROUNDDOWN(MIN((B6-B3)/365,A6),2)</f>
        <v>13.71</v>
      </c>
      <c r="D6" s="2764">
        <f>IF(ISERROR(ROUND(POWER(1+E6,A6-C6)*(POWER(1+E6,C6)-1)/(POWER(1+E6,A6)-1),3)),0,ROUND(POWER(1+E6,A6-C6)*(POWER(1+E6,C6)-1)/(POWER(1+E6,A6)-1),4))</f>
        <v>0.48399999999999999</v>
      </c>
      <c r="E6" s="2765">
        <v>0.04</v>
      </c>
      <c r="F6" s="2758"/>
      <c r="I6" s="2774" t="s">
        <v>2570</v>
      </c>
      <c r="J6" s="2774">
        <v>60</v>
      </c>
      <c r="K6" s="2774">
        <v>50</v>
      </c>
      <c r="L6" s="2774">
        <v>10</v>
      </c>
      <c r="M6" s="2774">
        <v>20</v>
      </c>
      <c r="N6" s="2762">
        <v>35</v>
      </c>
      <c r="O6" s="2762">
        <v>40</v>
      </c>
      <c r="P6" s="2762">
        <v>30</v>
      </c>
      <c r="Q6" s="2762">
        <v>10</v>
      </c>
      <c r="R6" s="2762">
        <v>255</v>
      </c>
    </row>
    <row r="7" spans="1:18">
      <c r="A7" s="2763">
        <v>70</v>
      </c>
      <c r="B7" s="2760">
        <v>57333</v>
      </c>
      <c r="C7" s="2762">
        <f>ROUNDDOWN(MIN((B7-B3)/365,A7),2)</f>
        <v>33.72</v>
      </c>
      <c r="D7" s="2764">
        <f>IF(ISERROR(ROUND(POWER(1+E7,A7-C7)*(POWER(1+E7,C7)-1)/(POWER(1+E7,A7)-1),3)),0,ROUND(POWER(1+E7,A7-C7)*(POWER(1+E7,C7)-1)/(POWER(1+E7,A7)-1),4))</f>
        <v>0.78390000000000004</v>
      </c>
      <c r="E7" s="2765">
        <v>0.04</v>
      </c>
      <c r="F7" s="2758"/>
    </row>
    <row r="8" spans="1:18">
      <c r="A8" s="2756"/>
      <c r="B8" s="2757"/>
      <c r="C8" s="2757"/>
      <c r="D8" s="2757"/>
      <c r="E8" s="2757"/>
      <c r="F8" s="2758"/>
    </row>
    <row r="9" spans="1:18">
      <c r="A9" s="2759" t="s">
        <v>2494</v>
      </c>
      <c r="B9" s="2762"/>
      <c r="C9" s="2762"/>
      <c r="D9" s="2762"/>
      <c r="E9" s="2762"/>
      <c r="F9" s="2766"/>
    </row>
    <row r="10" spans="1:18">
      <c r="A10" s="2759" t="s">
        <v>2495</v>
      </c>
      <c r="B10" s="2762"/>
      <c r="C10" s="2762"/>
      <c r="D10" s="2762" t="s">
        <v>2493</v>
      </c>
      <c r="E10" s="2762"/>
      <c r="F10" s="2766" t="s">
        <v>2492</v>
      </c>
    </row>
    <row r="11" spans="1:18">
      <c r="A11" s="2759" t="s">
        <v>2496</v>
      </c>
      <c r="B11" s="2767">
        <v>70</v>
      </c>
      <c r="C11" s="2762" t="s">
        <v>2497</v>
      </c>
      <c r="D11" s="2767">
        <v>4.4999999999999998E-2</v>
      </c>
      <c r="E11" s="2762" t="s">
        <v>2498</v>
      </c>
      <c r="F11" s="2768">
        <f>ROUND(1-(1/(POWER(1+D11,B11))),4)</f>
        <v>0.95409999999999995</v>
      </c>
    </row>
    <row r="12" spans="1:18">
      <c r="A12" s="2759" t="s">
        <v>2499</v>
      </c>
      <c r="B12" s="2767">
        <v>40</v>
      </c>
      <c r="C12" s="2762" t="s">
        <v>2500</v>
      </c>
      <c r="D12" s="2767">
        <v>4.4999999999999998E-2</v>
      </c>
      <c r="E12" s="2762" t="s">
        <v>2501</v>
      </c>
      <c r="F12" s="2768">
        <f>ROUND(1-(1/(POWER(1+D12,B12))),4)</f>
        <v>0.82809999999999995</v>
      </c>
    </row>
    <row r="13" spans="1:18">
      <c r="A13" s="2759" t="s">
        <v>2502</v>
      </c>
      <c r="B13" s="2762"/>
      <c r="C13" s="2762"/>
      <c r="D13" s="2757"/>
      <c r="E13" s="2757"/>
      <c r="F13" s="2758"/>
    </row>
    <row r="14" spans="1:18">
      <c r="A14" s="2759" t="s">
        <v>2503</v>
      </c>
      <c r="B14" s="2767">
        <v>5000</v>
      </c>
      <c r="C14" s="2761"/>
      <c r="D14" s="2757"/>
      <c r="E14" s="2757"/>
      <c r="F14" s="2758"/>
    </row>
    <row r="15" spans="1:18">
      <c r="A15" s="2759" t="s">
        <v>2504</v>
      </c>
      <c r="B15" s="2762">
        <f>ROUND(B14*F12/F11,2)</f>
        <v>4339.6899999999996</v>
      </c>
      <c r="C15" s="2762">
        <f>ROUND(F12/F11,4)</f>
        <v>0.8679</v>
      </c>
      <c r="D15" s="2757"/>
      <c r="E15" s="2757"/>
      <c r="F15" s="2758"/>
    </row>
    <row r="16" spans="1:18">
      <c r="A16" s="2759" t="s">
        <v>2505</v>
      </c>
      <c r="B16" s="2762"/>
      <c r="C16" s="2762"/>
      <c r="D16" s="2757"/>
      <c r="E16" s="2757"/>
      <c r="F16" s="2758"/>
    </row>
    <row r="17" spans="1:13">
      <c r="A17" s="2759" t="s">
        <v>2504</v>
      </c>
      <c r="B17" s="2767">
        <v>4810</v>
      </c>
      <c r="C17" s="2761"/>
      <c r="D17" s="2757"/>
      <c r="E17" s="2757"/>
      <c r="F17" s="2758"/>
    </row>
    <row r="18" spans="1:13" ht="14.25" thickBot="1">
      <c r="A18" s="2769" t="s">
        <v>2503</v>
      </c>
      <c r="B18" s="2770">
        <f>ROUND(B17*F11/F12,2)</f>
        <v>5541.87</v>
      </c>
      <c r="C18" s="2770">
        <f>ROUND(F11/F12,4)</f>
        <v>1.1521999999999999</v>
      </c>
      <c r="D18" s="2771"/>
      <c r="E18" s="2771"/>
      <c r="F18" s="2772"/>
    </row>
    <row r="19" spans="1:13" ht="14.25" thickBot="1"/>
    <row r="20" spans="1:13" s="2805" customFormat="1" ht="14.25" thickTop="1">
      <c r="A20" s="2802" t="s">
        <v>2506</v>
      </c>
      <c r="B20" s="2803"/>
      <c r="C20" s="2803"/>
      <c r="D20" s="2803"/>
      <c r="E20" s="2803"/>
      <c r="F20" s="2803"/>
      <c r="G20" s="2804"/>
      <c r="I20" s="2806" t="s">
        <v>2551</v>
      </c>
      <c r="J20" s="2806" t="s">
        <v>2556</v>
      </c>
      <c r="K20" s="2806"/>
      <c r="L20" s="2806"/>
      <c r="M20" s="2806"/>
    </row>
    <row r="21" spans="1:13">
      <c r="A21" s="2773"/>
      <c r="B21" s="2774" t="s">
        <v>2507</v>
      </c>
      <c r="C21" s="2774" t="s">
        <v>2508</v>
      </c>
      <c r="D21" s="2774" t="s">
        <v>2509</v>
      </c>
      <c r="E21" s="2774" t="s">
        <v>2510</v>
      </c>
      <c r="F21" s="2774" t="s">
        <v>2511</v>
      </c>
      <c r="G21" s="2775" t="s">
        <v>2512</v>
      </c>
      <c r="I21" s="2796">
        <v>5</v>
      </c>
      <c r="J21" s="2796">
        <v>54.2</v>
      </c>
    </row>
    <row r="22" spans="1:13">
      <c r="A22" s="2773" t="s">
        <v>2513</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3">
      <c r="A23" s="2773" t="s">
        <v>2514</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2554</v>
      </c>
      <c r="M23" s="2796" t="s">
        <v>2555</v>
      </c>
    </row>
    <row r="24" spans="1:13">
      <c r="A24" s="2773" t="s">
        <v>2515</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2553</v>
      </c>
      <c r="M24" s="2796">
        <v>10</v>
      </c>
    </row>
    <row r="25" spans="1:13">
      <c r="A25" s="2773" t="s">
        <v>2516</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2557</v>
      </c>
      <c r="M25" s="2796">
        <v>8</v>
      </c>
    </row>
    <row r="26" spans="1:13">
      <c r="A26" s="2778"/>
      <c r="B26" s="2779"/>
      <c r="C26" s="2779"/>
      <c r="D26" s="2779"/>
      <c r="E26" s="2779"/>
      <c r="F26" s="2779"/>
      <c r="G26" s="2780"/>
      <c r="I26" s="2796">
        <v>30</v>
      </c>
      <c r="J26" s="2796">
        <v>90.5</v>
      </c>
      <c r="K26" s="2796">
        <f t="shared" si="2"/>
        <v>4.2000000000000028</v>
      </c>
      <c r="L26" s="2796" t="s">
        <v>2558</v>
      </c>
      <c r="M26" s="2796">
        <v>5</v>
      </c>
    </row>
    <row r="27" spans="1:13">
      <c r="A27" s="2778" t="s">
        <v>2517</v>
      </c>
      <c r="B27" s="2779"/>
      <c r="C27" s="2779"/>
      <c r="D27" s="2779"/>
      <c r="E27" s="2779"/>
      <c r="F27" s="2779"/>
      <c r="G27" s="2780"/>
      <c r="I27" s="2796">
        <v>35</v>
      </c>
      <c r="J27" s="2796">
        <v>93.8</v>
      </c>
      <c r="K27" s="2796">
        <f t="shared" si="2"/>
        <v>3.2999999999999972</v>
      </c>
      <c r="L27" s="2796" t="s">
        <v>2559</v>
      </c>
      <c r="M27" s="2796">
        <v>3</v>
      </c>
    </row>
    <row r="28" spans="1:13">
      <c r="A28" s="2778" t="s">
        <v>2518</v>
      </c>
      <c r="B28" s="2779"/>
      <c r="C28" s="2779"/>
      <c r="D28" s="2779"/>
      <c r="E28" s="2779"/>
      <c r="F28" s="2779"/>
      <c r="G28" s="2780"/>
      <c r="I28" s="2796">
        <v>40</v>
      </c>
      <c r="J28" s="2796">
        <v>96.4</v>
      </c>
      <c r="K28" s="2796">
        <f t="shared" si="2"/>
        <v>2.6000000000000085</v>
      </c>
      <c r="L28" s="2796" t="s">
        <v>2560</v>
      </c>
      <c r="M28" s="2796">
        <v>2</v>
      </c>
    </row>
    <row r="29" spans="1:13">
      <c r="A29" s="2778" t="s">
        <v>2519</v>
      </c>
      <c r="B29" s="2779"/>
      <c r="C29" s="2779"/>
      <c r="D29" s="2779"/>
      <c r="E29" s="2779"/>
      <c r="F29" s="2779"/>
      <c r="G29" s="2780"/>
      <c r="I29" s="2796">
        <v>45</v>
      </c>
      <c r="J29" s="2796">
        <v>98.4</v>
      </c>
      <c r="K29" s="2796">
        <f t="shared" si="2"/>
        <v>2</v>
      </c>
    </row>
    <row r="30" spans="1:13">
      <c r="A30" s="2778" t="s">
        <v>2520</v>
      </c>
      <c r="B30" s="2779"/>
      <c r="C30" s="2779"/>
      <c r="D30" s="2779"/>
      <c r="E30" s="2779"/>
      <c r="F30" s="2779"/>
      <c r="G30" s="2780"/>
      <c r="I30" s="2796">
        <v>50</v>
      </c>
      <c r="J30" s="2796">
        <v>100</v>
      </c>
      <c r="K30" s="2796">
        <f t="shared" si="2"/>
        <v>1.5999999999999943</v>
      </c>
    </row>
    <row r="31" spans="1:13">
      <c r="A31" s="2778" t="s">
        <v>2521</v>
      </c>
      <c r="B31" s="2779"/>
      <c r="C31" s="2779"/>
      <c r="D31" s="2779"/>
      <c r="E31" s="2779"/>
      <c r="F31" s="2779"/>
      <c r="G31" s="2780"/>
      <c r="I31" s="2796" t="s">
        <v>2552</v>
      </c>
    </row>
    <row r="32" spans="1:13">
      <c r="A32" s="2778" t="s">
        <v>2522</v>
      </c>
      <c r="B32" s="2779"/>
      <c r="C32" s="2779"/>
      <c r="D32" s="2779"/>
      <c r="E32" s="2779"/>
      <c r="F32" s="2779"/>
      <c r="G32" s="2780"/>
    </row>
    <row r="33" spans="1:13">
      <c r="A33" s="2778" t="s">
        <v>2523</v>
      </c>
      <c r="B33" s="2779"/>
      <c r="C33" s="2779"/>
      <c r="D33" s="2779"/>
      <c r="E33" s="2779"/>
      <c r="F33" s="2779"/>
      <c r="G33" s="2780"/>
      <c r="I33" s="2796" t="s">
        <v>2551</v>
      </c>
      <c r="J33" s="2796" t="s">
        <v>2561</v>
      </c>
    </row>
    <row r="34" spans="1:13">
      <c r="A34" s="2778" t="s">
        <v>2524</v>
      </c>
      <c r="B34" s="2779"/>
      <c r="C34" s="2779"/>
      <c r="D34" s="2779"/>
      <c r="E34" s="2779"/>
      <c r="F34" s="2779"/>
      <c r="G34" s="2780"/>
      <c r="I34" s="2796">
        <v>5</v>
      </c>
      <c r="J34" s="2796">
        <v>55.1</v>
      </c>
    </row>
    <row r="35" spans="1:13">
      <c r="A35" s="2778" t="s">
        <v>2525</v>
      </c>
      <c r="B35" s="2779"/>
      <c r="C35" s="2779"/>
      <c r="D35" s="2779"/>
      <c r="E35" s="2779"/>
      <c r="F35" s="2779"/>
      <c r="G35" s="2780"/>
      <c r="I35" s="2796">
        <v>10</v>
      </c>
      <c r="J35" s="2796">
        <v>67</v>
      </c>
      <c r="K35" s="2796">
        <f>J35-J34</f>
        <v>11.899999999999999</v>
      </c>
    </row>
    <row r="36" spans="1:13">
      <c r="A36" s="2778" t="s">
        <v>2526</v>
      </c>
      <c r="B36" s="2779"/>
      <c r="C36" s="2779"/>
      <c r="D36" s="2779"/>
      <c r="E36" s="2779"/>
      <c r="F36" s="2779"/>
      <c r="G36" s="2780"/>
      <c r="I36" s="2796">
        <v>15</v>
      </c>
      <c r="J36" s="2796">
        <v>76.3</v>
      </c>
      <c r="K36" s="2796">
        <f t="shared" ref="K36:K41" si="3">J36-J35</f>
        <v>9.2999999999999972</v>
      </c>
      <c r="L36" s="2796" t="s">
        <v>2554</v>
      </c>
      <c r="M36" s="2796" t="s">
        <v>2555</v>
      </c>
    </row>
    <row r="37" spans="1:13">
      <c r="A37" s="2778" t="s">
        <v>2527</v>
      </c>
      <c r="B37" s="2779"/>
      <c r="C37" s="2779"/>
      <c r="D37" s="2779"/>
      <c r="E37" s="2779"/>
      <c r="F37" s="2779"/>
      <c r="G37" s="2780"/>
      <c r="I37" s="2796">
        <v>20</v>
      </c>
      <c r="J37" s="2796">
        <v>83.6</v>
      </c>
      <c r="K37" s="2796">
        <f t="shared" si="3"/>
        <v>7.2999999999999972</v>
      </c>
      <c r="L37" s="2796" t="s">
        <v>2553</v>
      </c>
      <c r="M37" s="2796">
        <v>10</v>
      </c>
    </row>
    <row r="38" spans="1:13">
      <c r="A38" s="2778" t="s">
        <v>2528</v>
      </c>
      <c r="B38" s="2779"/>
      <c r="C38" s="2779"/>
      <c r="D38" s="2779"/>
      <c r="E38" s="2779"/>
      <c r="F38" s="2779"/>
      <c r="G38" s="2780"/>
      <c r="I38" s="2796">
        <v>25</v>
      </c>
      <c r="J38" s="2796">
        <v>89.3</v>
      </c>
      <c r="K38" s="2796">
        <f t="shared" si="3"/>
        <v>5.7000000000000028</v>
      </c>
      <c r="L38" s="2796" t="s">
        <v>2557</v>
      </c>
      <c r="M38" s="2796">
        <v>8</v>
      </c>
    </row>
    <row r="39" spans="1:13">
      <c r="A39" s="2778"/>
      <c r="B39" s="2779"/>
      <c r="C39" s="2779"/>
      <c r="D39" s="2779"/>
      <c r="E39" s="2779"/>
      <c r="F39" s="2779"/>
      <c r="G39" s="2780"/>
      <c r="I39" s="2796">
        <v>30</v>
      </c>
      <c r="J39" s="2796">
        <v>93.8</v>
      </c>
      <c r="K39" s="2796">
        <f t="shared" si="3"/>
        <v>4.5</v>
      </c>
      <c r="L39" s="2796" t="s">
        <v>2558</v>
      </c>
      <c r="M39" s="2796">
        <v>6</v>
      </c>
    </row>
    <row r="40" spans="1:13">
      <c r="A40" s="2781" t="s">
        <v>2529</v>
      </c>
      <c r="B40" s="2782"/>
      <c r="C40" s="2782"/>
      <c r="D40" s="2782"/>
      <c r="E40" s="2782"/>
      <c r="F40" s="2782"/>
      <c r="G40" s="2783"/>
      <c r="I40" s="2796">
        <v>35</v>
      </c>
      <c r="J40" s="2796">
        <v>97.2</v>
      </c>
      <c r="K40" s="2796">
        <f t="shared" si="3"/>
        <v>3.4000000000000057</v>
      </c>
      <c r="L40" s="2796" t="s">
        <v>2559</v>
      </c>
      <c r="M40" s="2796">
        <v>3</v>
      </c>
    </row>
    <row r="41" spans="1:13">
      <c r="A41" s="2784" t="s">
        <v>2530</v>
      </c>
      <c r="B41" s="2785" t="s">
        <v>2531</v>
      </c>
      <c r="C41" s="2786" t="s">
        <v>2532</v>
      </c>
      <c r="D41" s="2786" t="s">
        <v>2533</v>
      </c>
      <c r="E41" s="2787"/>
      <c r="F41" s="2788"/>
      <c r="G41" s="2789"/>
      <c r="I41" s="2796">
        <v>40</v>
      </c>
      <c r="J41" s="2796">
        <v>100</v>
      </c>
      <c r="K41" s="2796">
        <f t="shared" si="3"/>
        <v>2.7999999999999972</v>
      </c>
    </row>
    <row r="42" spans="1:13">
      <c r="A42" s="2784" t="s">
        <v>2534</v>
      </c>
      <c r="B42" s="2785" t="s">
        <v>2535</v>
      </c>
      <c r="C42" s="2786" t="s">
        <v>2536</v>
      </c>
      <c r="D42" s="2790" t="s">
        <v>2537</v>
      </c>
      <c r="E42" s="2782" t="s">
        <v>2538</v>
      </c>
      <c r="F42" s="2782"/>
      <c r="G42" s="2783"/>
    </row>
    <row r="43" spans="1:13">
      <c r="A43" s="2784" t="s">
        <v>2539</v>
      </c>
      <c r="B43" s="2785" t="s">
        <v>2540</v>
      </c>
      <c r="C43" s="2786" t="s">
        <v>2541</v>
      </c>
      <c r="D43" s="2786" t="s">
        <v>2542</v>
      </c>
      <c r="E43" s="2787" t="s">
        <v>2543</v>
      </c>
      <c r="F43" s="2788"/>
      <c r="G43" s="2789"/>
      <c r="I43" s="2796" t="s">
        <v>2551</v>
      </c>
      <c r="J43" s="2796" t="s">
        <v>2562</v>
      </c>
    </row>
    <row r="44" spans="1:13">
      <c r="A44" s="2784" t="s">
        <v>2544</v>
      </c>
      <c r="B44" s="2785" t="s">
        <v>2545</v>
      </c>
      <c r="C44" s="2786" t="s">
        <v>2546</v>
      </c>
      <c r="D44" s="2790">
        <v>0.5</v>
      </c>
      <c r="E44" s="2787" t="s">
        <v>2547</v>
      </c>
      <c r="F44" s="2788"/>
      <c r="G44" s="2789"/>
      <c r="I44" s="2796">
        <v>30</v>
      </c>
      <c r="J44" s="2796">
        <v>81.7</v>
      </c>
    </row>
    <row r="45" spans="1:13" ht="14.25" thickBot="1">
      <c r="A45" s="2791" t="s">
        <v>2548</v>
      </c>
      <c r="B45" s="2792" t="s">
        <v>2535</v>
      </c>
      <c r="C45" s="2793" t="s">
        <v>2535</v>
      </c>
      <c r="D45" s="2793" t="s">
        <v>2549</v>
      </c>
      <c r="E45" s="2794" t="s">
        <v>2550</v>
      </c>
      <c r="F45" s="2794"/>
      <c r="G45" s="2795"/>
      <c r="I45" s="2796">
        <v>40</v>
      </c>
      <c r="J45" s="2796">
        <v>89.2</v>
      </c>
      <c r="K45" s="2796">
        <f>J45-J44</f>
        <v>7.5</v>
      </c>
    </row>
    <row r="46" spans="1:13">
      <c r="I46" s="2796">
        <v>50</v>
      </c>
      <c r="J46" s="2796">
        <v>94.3</v>
      </c>
      <c r="K46" s="2796">
        <f t="shared" ref="K46:K47" si="4">J46-J45</f>
        <v>5.0999999999999943</v>
      </c>
    </row>
    <row r="47" spans="1:13">
      <c r="I47" s="2796">
        <v>60</v>
      </c>
      <c r="J47" s="2796">
        <v>97.7</v>
      </c>
      <c r="K47" s="2796">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G7" sqref="G7"/>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09" customWidth="1"/>
    <col min="12" max="13" width="10" style="2410"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9" t="s">
        <v>2164</v>
      </c>
      <c r="B1" s="3238" t="str">
        <f>IF(B10="北京市","北京市",C10)&amp;F10&amp;IF(结果表!G1="在建","出让国有建设用地使用权及在建建筑物",IF(结果表!G1="土地","出让国有建设用地使用权",))&amp;B9&amp;"预评估"</f>
        <v>北京市房地产抵押价值预评估</v>
      </c>
      <c r="C1" s="3239"/>
      <c r="D1" s="3239"/>
      <c r="E1" s="3239"/>
      <c r="F1" s="3239"/>
      <c r="G1" s="3239"/>
      <c r="H1" s="3239"/>
      <c r="I1" s="3240"/>
      <c r="J1" s="2243"/>
      <c r="K1" s="2181"/>
      <c r="L1" s="2182"/>
      <c r="M1" s="2182"/>
      <c r="N1" s="2180"/>
      <c r="O1" s="1465"/>
      <c r="P1" s="2180"/>
      <c r="Q1" s="2180"/>
      <c r="R1" s="2180"/>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0" t="s">
        <v>2165</v>
      </c>
      <c r="B2" s="122"/>
      <c r="D2" s="2444"/>
      <c r="E2" s="2437"/>
      <c r="F2" s="2437"/>
      <c r="G2" s="2438"/>
      <c r="H2" s="2438"/>
      <c r="I2" s="2438"/>
      <c r="J2" s="2243"/>
      <c r="K2" s="2181"/>
      <c r="L2" s="2182"/>
      <c r="M2" s="2182"/>
      <c r="N2" s="2180"/>
      <c r="O2" s="1465"/>
      <c r="P2" s="2180"/>
      <c r="Q2" s="2180"/>
      <c r="R2" s="2180"/>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3" t="s">
        <v>2166</v>
      </c>
      <c r="B3" s="2183">
        <v>45022</v>
      </c>
      <c r="C3" s="2184" t="s">
        <v>2167</v>
      </c>
      <c r="D3" s="2183">
        <f>B3</f>
        <v>45022</v>
      </c>
      <c r="E3" s="2438"/>
      <c r="F3" s="2438"/>
      <c r="G3" s="2438"/>
      <c r="H3" s="2438"/>
      <c r="I3" s="2438"/>
      <c r="J3" s="2243"/>
      <c r="K3" s="2181"/>
      <c r="L3" s="2182"/>
      <c r="M3" s="2182"/>
      <c r="N3" s="2180"/>
      <c r="O3" s="1465"/>
      <c r="P3" s="2180"/>
      <c r="Q3" s="2180"/>
      <c r="R3" s="2180"/>
      <c r="S3" s="1560"/>
      <c r="T3" s="1617"/>
      <c r="U3" s="1617"/>
      <c r="V3" s="1617"/>
      <c r="W3" s="1617"/>
      <c r="X3" s="1617"/>
      <c r="Y3" s="1617"/>
      <c r="Z3" s="1617"/>
      <c r="AA3" s="1617"/>
      <c r="AB3" s="1617"/>
    </row>
    <row r="4" spans="1:30" ht="13.5" thickBot="1">
      <c r="A4" s="1026" t="s">
        <v>2168</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5"/>
      <c r="P4" s="2180"/>
      <c r="Q4" s="2180"/>
      <c r="R4" s="2180"/>
      <c r="S4" s="1560"/>
      <c r="T4" s="1617"/>
      <c r="U4" s="1617"/>
      <c r="V4" s="1617"/>
      <c r="W4" s="1617"/>
      <c r="X4" s="1617"/>
      <c r="Y4" s="1617"/>
      <c r="Z4" s="1617"/>
      <c r="AA4" s="1617"/>
      <c r="AB4" s="1617"/>
    </row>
    <row r="5" spans="1:30" ht="13.5" thickTop="1">
      <c r="A5" s="2188" t="s">
        <v>2169</v>
      </c>
      <c r="B5" s="2189"/>
      <c r="C5" s="2190"/>
      <c r="D5" s="2191"/>
      <c r="E5" s="2438"/>
      <c r="F5" s="2438"/>
      <c r="G5" s="2438"/>
      <c r="H5" s="2438"/>
      <c r="I5" s="2438"/>
      <c r="J5" s="2243"/>
      <c r="K5" s="2187" t="str">
        <f>IF(F4="——","",IF(H4="——",F4&amp;"（注册号："&amp;G4&amp;")",CONCATENATE(F4,"（注册号：",G4,")、",H4,"（注册号：",I4,")")))</f>
        <v>（注册号：0)、（注册号：0)</v>
      </c>
      <c r="L5" s="2182"/>
      <c r="M5" s="2182"/>
      <c r="N5" s="2180"/>
      <c r="O5" s="1465"/>
      <c r="P5" s="2180"/>
      <c r="Q5" s="2180"/>
      <c r="R5" s="2180"/>
      <c r="S5" s="1617"/>
      <c r="T5" s="1617"/>
      <c r="U5" s="1617"/>
      <c r="V5" s="1617"/>
      <c r="W5" s="1617"/>
      <c r="X5" s="1617"/>
      <c r="Y5" s="1617"/>
      <c r="Z5" s="1617"/>
      <c r="AA5" s="1617"/>
      <c r="AB5" s="1617"/>
    </row>
    <row r="6" spans="1:30">
      <c r="A6" s="2192" t="s">
        <v>2170</v>
      </c>
      <c r="B6" s="2193"/>
      <c r="C6" s="2194"/>
      <c r="D6" s="2195"/>
      <c r="E6" s="2437"/>
      <c r="F6" s="2438"/>
      <c r="G6" s="2438"/>
      <c r="H6" s="2438"/>
      <c r="I6" s="2438"/>
      <c r="J6" s="2243"/>
      <c r="K6" s="2397" t="str">
        <f>IF(COUNTIF(B6,"*上海银行*"),"上海银行","")</f>
        <v/>
      </c>
      <c r="L6" s="2395"/>
      <c r="M6" s="2395"/>
      <c r="N6" s="2243"/>
      <c r="O6" s="1669"/>
      <c r="P6" s="2243"/>
      <c r="Q6" s="2243"/>
      <c r="R6" s="2243"/>
    </row>
    <row r="7" spans="1:30">
      <c r="A7" s="2192" t="s">
        <v>2171</v>
      </c>
      <c r="B7" s="2196"/>
      <c r="C7" s="2194"/>
      <c r="D7" s="2195"/>
      <c r="E7" s="2437"/>
      <c r="F7" s="2438"/>
      <c r="G7" s="2438"/>
      <c r="H7" s="2438"/>
      <c r="I7" s="2438"/>
      <c r="J7" s="2243"/>
      <c r="K7" s="2398"/>
      <c r="L7" s="2395"/>
      <c r="M7" s="2395"/>
      <c r="N7" s="2243"/>
      <c r="O7" s="1669"/>
      <c r="P7" s="2243"/>
      <c r="Q7" s="2243"/>
      <c r="R7" s="2243"/>
    </row>
    <row r="8" spans="1:30">
      <c r="A8" s="2197" t="s">
        <v>2172</v>
      </c>
      <c r="B8" s="2198" t="s">
        <v>3362</v>
      </c>
      <c r="C8" s="2199"/>
      <c r="D8" s="3241" t="s">
        <v>2173</v>
      </c>
      <c r="E8" s="2200" t="s">
        <v>3363</v>
      </c>
      <c r="F8" s="2201"/>
      <c r="G8" s="2438"/>
      <c r="H8" s="2438"/>
      <c r="I8" s="2438"/>
      <c r="J8" s="2243"/>
      <c r="K8" s="2396"/>
      <c r="L8" s="2395"/>
      <c r="M8" s="2395"/>
      <c r="N8" s="2243"/>
      <c r="O8" s="1669"/>
      <c r="P8" s="2243"/>
      <c r="Q8" s="2243"/>
      <c r="R8" s="2243"/>
    </row>
    <row r="9" spans="1:30" ht="13.5" thickBot="1">
      <c r="A9" s="2202" t="s">
        <v>2174</v>
      </c>
      <c r="B9" s="2203" t="s">
        <v>3363</v>
      </c>
      <c r="C9" s="2204"/>
      <c r="D9" s="3242"/>
      <c r="E9" s="2203" t="s">
        <v>587</v>
      </c>
      <c r="F9" s="2205"/>
      <c r="G9" s="2439"/>
      <c r="H9" s="2439"/>
      <c r="I9" s="2439"/>
      <c r="J9" s="2243"/>
      <c r="K9" s="2398"/>
      <c r="L9" s="2395"/>
      <c r="M9" s="2395"/>
      <c r="N9" s="2243"/>
      <c r="O9" s="1669"/>
      <c r="P9" s="2243"/>
      <c r="Q9" s="2243"/>
      <c r="R9" s="2243"/>
    </row>
    <row r="10" spans="1:30" ht="13.5" thickTop="1">
      <c r="A10" s="2206" t="s">
        <v>2175</v>
      </c>
      <c r="B10" s="2207" t="s">
        <v>3364</v>
      </c>
      <c r="C10" s="2208"/>
      <c r="D10" s="2191"/>
      <c r="E10" s="2209" t="s">
        <v>2176</v>
      </c>
      <c r="F10" s="2440"/>
      <c r="G10" s="2441"/>
      <c r="H10" s="2442"/>
      <c r="I10" s="2443"/>
      <c r="J10" s="2243"/>
      <c r="K10" s="2398"/>
      <c r="L10" s="2395"/>
      <c r="M10" s="2395"/>
      <c r="N10" s="2243"/>
      <c r="O10" s="1669"/>
      <c r="P10" s="2243"/>
      <c r="Q10" s="2243"/>
      <c r="R10" s="2243"/>
    </row>
    <row r="11" spans="1:30">
      <c r="A11" s="2210" t="s">
        <v>2177</v>
      </c>
      <c r="B11" s="2211" t="s">
        <v>3365</v>
      </c>
      <c r="C11" s="2212"/>
      <c r="D11" s="2213"/>
      <c r="E11" s="2180"/>
      <c r="F11" s="2180"/>
      <c r="G11" s="2180"/>
      <c r="H11" s="2180"/>
      <c r="I11" s="2180"/>
      <c r="J11" s="2798"/>
      <c r="K11" s="2395"/>
      <c r="L11" s="2395"/>
      <c r="M11" s="2395"/>
      <c r="N11" s="2243"/>
      <c r="O11" s="1669"/>
      <c r="P11" s="2243"/>
      <c r="Q11" s="2243"/>
      <c r="R11" s="2243"/>
    </row>
    <row r="12" spans="1:30">
      <c r="A12" s="2214" t="s">
        <v>2178</v>
      </c>
      <c r="B12" s="314" t="s">
        <v>2179</v>
      </c>
      <c r="C12" s="2215" t="s">
        <v>2180</v>
      </c>
      <c r="D12" s="2215" t="s">
        <v>2181</v>
      </c>
      <c r="E12" s="2215" t="s">
        <v>2182</v>
      </c>
      <c r="F12" s="2215" t="s">
        <v>2183</v>
      </c>
      <c r="G12" s="2215" t="s">
        <v>2184</v>
      </c>
      <c r="H12" s="2215" t="s">
        <v>2185</v>
      </c>
      <c r="I12" s="2797" t="s">
        <v>2563</v>
      </c>
      <c r="J12" s="2799"/>
      <c r="K12" s="2395"/>
      <c r="L12" s="2395"/>
      <c r="M12" s="2243"/>
      <c r="N12" s="1669"/>
      <c r="O12" s="2243"/>
      <c r="P12" s="2243"/>
      <c r="Q12" s="2243"/>
      <c r="AD12" s="1617"/>
    </row>
    <row r="13" spans="1:30">
      <c r="A13" s="3118" t="s">
        <v>3323</v>
      </c>
      <c r="B13" s="2216" t="s">
        <v>2186</v>
      </c>
      <c r="C13" s="802">
        <v>63198</v>
      </c>
      <c r="D13" s="802">
        <v>63198</v>
      </c>
      <c r="E13" s="802"/>
      <c r="F13" s="802"/>
      <c r="G13" s="802"/>
      <c r="H13" s="802"/>
      <c r="I13" s="802"/>
      <c r="J13" s="2799"/>
      <c r="K13" s="2395"/>
      <c r="L13" s="2395"/>
      <c r="M13" s="2243"/>
      <c r="N13" s="1669"/>
      <c r="O13" s="2243"/>
      <c r="P13" s="2243"/>
      <c r="Q13" s="2243"/>
      <c r="AD13" s="1617"/>
    </row>
    <row r="14" spans="1:30">
      <c r="A14" s="1017"/>
      <c r="B14" s="2216" t="s">
        <v>2187</v>
      </c>
      <c r="C14" s="2217"/>
      <c r="D14" s="2217">
        <v>40</v>
      </c>
      <c r="E14" s="2217"/>
      <c r="F14" s="2217"/>
      <c r="G14" s="2217"/>
      <c r="H14" s="2217"/>
      <c r="I14" s="2217"/>
      <c r="J14" s="2800"/>
      <c r="K14" s="2395"/>
      <c r="L14" s="2395"/>
      <c r="M14" s="2243"/>
      <c r="N14" s="1669"/>
      <c r="O14" s="2243"/>
      <c r="P14" s="2243"/>
      <c r="Q14" s="2243"/>
      <c r="AD14" s="1617"/>
    </row>
    <row r="15" spans="1:30">
      <c r="A15" s="311"/>
      <c r="B15" s="2218" t="s">
        <v>2188</v>
      </c>
      <c r="C15" s="2219">
        <f>IF(A13="出让",IF(C13="","",ROUNDDOWN(MIN((C13-$D$3)/365,C14),2)),C14)</f>
        <v>49.79</v>
      </c>
      <c r="D15" s="2219">
        <f>IF(A13="出让",IF(D13="","",ROUNDDOWN(MIN((D13-$D$3)/365,D14),2)),D14)</f>
        <v>40</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1"/>
      <c r="K15" s="1669"/>
      <c r="L15" s="1669"/>
      <c r="M15" s="2243"/>
      <c r="N15" s="1669"/>
      <c r="O15" s="2243"/>
      <c r="P15" s="2243"/>
      <c r="Q15" s="2243"/>
      <c r="AD15" s="1617"/>
    </row>
    <row r="16" spans="1:30">
      <c r="A16" s="2209" t="s">
        <v>2189</v>
      </c>
      <c r="B16" s="3248"/>
      <c r="C16" s="3249"/>
      <c r="D16" s="3250"/>
      <c r="E16" s="2220" t="s">
        <v>2190</v>
      </c>
      <c r="F16" s="3251"/>
      <c r="G16" s="3252"/>
      <c r="H16" s="3252"/>
      <c r="I16" s="3253"/>
      <c r="J16" s="2243"/>
      <c r="K16" s="2399"/>
      <c r="L16" s="1669"/>
      <c r="M16" s="1669"/>
      <c r="N16" s="2243"/>
      <c r="O16" s="1669"/>
      <c r="P16" s="2243"/>
      <c r="Q16" s="2243"/>
      <c r="R16" s="2243"/>
    </row>
    <row r="17" spans="1:28">
      <c r="A17" s="304" t="s">
        <v>2191</v>
      </c>
      <c r="B17" s="293" t="s">
        <v>2192</v>
      </c>
      <c r="C17" s="8">
        <f>'数据-汇总表'!E3</f>
        <v>6356.88</v>
      </c>
      <c r="D17" s="1255" t="s">
        <v>2193</v>
      </c>
      <c r="E17" s="3254"/>
      <c r="F17" s="3255"/>
      <c r="G17" s="3255"/>
      <c r="H17" s="3255"/>
      <c r="I17" s="3256"/>
      <c r="J17" s="2243"/>
      <c r="K17" s="2400"/>
      <c r="L17" s="1669"/>
      <c r="M17" s="1669"/>
      <c r="N17" s="2243"/>
      <c r="O17" s="1669"/>
      <c r="P17" s="2243"/>
      <c r="Q17" s="2243"/>
      <c r="R17" s="2243"/>
      <c r="S17" s="2243"/>
      <c r="T17" s="2243"/>
      <c r="U17" s="2243"/>
      <c r="V17" s="2243"/>
    </row>
    <row r="18" spans="1:28" ht="24.75" thickBot="1">
      <c r="A18" s="2221" t="s">
        <v>2194</v>
      </c>
      <c r="B18" s="1026" t="s">
        <v>2195</v>
      </c>
      <c r="C18" s="2222">
        <f>'数据-汇总表'!D3</f>
        <v>0</v>
      </c>
      <c r="D18" s="1028" t="s">
        <v>2196</v>
      </c>
      <c r="E18" s="3257"/>
      <c r="F18" s="3258"/>
      <c r="G18" s="3258"/>
      <c r="H18" s="3258"/>
      <c r="I18" s="3259"/>
      <c r="J18" s="2243"/>
      <c r="K18" s="2400"/>
      <c r="L18" s="1669"/>
      <c r="M18" s="1669"/>
      <c r="N18" s="2243"/>
      <c r="O18" s="1669"/>
      <c r="P18" s="2243"/>
      <c r="Q18" s="2243"/>
      <c r="R18" s="2243"/>
      <c r="S18" s="2243"/>
      <c r="T18" s="2243"/>
      <c r="U18" s="2243"/>
      <c r="V18" s="2243"/>
    </row>
    <row r="19" spans="1:28" ht="37.5" thickTop="1" thickBot="1">
      <c r="A19" s="318" t="s">
        <v>1055</v>
      </c>
      <c r="B19" s="298" t="s">
        <v>2197</v>
      </c>
      <c r="C19" s="1454"/>
      <c r="D19" s="1455" t="s">
        <v>2198</v>
      </c>
      <c r="E19" s="1456"/>
      <c r="F19" s="1457" t="str">
        <f>IF(AND(C19="是",E19="否"),"是否提供他项权证或相关说明","")</f>
        <v/>
      </c>
      <c r="G19" s="1458"/>
      <c r="H19" s="2438"/>
      <c r="I19" s="2438"/>
      <c r="J19" s="2243"/>
      <c r="K19" s="2398"/>
      <c r="L19" s="2395"/>
      <c r="M19" s="2395"/>
      <c r="N19" s="2243"/>
      <c r="O19" s="1669"/>
      <c r="P19" s="2243"/>
      <c r="Q19" s="2243"/>
      <c r="R19" s="2243"/>
      <c r="S19" s="2243"/>
      <c r="T19" s="2243"/>
      <c r="U19" s="2243"/>
      <c r="V19" s="2243"/>
    </row>
    <row r="20" spans="1:28">
      <c r="A20" s="2413" t="s">
        <v>2199</v>
      </c>
      <c r="B20" s="3244" t="s">
        <v>2200</v>
      </c>
      <c r="C20" s="3245"/>
      <c r="D20" s="3246" t="s">
        <v>2201</v>
      </c>
      <c r="E20" s="3247"/>
      <c r="F20" s="2426" t="s">
        <v>1056</v>
      </c>
      <c r="G20" s="2438"/>
      <c r="H20" s="2438"/>
      <c r="I20" s="2438"/>
      <c r="J20" s="2243"/>
      <c r="K20" s="3243" t="s">
        <v>2202</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5"/>
      <c r="P20" s="2180"/>
      <c r="Q20" s="2180"/>
      <c r="R20" s="2180"/>
      <c r="S20" s="2180"/>
      <c r="T20" s="2180"/>
      <c r="U20" s="2180"/>
      <c r="V20" s="2180"/>
      <c r="W20" s="1617"/>
      <c r="X20" s="1617"/>
      <c r="Y20" s="1617"/>
      <c r="Z20" s="1617"/>
      <c r="AA20" s="1617"/>
      <c r="AB20" s="1617"/>
    </row>
    <row r="21" spans="1:28" ht="24.75" thickBot="1">
      <c r="A21" s="2413"/>
      <c r="B21" s="2414" t="s">
        <v>2203</v>
      </c>
      <c r="C21" s="2293" t="s">
        <v>1057</v>
      </c>
      <c r="D21" s="1459"/>
      <c r="E21" s="2415" t="s">
        <v>1057</v>
      </c>
      <c r="F21" s="2427"/>
      <c r="G21" s="2438"/>
      <c r="H21" s="2438"/>
      <c r="I21" s="2438"/>
      <c r="J21" s="2243"/>
      <c r="K21" s="3243"/>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5"/>
      <c r="P21" s="2180"/>
      <c r="Q21" s="2180"/>
      <c r="R21" s="2180"/>
      <c r="S21" s="2180"/>
      <c r="T21" s="2180"/>
      <c r="U21" s="2180"/>
      <c r="V21" s="2180"/>
      <c r="W21" s="1617"/>
      <c r="X21" s="1617"/>
      <c r="Y21" s="1617"/>
      <c r="Z21" s="1617"/>
      <c r="AA21" s="1617"/>
      <c r="AB21" s="1617"/>
    </row>
    <row r="22" spans="1:28" ht="24.75" thickBot="1">
      <c r="A22" s="2413"/>
      <c r="B22" s="2416" t="s">
        <v>2204</v>
      </c>
      <c r="C22" s="2293" t="s">
        <v>1058</v>
      </c>
      <c r="D22" s="2438"/>
      <c r="E22" s="2438"/>
      <c r="F22" s="2438"/>
      <c r="G22" s="2438"/>
      <c r="H22" s="2438"/>
      <c r="I22" s="2438"/>
      <c r="J22" s="2243"/>
      <c r="K22" s="3243"/>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5"/>
      <c r="P22" s="2180"/>
      <c r="Q22" s="2180"/>
      <c r="R22" s="2180"/>
      <c r="S22" s="2180"/>
      <c r="T22" s="2180"/>
      <c r="U22" s="2180"/>
      <c r="V22" s="2180"/>
      <c r="W22" s="1617"/>
      <c r="X22" s="1617"/>
      <c r="Y22" s="1617"/>
      <c r="Z22" s="1617"/>
      <c r="AA22" s="1617"/>
      <c r="AB22" s="1617"/>
    </row>
    <row r="23" spans="1:28">
      <c r="A23" s="2417" t="s">
        <v>2205</v>
      </c>
      <c r="B23" s="2290" t="s">
        <v>2206</v>
      </c>
      <c r="C23" s="2418"/>
      <c r="D23" s="2419" t="s">
        <v>2206</v>
      </c>
      <c r="E23" s="2420"/>
      <c r="F23" s="2438"/>
      <c r="G23" s="2438"/>
      <c r="H23" s="2438"/>
      <c r="I23" s="2438"/>
      <c r="J23" s="2243"/>
      <c r="K23" s="2397"/>
      <c r="L23" s="121"/>
      <c r="M23" s="2395"/>
      <c r="N23" s="2243"/>
      <c r="O23" s="1669"/>
      <c r="P23" s="2243"/>
      <c r="Q23" s="2243"/>
      <c r="R23" s="2243"/>
      <c r="S23" s="2243"/>
      <c r="T23" s="2243"/>
      <c r="U23" s="2243"/>
      <c r="V23" s="2243"/>
    </row>
    <row r="24" spans="1:28">
      <c r="A24" s="2417"/>
      <c r="B24" s="2290" t="s">
        <v>1059</v>
      </c>
      <c r="C24" s="2269"/>
      <c r="D24" s="2417" t="s">
        <v>1059</v>
      </c>
      <c r="E24" s="2421"/>
      <c r="F24" s="2438"/>
      <c r="G24" s="2438"/>
      <c r="H24" s="2438"/>
      <c r="I24" s="2438"/>
      <c r="J24" s="2243"/>
      <c r="K24" s="2397"/>
      <c r="L24" s="121"/>
      <c r="M24" s="2395"/>
      <c r="N24" s="2243"/>
      <c r="O24" s="1669"/>
      <c r="P24" s="2243"/>
      <c r="Q24" s="2243"/>
      <c r="R24" s="2243"/>
      <c r="S24" s="2243"/>
      <c r="T24" s="2243"/>
      <c r="U24" s="2243"/>
      <c r="V24" s="2243"/>
    </row>
    <row r="25" spans="1:28">
      <c r="A25" s="2417"/>
      <c r="B25" s="2290" t="s">
        <v>1060</v>
      </c>
      <c r="C25" s="2269"/>
      <c r="D25" s="2417" t="s">
        <v>1060</v>
      </c>
      <c r="E25" s="2421"/>
      <c r="F25" s="2438"/>
      <c r="G25" s="2438"/>
      <c r="H25" s="2438"/>
      <c r="I25" s="2438"/>
      <c r="J25" s="2243"/>
      <c r="K25" s="2398"/>
      <c r="L25" s="2395"/>
      <c r="M25" s="2395"/>
      <c r="N25" s="2243"/>
      <c r="O25" s="1669"/>
      <c r="P25" s="2243"/>
      <c r="Q25" s="2243"/>
      <c r="R25" s="2243"/>
      <c r="S25" s="2243"/>
      <c r="T25" s="2243"/>
      <c r="U25" s="2243"/>
      <c r="V25" s="2243"/>
    </row>
    <row r="26" spans="1:28" ht="13.5" thickBot="1">
      <c r="A26" s="2422"/>
      <c r="B26" s="2423" t="s">
        <v>1061</v>
      </c>
      <c r="C26" s="2424"/>
      <c r="D26" s="2422" t="s">
        <v>1061</v>
      </c>
      <c r="E26" s="2425"/>
      <c r="F26" s="2439"/>
      <c r="G26" s="2439"/>
      <c r="H26" s="2439"/>
      <c r="I26" s="2439"/>
      <c r="J26" s="2243"/>
      <c r="K26" s="2398"/>
      <c r="L26" s="2395"/>
      <c r="M26" s="2395"/>
      <c r="N26" s="2243"/>
      <c r="O26" s="1669"/>
      <c r="P26" s="2243"/>
      <c r="Q26" s="2243"/>
      <c r="R26" s="2243"/>
      <c r="S26" s="2243"/>
      <c r="T26" s="2243"/>
      <c r="U26" s="2243"/>
      <c r="V26" s="2243"/>
    </row>
    <row r="27" spans="1:28" ht="13.5" thickTop="1">
      <c r="A27" s="3232" t="s">
        <v>2207</v>
      </c>
      <c r="B27" s="311" t="s">
        <v>2208</v>
      </c>
      <c r="C27" s="2223"/>
      <c r="D27" s="2224"/>
      <c r="E27" s="2438"/>
      <c r="F27" s="2438"/>
      <c r="G27" s="2438"/>
      <c r="H27" s="2438"/>
      <c r="I27" s="2438"/>
      <c r="J27" s="2243"/>
      <c r="K27" s="2399"/>
      <c r="L27" s="1669"/>
      <c r="M27" s="1669"/>
      <c r="N27" s="2243"/>
      <c r="O27" s="1669"/>
      <c r="P27" s="2243"/>
      <c r="Q27" s="2243"/>
      <c r="R27" s="2243"/>
      <c r="S27" s="2243"/>
      <c r="T27" s="2243"/>
      <c r="U27" s="2243"/>
      <c r="V27" s="2243"/>
    </row>
    <row r="28" spans="1:28">
      <c r="A28" s="3232"/>
      <c r="B28" s="293" t="s">
        <v>2209</v>
      </c>
      <c r="C28" s="2225"/>
      <c r="D28" s="2226"/>
      <c r="E28" s="2438"/>
      <c r="F28" s="2438"/>
      <c r="G28" s="2438"/>
      <c r="H28" s="2438"/>
      <c r="I28" s="2438"/>
      <c r="J28" s="2243"/>
      <c r="K28" s="2398"/>
      <c r="L28" s="2395"/>
      <c r="M28" s="2395"/>
      <c r="N28" s="2243"/>
      <c r="O28" s="1669"/>
      <c r="P28" s="2243"/>
      <c r="Q28" s="2243"/>
      <c r="R28" s="2243"/>
      <c r="S28" s="2243"/>
      <c r="T28" s="2243"/>
      <c r="U28" s="2243"/>
      <c r="V28" s="2243"/>
    </row>
    <row r="29" spans="1:28">
      <c r="A29" s="3232"/>
      <c r="B29" s="293" t="s">
        <v>2210</v>
      </c>
      <c r="C29" s="2227"/>
      <c r="D29" s="2228"/>
      <c r="E29" s="2438"/>
      <c r="F29" s="2438"/>
      <c r="G29" s="2438"/>
      <c r="H29" s="2438"/>
      <c r="I29" s="2438"/>
      <c r="J29" s="2243"/>
      <c r="K29" s="2398"/>
      <c r="L29" s="2395"/>
      <c r="M29" s="2395"/>
      <c r="N29" s="2243"/>
      <c r="O29" s="1669"/>
      <c r="P29" s="2243"/>
      <c r="Q29" s="2243"/>
      <c r="R29" s="2243"/>
      <c r="S29" s="2243"/>
      <c r="T29" s="2243"/>
      <c r="U29" s="2243"/>
      <c r="V29" s="2243"/>
    </row>
    <row r="30" spans="1:28">
      <c r="A30" s="3233"/>
      <c r="B30" s="293" t="s">
        <v>2211</v>
      </c>
      <c r="C30" s="3234"/>
      <c r="D30" s="3235"/>
      <c r="E30" s="2438"/>
      <c r="F30" s="2438"/>
      <c r="G30" s="2438"/>
      <c r="H30" s="2438"/>
      <c r="I30" s="2438"/>
      <c r="J30" s="2243"/>
      <c r="K30" s="2398"/>
      <c r="L30" s="2395"/>
      <c r="M30" s="2395"/>
      <c r="N30" s="2243"/>
      <c r="O30" s="1669"/>
      <c r="P30" s="2243"/>
      <c r="Q30" s="2243"/>
      <c r="R30" s="2243"/>
      <c r="S30" s="2243"/>
      <c r="T30" s="2243"/>
      <c r="U30" s="2243"/>
      <c r="V30" s="2243"/>
    </row>
    <row r="31" spans="1:28">
      <c r="A31" s="3236" t="s">
        <v>2212</v>
      </c>
      <c r="B31" s="2229"/>
      <c r="C31" s="12" t="str">
        <f>IF(B31="现房","成新及维护状况正常否",IF(B31="在建","工程状态是否正常",IF(B31="土地","是否闲置","-")))</f>
        <v>-</v>
      </c>
      <c r="D31" s="1280"/>
      <c r="E31" s="2230"/>
      <c r="F31" s="2438"/>
      <c r="G31" s="2438"/>
      <c r="H31" s="2438"/>
      <c r="I31" s="2438"/>
      <c r="J31" s="2243"/>
      <c r="K31" s="2397"/>
      <c r="L31" s="2395"/>
      <c r="M31" s="2395"/>
      <c r="N31" s="2243"/>
      <c r="O31" s="1669"/>
      <c r="P31" s="2243"/>
      <c r="Q31" s="2243"/>
      <c r="R31" s="2243"/>
      <c r="S31" s="2243"/>
      <c r="T31" s="2243"/>
      <c r="U31" s="2243"/>
      <c r="V31" s="2243"/>
    </row>
    <row r="32" spans="1:28">
      <c r="A32" s="3237"/>
      <c r="B32" s="2229"/>
      <c r="C32" s="12" t="str">
        <f>IF(B32="现房","成新及维护状况是否正常",IF(B32="在建","工程状态是否正常",IF(B32="土地","是否闲置","-")))</f>
        <v>-</v>
      </c>
      <c r="D32" s="1280"/>
      <c r="E32" s="2230"/>
      <c r="F32" s="2438"/>
      <c r="G32" s="2438"/>
      <c r="H32" s="2438"/>
      <c r="I32" s="2438"/>
      <c r="J32" s="2243"/>
      <c r="K32" s="2398"/>
      <c r="L32" s="2395"/>
      <c r="M32" s="2395"/>
      <c r="N32" s="2243"/>
      <c r="O32" s="1669"/>
      <c r="P32" s="2243"/>
      <c r="Q32" s="2243"/>
      <c r="R32" s="2243"/>
      <c r="S32" s="2243"/>
      <c r="T32" s="2243"/>
      <c r="U32" s="2243"/>
      <c r="V32" s="2243"/>
    </row>
    <row r="33" spans="1:30">
      <c r="A33" s="3237"/>
      <c r="B33" s="2232"/>
      <c r="C33" s="1477" t="str">
        <f>IF(B33="现房","成新及维护状况是否正常",IF(B33="在建","工程状态是否正常",IF(B33="土地","是否闲置","-")))</f>
        <v>-</v>
      </c>
      <c r="D33" s="1273"/>
      <c r="E33" s="2233"/>
      <c r="F33" s="2438"/>
      <c r="G33" s="2438"/>
      <c r="H33" s="2438"/>
      <c r="I33" s="2438"/>
      <c r="J33" s="2243"/>
      <c r="K33" s="2398"/>
      <c r="L33" s="2395"/>
      <c r="M33" s="2395"/>
      <c r="N33" s="2243"/>
      <c r="O33" s="1669"/>
      <c r="P33" s="2243"/>
      <c r="Q33" s="2243"/>
      <c r="R33" s="2243"/>
      <c r="S33" s="2243"/>
      <c r="T33" s="2243"/>
      <c r="U33" s="2243"/>
      <c r="V33" s="2243"/>
    </row>
    <row r="34" spans="1:30">
      <c r="A34" s="293" t="s">
        <v>2213</v>
      </c>
      <c r="B34" s="1869"/>
      <c r="C34" s="1869"/>
      <c r="D34" s="1869"/>
      <c r="E34" s="1869"/>
      <c r="F34" s="1869"/>
      <c r="G34" s="1869"/>
      <c r="H34" s="1869"/>
      <c r="I34" s="2438"/>
      <c r="J34" s="2243"/>
      <c r="K34" s="8">
        <f>COUNTIF(B34:H34,"——")</f>
        <v>0</v>
      </c>
      <c r="L34" s="314" t="s">
        <v>2214</v>
      </c>
      <c r="M34" s="314" t="s">
        <v>2215</v>
      </c>
      <c r="N34" s="314" t="s">
        <v>2216</v>
      </c>
      <c r="O34" s="314" t="s">
        <v>2217</v>
      </c>
      <c r="P34" s="314" t="s">
        <v>2218</v>
      </c>
      <c r="Q34" s="314" t="s">
        <v>2219</v>
      </c>
      <c r="R34" s="314" t="s">
        <v>2220</v>
      </c>
      <c r="S34" s="3231" t="s">
        <v>2221</v>
      </c>
      <c r="T34" s="314" t="str">
        <f>NUMBERSTRING(7-K34,1)&amp;"通"</f>
        <v>七通</v>
      </c>
      <c r="U34" s="2243"/>
      <c r="V34" s="2243"/>
    </row>
    <row r="35" spans="1:30">
      <c r="A35" s="2234"/>
      <c r="B35" s="3231" t="s">
        <v>2222</v>
      </c>
      <c r="C35" s="3231"/>
      <c r="D35" s="3231"/>
      <c r="E35" s="3231"/>
      <c r="F35" s="8">
        <f>C10</f>
        <v>0</v>
      </c>
      <c r="G35" s="2438"/>
      <c r="H35" s="2438"/>
      <c r="I35" s="2438"/>
      <c r="J35" s="2243"/>
      <c r="K35" s="314"/>
      <c r="L35" s="314">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1"/>
      <c r="T35" s="138" t="str">
        <f>IF(T34="一通",L35,IF(T34="二通",M35,IF(T34="三通",N35,IF(T34="四通",O35,IF(T34="五通",P35,IF(T34="六通",Q35,R35))))))</f>
        <v>、、、、、、</v>
      </c>
      <c r="U35" s="2243"/>
      <c r="V35" s="2243"/>
    </row>
    <row r="36" spans="1:30">
      <c r="A36" s="2181"/>
      <c r="B36" s="8" t="s">
        <v>2181</v>
      </c>
      <c r="C36" s="8" t="s">
        <v>2182</v>
      </c>
      <c r="D36" s="8" t="s">
        <v>2180</v>
      </c>
      <c r="E36" s="8" t="s">
        <v>2185</v>
      </c>
      <c r="F36" s="2797" t="s">
        <v>2566</v>
      </c>
      <c r="G36" s="2438"/>
      <c r="H36" s="2438"/>
      <c r="I36" s="2438"/>
      <c r="J36" s="2243"/>
      <c r="K36" s="2398"/>
      <c r="L36" s="2395"/>
      <c r="M36" s="2395"/>
      <c r="N36" s="2243"/>
      <c r="O36" s="1669"/>
      <c r="P36" s="2243"/>
      <c r="Q36" s="2243"/>
      <c r="R36" s="2243"/>
      <c r="S36" s="2243"/>
      <c r="T36" s="2243"/>
      <c r="U36" s="2243"/>
      <c r="V36" s="2243"/>
    </row>
    <row r="37" spans="1:30">
      <c r="A37" s="2411" t="s">
        <v>2223</v>
      </c>
      <c r="B37" s="2235" t="s">
        <v>184</v>
      </c>
      <c r="C37" s="2235"/>
      <c r="D37" s="2235"/>
      <c r="E37" s="2235"/>
      <c r="F37" s="2235"/>
      <c r="G37" s="2438"/>
      <c r="H37" s="2438"/>
      <c r="I37" s="2438"/>
      <c r="J37" s="2243"/>
      <c r="K37" s="2398"/>
      <c r="L37" s="2395"/>
      <c r="M37" s="2395"/>
      <c r="N37" s="2243"/>
      <c r="O37" s="1669"/>
      <c r="P37" s="2243"/>
      <c r="Q37" s="2243"/>
      <c r="R37" s="2243"/>
      <c r="S37" s="2243"/>
      <c r="T37" s="2243"/>
      <c r="U37" s="2243"/>
      <c r="V37" s="2243"/>
    </row>
    <row r="38" spans="1:30" ht="13.5" thickBot="1">
      <c r="A38" s="2412" t="s">
        <v>2224</v>
      </c>
      <c r="B38" s="2236" t="s">
        <v>3366</v>
      </c>
      <c r="C38" s="2236"/>
      <c r="D38" s="2236"/>
      <c r="E38" s="2236"/>
      <c r="F38" s="2236"/>
      <c r="G38" s="2439"/>
      <c r="H38" s="2439"/>
      <c r="I38" s="2439"/>
      <c r="J38" s="2243"/>
      <c r="K38" s="2398"/>
      <c r="L38" s="2395"/>
      <c r="M38" s="2395"/>
      <c r="N38" s="2243"/>
      <c r="O38" s="1669"/>
      <c r="P38" s="2243"/>
      <c r="Q38" s="2243"/>
      <c r="R38" s="2243"/>
      <c r="S38" s="2243"/>
      <c r="T38" s="2243"/>
      <c r="U38" s="2243"/>
      <c r="V38" s="2243"/>
    </row>
    <row r="39" spans="1:30" s="2239" customFormat="1" ht="14.25" thickTop="1" thickBot="1">
      <c r="A39" s="2237" t="s">
        <v>2225</v>
      </c>
      <c r="B39" s="2238"/>
      <c r="C39" s="2238"/>
      <c r="D39" s="2238"/>
      <c r="E39" s="2238"/>
      <c r="F39" s="2238"/>
      <c r="G39" s="2238"/>
      <c r="H39" s="2238"/>
      <c r="I39" s="2238"/>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80"/>
      <c r="B40" s="2180"/>
      <c r="C40" s="2180"/>
      <c r="D40" s="2180"/>
      <c r="E40" s="2180"/>
      <c r="F40" s="2180"/>
      <c r="G40" s="2180"/>
      <c r="H40" s="2180"/>
      <c r="I40" s="1465"/>
      <c r="J40" s="2243"/>
      <c r="K40" s="2397"/>
      <c r="L40" s="1669"/>
      <c r="M40" s="1669"/>
      <c r="N40" s="2243"/>
      <c r="O40" s="1669"/>
      <c r="P40" s="2243"/>
      <c r="Q40" s="2243"/>
      <c r="R40" s="2243"/>
      <c r="S40" s="2243"/>
      <c r="T40" s="2243"/>
      <c r="U40" s="2243"/>
      <c r="V40" s="2243"/>
    </row>
    <row r="41" spans="1:30">
      <c r="A41" s="2240" t="s">
        <v>2226</v>
      </c>
      <c r="B41" s="1626"/>
      <c r="C41" s="1280"/>
      <c r="D41" s="2180"/>
      <c r="E41" s="2180"/>
      <c r="F41" s="2180"/>
      <c r="G41" s="2180"/>
      <c r="H41" s="2180"/>
      <c r="I41" s="1465"/>
      <c r="J41" s="2243"/>
      <c r="K41" s="2398"/>
      <c r="L41" s="2395"/>
      <c r="M41" s="2395"/>
      <c r="N41" s="2243"/>
      <c r="O41" s="1669"/>
      <c r="P41" s="2243"/>
      <c r="Q41" s="2243"/>
      <c r="R41" s="2243"/>
      <c r="S41" s="2243"/>
      <c r="T41" s="2243"/>
      <c r="U41" s="2243"/>
      <c r="V41" s="2243"/>
    </row>
    <row r="42" spans="1:30" ht="25.5">
      <c r="A42" s="314" t="s">
        <v>2227</v>
      </c>
      <c r="B42" s="8" t="s">
        <v>2228</v>
      </c>
      <c r="C42" s="8" t="s">
        <v>2229</v>
      </c>
      <c r="D42" s="8" t="s">
        <v>2230</v>
      </c>
      <c r="E42" s="8" t="s">
        <v>2231</v>
      </c>
      <c r="F42" s="8" t="s">
        <v>2232</v>
      </c>
      <c r="G42" s="8" t="s">
        <v>2233</v>
      </c>
      <c r="H42" s="8" t="s">
        <v>2234</v>
      </c>
      <c r="I42" s="8" t="s">
        <v>2235</v>
      </c>
      <c r="J42" s="2407" t="s">
        <v>2236</v>
      </c>
      <c r="K42" s="2408" t="s">
        <v>2237</v>
      </c>
      <c r="L42" s="2408" t="s">
        <v>2238</v>
      </c>
      <c r="M42" s="2408" t="s">
        <v>2239</v>
      </c>
      <c r="N42" s="2401" t="s">
        <v>2240</v>
      </c>
      <c r="O42" s="2401" t="s">
        <v>2241</v>
      </c>
      <c r="P42" s="2401" t="s">
        <v>2242</v>
      </c>
      <c r="Q42" s="2402" t="s">
        <v>2243</v>
      </c>
      <c r="R42" s="2402" t="s">
        <v>2244</v>
      </c>
      <c r="S42" s="2243"/>
      <c r="T42" s="2243"/>
      <c r="U42" s="2243"/>
      <c r="V42" s="2243"/>
    </row>
    <row r="43" spans="1:30" s="1615" customFormat="1">
      <c r="A43" s="1461"/>
      <c r="B43" s="627"/>
      <c r="C43" s="627"/>
      <c r="D43" s="627"/>
      <c r="E43" s="627"/>
      <c r="F43" s="627"/>
      <c r="G43" s="627"/>
      <c r="H43" s="627"/>
      <c r="I43" s="627"/>
      <c r="J43" s="2241"/>
      <c r="K43" s="2242"/>
      <c r="L43" s="2242"/>
      <c r="M43" s="627"/>
      <c r="N43" s="627"/>
      <c r="O43" s="627"/>
      <c r="P43" s="627"/>
      <c r="Q43" s="627"/>
      <c r="R43" s="627"/>
      <c r="S43" s="2243"/>
      <c r="T43" s="2243"/>
      <c r="U43" s="2243"/>
      <c r="V43" s="2243"/>
    </row>
    <row r="44" spans="1:30" s="1615" customFormat="1">
      <c r="A44" s="1461"/>
      <c r="B44" s="1461"/>
      <c r="C44" s="627"/>
      <c r="D44" s="627"/>
      <c r="E44" s="627"/>
      <c r="F44" s="627"/>
      <c r="G44" s="627"/>
      <c r="H44" s="627"/>
      <c r="I44" s="627"/>
      <c r="J44" s="2241"/>
      <c r="K44" s="2242"/>
      <c r="L44" s="2242"/>
      <c r="M44" s="627"/>
      <c r="N44" s="627"/>
      <c r="O44" s="627"/>
      <c r="P44" s="627"/>
      <c r="Q44" s="627"/>
      <c r="R44" s="627"/>
      <c r="S44" s="2243"/>
      <c r="T44" s="2243"/>
      <c r="U44" s="2243"/>
      <c r="V44" s="2243"/>
    </row>
    <row r="45" spans="1:30" s="1615" customFormat="1">
      <c r="A45" s="1461"/>
      <c r="B45" s="1461"/>
      <c r="C45" s="627"/>
      <c r="D45" s="627"/>
      <c r="E45" s="627"/>
      <c r="F45" s="627"/>
      <c r="G45" s="627"/>
      <c r="H45" s="627"/>
      <c r="I45" s="627"/>
      <c r="J45" s="2241"/>
      <c r="K45" s="2242"/>
      <c r="L45" s="2242"/>
      <c r="M45" s="627"/>
      <c r="N45" s="627"/>
      <c r="O45" s="627"/>
      <c r="P45" s="627"/>
      <c r="Q45" s="627"/>
      <c r="R45" s="627"/>
      <c r="S45" s="2243"/>
      <c r="T45" s="2243"/>
      <c r="U45" s="2243"/>
      <c r="V45" s="2243"/>
    </row>
    <row r="46" spans="1:30" s="1615" customFormat="1">
      <c r="A46" s="1461"/>
      <c r="B46" s="1461"/>
      <c r="C46" s="627"/>
      <c r="D46" s="627"/>
      <c r="E46" s="627"/>
      <c r="F46" s="627"/>
      <c r="G46" s="627"/>
      <c r="H46" s="627"/>
      <c r="I46" s="627"/>
      <c r="J46" s="2241"/>
      <c r="K46" s="2242"/>
      <c r="L46" s="2242"/>
      <c r="M46" s="627"/>
      <c r="N46" s="627"/>
      <c r="O46" s="627"/>
      <c r="P46" s="627"/>
      <c r="Q46" s="627"/>
      <c r="R46" s="627"/>
      <c r="S46" s="2243"/>
      <c r="T46" s="2243"/>
      <c r="U46" s="2243"/>
      <c r="V46" s="2243"/>
    </row>
    <row r="47" spans="1:30" s="1615" customFormat="1">
      <c r="A47" s="1461"/>
      <c r="B47" s="1461"/>
      <c r="C47" s="627"/>
      <c r="D47" s="627"/>
      <c r="E47" s="627"/>
      <c r="F47" s="627"/>
      <c r="G47" s="627"/>
      <c r="H47" s="627"/>
      <c r="I47" s="627"/>
      <c r="J47" s="2241"/>
      <c r="K47" s="2242"/>
      <c r="L47" s="2242"/>
      <c r="M47" s="627"/>
      <c r="N47" s="627"/>
      <c r="O47" s="627"/>
      <c r="P47" s="627"/>
      <c r="Q47" s="627"/>
      <c r="R47" s="627"/>
      <c r="S47" s="2243"/>
      <c r="T47" s="2243"/>
      <c r="U47" s="2243"/>
      <c r="V47" s="2243"/>
    </row>
    <row r="48" spans="1:30" s="1615" customFormat="1">
      <c r="A48" s="1461"/>
      <c r="B48" s="1461"/>
      <c r="C48" s="627"/>
      <c r="D48" s="627"/>
      <c r="E48" s="627"/>
      <c r="F48" s="627"/>
      <c r="G48" s="627"/>
      <c r="H48" s="627"/>
      <c r="I48" s="627"/>
      <c r="J48" s="2241"/>
      <c r="K48" s="2242"/>
      <c r="L48" s="2242"/>
      <c r="M48" s="627"/>
      <c r="N48" s="627"/>
      <c r="O48" s="627"/>
      <c r="P48" s="627"/>
      <c r="Q48" s="627"/>
      <c r="R48" s="627"/>
      <c r="S48" s="2243"/>
      <c r="T48" s="2243"/>
      <c r="U48" s="2243"/>
      <c r="V48" s="2243"/>
    </row>
    <row r="49" spans="1:22" s="1615" customFormat="1">
      <c r="A49" s="1461"/>
      <c r="B49" s="1461"/>
      <c r="C49" s="627"/>
      <c r="D49" s="627"/>
      <c r="E49" s="627"/>
      <c r="F49" s="627"/>
      <c r="G49" s="627"/>
      <c r="H49" s="627"/>
      <c r="I49" s="627"/>
      <c r="J49" s="2241"/>
      <c r="K49" s="2242"/>
      <c r="L49" s="2242"/>
      <c r="M49" s="627"/>
      <c r="N49" s="627"/>
      <c r="O49" s="627"/>
      <c r="P49" s="627"/>
      <c r="Q49" s="627"/>
      <c r="R49" s="627"/>
      <c r="S49" s="2243"/>
      <c r="T49" s="2243"/>
      <c r="U49" s="2243"/>
      <c r="V49" s="2243"/>
    </row>
    <row r="50" spans="1:22" s="1615" customFormat="1">
      <c r="A50" s="1461"/>
      <c r="B50" s="1461"/>
      <c r="C50" s="627"/>
      <c r="D50" s="627"/>
      <c r="E50" s="627"/>
      <c r="F50" s="627"/>
      <c r="G50" s="627"/>
      <c r="H50" s="627"/>
      <c r="I50" s="627"/>
      <c r="J50" s="2241"/>
      <c r="K50" s="2242"/>
      <c r="L50" s="2242"/>
      <c r="M50" s="627"/>
      <c r="N50" s="627"/>
      <c r="O50" s="627"/>
      <c r="P50" s="627"/>
      <c r="Q50" s="627"/>
      <c r="R50" s="627"/>
      <c r="S50" s="2243"/>
      <c r="T50" s="2243"/>
      <c r="U50" s="2243"/>
      <c r="V50" s="2243"/>
    </row>
    <row r="51" spans="1:22" s="1615" customFormat="1">
      <c r="A51" s="1461"/>
      <c r="B51" s="1461"/>
      <c r="C51" s="627"/>
      <c r="D51" s="627"/>
      <c r="E51" s="627"/>
      <c r="F51" s="627"/>
      <c r="G51" s="627"/>
      <c r="H51" s="627"/>
      <c r="I51" s="627"/>
      <c r="J51" s="2241"/>
      <c r="K51" s="2242"/>
      <c r="L51" s="2242"/>
      <c r="M51" s="627"/>
      <c r="N51" s="627"/>
      <c r="O51" s="627"/>
      <c r="P51" s="627"/>
      <c r="Q51" s="627"/>
      <c r="R51" s="627"/>
    </row>
    <row r="52" spans="1:22" s="1615" customFormat="1">
      <c r="A52" s="1461"/>
      <c r="B52" s="1461"/>
      <c r="C52" s="1461"/>
      <c r="D52" s="1461"/>
      <c r="E52" s="1461"/>
      <c r="F52" s="627"/>
      <c r="G52" s="1461"/>
      <c r="H52" s="1461"/>
      <c r="I52" s="1461"/>
      <c r="J52" s="2244"/>
      <c r="K52" s="2242"/>
      <c r="L52" s="2242"/>
      <c r="M52" s="2242"/>
      <c r="N52" s="1461"/>
      <c r="O52" s="1461"/>
      <c r="P52" s="1461"/>
      <c r="Q52" s="1461"/>
      <c r="R52" s="1461"/>
    </row>
    <row r="53" spans="1:22" s="1615" customFormat="1">
      <c r="A53" s="1461"/>
      <c r="B53" s="1461"/>
      <c r="C53" s="1461"/>
      <c r="D53" s="1461"/>
      <c r="E53" s="1461"/>
      <c r="F53" s="627"/>
      <c r="G53" s="1461"/>
      <c r="H53" s="1461"/>
      <c r="I53" s="1461"/>
      <c r="J53" s="2244"/>
      <c r="K53" s="2242"/>
      <c r="L53" s="2242"/>
      <c r="M53" s="2242"/>
      <c r="N53" s="1461"/>
      <c r="O53" s="1461"/>
      <c r="P53" s="1461"/>
      <c r="Q53" s="1461"/>
      <c r="R53" s="1461"/>
    </row>
    <row r="54" spans="1:22" s="1615" customFormat="1">
      <c r="A54" s="1461"/>
      <c r="B54" s="1461"/>
      <c r="C54" s="1461"/>
      <c r="D54" s="1461"/>
      <c r="E54" s="1461"/>
      <c r="F54" s="627"/>
      <c r="G54" s="1461"/>
      <c r="H54" s="1461"/>
      <c r="I54" s="1461"/>
      <c r="J54" s="2244"/>
      <c r="K54" s="2242"/>
      <c r="L54" s="2242"/>
      <c r="M54" s="2242"/>
      <c r="N54" s="1461"/>
      <c r="O54" s="1461"/>
      <c r="P54" s="1461"/>
      <c r="Q54" s="1461"/>
      <c r="R54" s="1461"/>
    </row>
    <row r="55" spans="1:22" s="1615" customFormat="1">
      <c r="A55" s="1461"/>
      <c r="B55" s="1461"/>
      <c r="C55" s="1461"/>
      <c r="D55" s="1461"/>
      <c r="E55" s="1461"/>
      <c r="F55" s="627"/>
      <c r="G55" s="1461"/>
      <c r="H55" s="1461"/>
      <c r="I55" s="1461"/>
      <c r="J55" s="2244"/>
      <c r="K55" s="2242"/>
      <c r="L55" s="2242"/>
      <c r="M55" s="2242"/>
      <c r="N55" s="1461"/>
      <c r="O55" s="1461"/>
      <c r="P55" s="1461"/>
      <c r="Q55" s="1461"/>
      <c r="R55" s="1461"/>
    </row>
    <row r="56" spans="1:22" s="1615" customFormat="1">
      <c r="A56" s="1461"/>
      <c r="B56" s="1461"/>
      <c r="C56" s="1461"/>
      <c r="D56" s="1461"/>
      <c r="E56" s="1461"/>
      <c r="F56" s="627"/>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24" sqref="F24"/>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6356.88</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6356.88</v>
      </c>
      <c r="H5" s="13">
        <f t="shared" ref="H5:AT5" si="0">SUM(H13:H656)</f>
        <v>6356.88</v>
      </c>
      <c r="I5" s="13">
        <f t="shared" si="0"/>
        <v>4430.01</v>
      </c>
      <c r="J5" s="13">
        <f t="shared" si="0"/>
        <v>0</v>
      </c>
      <c r="K5" s="13">
        <f t="shared" si="0"/>
        <v>1926.8699999999997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6356.88</v>
      </c>
      <c r="BA5" s="15">
        <f t="shared" si="1"/>
        <v>6356.88</v>
      </c>
      <c r="BB5" s="15">
        <f t="shared" si="1"/>
        <v>4430.01</v>
      </c>
      <c r="BC5" s="15">
        <f t="shared" si="1"/>
        <v>1926.8699999999997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3534</v>
      </c>
      <c r="J9" s="760"/>
      <c r="K9" s="1490" t="s">
        <v>3535</v>
      </c>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673</v>
      </c>
      <c r="J10" s="760"/>
      <c r="K10" s="1496" t="s">
        <v>673</v>
      </c>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t="str">
        <f>K9</f>
        <v>地下</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t="str">
        <f>K10</f>
        <v>商业</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627"/>
      <c r="D13" s="1512" t="s">
        <v>3367</v>
      </c>
      <c r="E13" s="13">
        <f>IF($C$3="是",ROUND($A$3*G13/$B$3,2),ROUND($A$3*(G13-AT13)/$B$3,2))</f>
        <v>0</v>
      </c>
      <c r="F13" s="29"/>
      <c r="G13" s="30">
        <f>H13+AC13+AT13</f>
        <v>6356.88</v>
      </c>
      <c r="H13" s="17">
        <f>SUMIF(I$12:AB$12,"总值",I13:AB13)</f>
        <v>6356.88</v>
      </c>
      <c r="I13" s="1513">
        <f>面积!O6-面积!O5</f>
        <v>4430.01</v>
      </c>
      <c r="J13" s="1513"/>
      <c r="K13" s="1513">
        <f>面积!O5</f>
        <v>1926.8699999999997</v>
      </c>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f>ROUND($AY$6*AZ13/$AZ$5,2)</f>
        <v>0</v>
      </c>
      <c r="AZ13" s="13">
        <f>BA13+BL13</f>
        <v>6356.88</v>
      </c>
      <c r="BA13" s="13">
        <f>SUM(BB13:BK13)</f>
        <v>6356.88</v>
      </c>
      <c r="BB13" s="13">
        <f>IF($D13="是",I13-J13,0)</f>
        <v>4430.01</v>
      </c>
      <c r="BC13" s="13">
        <f>IF($D13="是",K13-L13,0)</f>
        <v>1926.8699999999997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82"/>
  <sheetViews>
    <sheetView zoomScale="110" zoomScaleNormal="110" workbookViewId="0">
      <selection activeCell="C2" sqref="C2"/>
    </sheetView>
  </sheetViews>
  <sheetFormatPr defaultRowHeight="13.5"/>
  <cols>
    <col min="2" max="2" width="32.375" style="3142" bestFit="1" customWidth="1"/>
    <col min="3" max="3" width="32.375" style="3142" customWidth="1"/>
  </cols>
  <sheetData>
    <row r="1" spans="1:18">
      <c r="A1" s="1404" t="s">
        <v>3369</v>
      </c>
      <c r="B1" s="3141" t="s">
        <v>3370</v>
      </c>
      <c r="C1" s="3141" t="s">
        <v>3559</v>
      </c>
      <c r="D1" s="1404" t="s">
        <v>3371</v>
      </c>
      <c r="E1" s="1404" t="s">
        <v>3372</v>
      </c>
      <c r="F1" s="1404" t="s">
        <v>3373</v>
      </c>
      <c r="G1" s="1404" t="s">
        <v>3374</v>
      </c>
      <c r="H1" s="1404"/>
      <c r="I1" s="1404"/>
      <c r="J1" s="1404"/>
      <c r="K1" s="1404"/>
      <c r="L1" s="1404"/>
      <c r="O1" s="1404" t="s">
        <v>3373</v>
      </c>
      <c r="P1" s="1404" t="s">
        <v>3459</v>
      </c>
    </row>
    <row r="2" spans="1:18">
      <c r="A2">
        <v>1</v>
      </c>
      <c r="B2" s="3141" t="s">
        <v>3377</v>
      </c>
      <c r="C2" s="1439" t="s">
        <v>3558</v>
      </c>
      <c r="D2">
        <v>1</v>
      </c>
      <c r="E2">
        <v>5</v>
      </c>
      <c r="F2" s="3153">
        <v>113.41</v>
      </c>
      <c r="G2">
        <v>2011</v>
      </c>
      <c r="H2" s="1404"/>
      <c r="I2" s="1404"/>
      <c r="J2" s="1404"/>
      <c r="K2" s="1404"/>
      <c r="L2" s="1404"/>
      <c r="N2" s="1404" t="s">
        <v>3455</v>
      </c>
      <c r="O2">
        <f>SUM(F2:F9)</f>
        <v>776.8</v>
      </c>
      <c r="P2">
        <v>8</v>
      </c>
      <c r="Q2">
        <v>1</v>
      </c>
      <c r="R2">
        <f>(Q2*O2+Q3*O3+Q4*O4+Q5*O5)/O6</f>
        <v>0.70000912397276649</v>
      </c>
    </row>
    <row r="3" spans="1:18">
      <c r="A3">
        <v>2</v>
      </c>
      <c r="B3" s="3141" t="s">
        <v>3378</v>
      </c>
      <c r="C3" s="1439" t="s">
        <v>3560</v>
      </c>
      <c r="D3">
        <v>1</v>
      </c>
      <c r="E3">
        <v>5</v>
      </c>
      <c r="F3" s="3153">
        <v>91.15</v>
      </c>
      <c r="H3" s="1404"/>
      <c r="I3" s="1404"/>
      <c r="J3" s="1404"/>
      <c r="K3" s="1404"/>
      <c r="L3" s="1404"/>
      <c r="N3" s="1404" t="s">
        <v>3456</v>
      </c>
      <c r="O3">
        <f>SUM(F10:F31)</f>
        <v>1523.92</v>
      </c>
      <c r="P3">
        <v>22</v>
      </c>
      <c r="Q3">
        <v>0.8</v>
      </c>
    </row>
    <row r="4" spans="1:18">
      <c r="A4">
        <v>3</v>
      </c>
      <c r="B4" s="3141" t="s">
        <v>3379</v>
      </c>
      <c r="C4" s="1439" t="s">
        <v>3561</v>
      </c>
      <c r="D4">
        <v>1</v>
      </c>
      <c r="E4">
        <v>5</v>
      </c>
      <c r="F4" s="3153">
        <v>35.880000000000003</v>
      </c>
      <c r="H4" s="1404"/>
      <c r="I4" s="1404"/>
      <c r="J4" s="1404"/>
      <c r="K4" s="1404"/>
      <c r="L4" s="1404"/>
      <c r="N4" s="1404" t="s">
        <v>3457</v>
      </c>
      <c r="O4">
        <f>SUM(F32:F64)</f>
        <v>2129.29</v>
      </c>
      <c r="P4">
        <v>33</v>
      </c>
      <c r="Q4">
        <v>0.7</v>
      </c>
    </row>
    <row r="5" spans="1:18">
      <c r="A5">
        <v>4</v>
      </c>
      <c r="B5" s="3141" t="s">
        <v>3380</v>
      </c>
      <c r="C5" s="1439" t="s">
        <v>3562</v>
      </c>
      <c r="D5">
        <v>1</v>
      </c>
      <c r="E5">
        <v>5</v>
      </c>
      <c r="F5" s="3153">
        <v>29.43</v>
      </c>
      <c r="H5" s="1404"/>
      <c r="I5" s="1404"/>
      <c r="J5" s="1404"/>
      <c r="K5" s="1404"/>
      <c r="L5" s="1404"/>
      <c r="N5" s="1404" t="s">
        <v>3458</v>
      </c>
      <c r="O5">
        <f>SUM(F65:F81)</f>
        <v>1926.8699999999997</v>
      </c>
      <c r="P5">
        <v>17</v>
      </c>
      <c r="Q5">
        <v>0.5</v>
      </c>
      <c r="R5">
        <f>4/R2</f>
        <v>5.7142112338461724</v>
      </c>
    </row>
    <row r="6" spans="1:18">
      <c r="A6">
        <v>5</v>
      </c>
      <c r="B6" s="3141" t="s">
        <v>3381</v>
      </c>
      <c r="C6" s="1439" t="s">
        <v>3563</v>
      </c>
      <c r="D6">
        <v>1</v>
      </c>
      <c r="E6">
        <v>5</v>
      </c>
      <c r="F6" s="3153">
        <v>143.38</v>
      </c>
      <c r="H6" s="1404"/>
      <c r="I6" s="1404"/>
      <c r="J6" s="1404"/>
      <c r="K6" s="1404"/>
      <c r="L6" s="1404"/>
      <c r="O6">
        <f>SUM(O2:O5)</f>
        <v>6356.88</v>
      </c>
      <c r="P6">
        <f>SUM(P2:P5)</f>
        <v>80</v>
      </c>
    </row>
    <row r="7" spans="1:18">
      <c r="A7">
        <v>6</v>
      </c>
      <c r="B7" s="3141" t="s">
        <v>3382</v>
      </c>
      <c r="C7" s="1439" t="s">
        <v>3564</v>
      </c>
      <c r="D7">
        <v>1</v>
      </c>
      <c r="E7">
        <v>5</v>
      </c>
      <c r="F7" s="3153">
        <v>136.26</v>
      </c>
      <c r="H7" s="1404"/>
      <c r="I7" s="1404"/>
      <c r="J7" s="1404"/>
      <c r="K7" s="1404"/>
      <c r="L7" s="1404"/>
    </row>
    <row r="8" spans="1:18">
      <c r="A8">
        <v>7</v>
      </c>
      <c r="B8" s="3141" t="s">
        <v>3383</v>
      </c>
      <c r="C8" s="1439" t="s">
        <v>3565</v>
      </c>
      <c r="D8">
        <v>1</v>
      </c>
      <c r="E8">
        <v>5</v>
      </c>
      <c r="F8" s="3153">
        <v>149.55000000000001</v>
      </c>
      <c r="H8" s="1404"/>
      <c r="I8" s="1404"/>
      <c r="J8" s="1404"/>
      <c r="K8" s="1404"/>
      <c r="L8" s="1404"/>
    </row>
    <row r="9" spans="1:18">
      <c r="A9">
        <v>8</v>
      </c>
      <c r="B9" s="3141" t="s">
        <v>3384</v>
      </c>
      <c r="C9" s="1439" t="s">
        <v>3566</v>
      </c>
      <c r="D9">
        <v>1</v>
      </c>
      <c r="E9">
        <v>5</v>
      </c>
      <c r="F9" s="3153">
        <v>77.739999999999995</v>
      </c>
      <c r="H9" s="1404"/>
      <c r="I9" s="1404"/>
      <c r="J9" s="1404"/>
      <c r="K9" s="1404"/>
      <c r="L9" s="1404"/>
    </row>
    <row r="10" spans="1:18">
      <c r="A10">
        <v>9</v>
      </c>
      <c r="B10" s="3141" t="s">
        <v>3376</v>
      </c>
      <c r="C10" s="1439" t="s">
        <v>3567</v>
      </c>
      <c r="D10">
        <v>2</v>
      </c>
      <c r="E10">
        <v>5</v>
      </c>
      <c r="F10" s="3153">
        <v>75.69</v>
      </c>
    </row>
    <row r="11" spans="1:18">
      <c r="A11">
        <v>10</v>
      </c>
      <c r="B11" s="3141" t="s">
        <v>3385</v>
      </c>
      <c r="C11" s="1439" t="s">
        <v>3568</v>
      </c>
      <c r="D11">
        <v>2</v>
      </c>
      <c r="E11">
        <v>5</v>
      </c>
      <c r="F11" s="3153">
        <v>67.33</v>
      </c>
    </row>
    <row r="12" spans="1:18">
      <c r="A12">
        <v>11</v>
      </c>
      <c r="B12" s="3141" t="s">
        <v>3386</v>
      </c>
      <c r="C12" s="1439" t="s">
        <v>3569</v>
      </c>
      <c r="D12">
        <v>2</v>
      </c>
      <c r="E12">
        <v>5</v>
      </c>
      <c r="F12" s="3153">
        <v>93.6</v>
      </c>
    </row>
    <row r="13" spans="1:18">
      <c r="A13">
        <v>12</v>
      </c>
      <c r="B13" s="3141" t="s">
        <v>3387</v>
      </c>
      <c r="C13" s="1439" t="s">
        <v>3572</v>
      </c>
      <c r="D13">
        <v>2</v>
      </c>
      <c r="E13">
        <v>5</v>
      </c>
      <c r="F13" s="3153">
        <v>39.18</v>
      </c>
    </row>
    <row r="14" spans="1:18">
      <c r="A14">
        <v>13</v>
      </c>
      <c r="B14" s="3141" t="s">
        <v>3388</v>
      </c>
      <c r="C14" s="1439" t="s">
        <v>3573</v>
      </c>
      <c r="D14">
        <v>2</v>
      </c>
      <c r="E14">
        <v>5</v>
      </c>
      <c r="F14" s="3153">
        <v>34.07</v>
      </c>
    </row>
    <row r="15" spans="1:18">
      <c r="A15">
        <v>14</v>
      </c>
      <c r="B15" s="3141" t="s">
        <v>3389</v>
      </c>
      <c r="C15" s="1439" t="s">
        <v>3574</v>
      </c>
      <c r="D15">
        <v>2</v>
      </c>
      <c r="E15">
        <v>5</v>
      </c>
      <c r="F15" s="3153">
        <v>59.36</v>
      </c>
    </row>
    <row r="16" spans="1:18" ht="12.75" customHeight="1">
      <c r="A16">
        <v>15</v>
      </c>
      <c r="B16" s="3141" t="s">
        <v>3390</v>
      </c>
      <c r="C16" s="1439" t="s">
        <v>3575</v>
      </c>
      <c r="D16">
        <v>2</v>
      </c>
      <c r="E16">
        <v>5</v>
      </c>
      <c r="F16" s="3153">
        <v>57.78</v>
      </c>
    </row>
    <row r="17" spans="1:6">
      <c r="A17">
        <v>16</v>
      </c>
      <c r="B17" s="3141" t="s">
        <v>3391</v>
      </c>
      <c r="C17" s="1439" t="s">
        <v>3576</v>
      </c>
      <c r="D17">
        <v>2</v>
      </c>
      <c r="E17">
        <v>5</v>
      </c>
      <c r="F17" s="3153">
        <v>65.25</v>
      </c>
    </row>
    <row r="18" spans="1:6">
      <c r="A18">
        <v>17</v>
      </c>
      <c r="B18" s="3141" t="s">
        <v>3392</v>
      </c>
      <c r="C18" s="1439" t="s">
        <v>3577</v>
      </c>
      <c r="D18">
        <v>2</v>
      </c>
      <c r="E18">
        <v>5</v>
      </c>
      <c r="F18" s="3153">
        <v>58.29</v>
      </c>
    </row>
    <row r="19" spans="1:6">
      <c r="A19">
        <v>18</v>
      </c>
      <c r="B19" s="3141" t="s">
        <v>3393</v>
      </c>
      <c r="C19" s="1439" t="s">
        <v>3578</v>
      </c>
      <c r="D19">
        <v>2</v>
      </c>
      <c r="E19">
        <v>5</v>
      </c>
      <c r="F19" s="3153">
        <v>79.25</v>
      </c>
    </row>
    <row r="20" spans="1:6">
      <c r="A20">
        <v>19</v>
      </c>
      <c r="B20" s="3141" t="s">
        <v>3394</v>
      </c>
      <c r="C20" s="1439" t="s">
        <v>3579</v>
      </c>
      <c r="D20">
        <v>2</v>
      </c>
      <c r="E20">
        <v>5</v>
      </c>
      <c r="F20" s="3153">
        <v>85.19</v>
      </c>
    </row>
    <row r="21" spans="1:6">
      <c r="A21">
        <v>20</v>
      </c>
      <c r="B21" s="3141" t="s">
        <v>3395</v>
      </c>
      <c r="C21" s="1439" t="s">
        <v>3580</v>
      </c>
      <c r="D21">
        <v>2</v>
      </c>
      <c r="E21">
        <v>5</v>
      </c>
      <c r="F21">
        <v>112.41</v>
      </c>
    </row>
    <row r="22" spans="1:6">
      <c r="A22">
        <v>21</v>
      </c>
      <c r="B22" s="3141" t="s">
        <v>3396</v>
      </c>
      <c r="C22" s="1439" t="s">
        <v>3581</v>
      </c>
      <c r="D22">
        <v>2</v>
      </c>
      <c r="E22">
        <v>5</v>
      </c>
      <c r="F22">
        <v>64.739999999999995</v>
      </c>
    </row>
    <row r="23" spans="1:6">
      <c r="A23">
        <v>22</v>
      </c>
      <c r="B23" s="3141" t="s">
        <v>3397</v>
      </c>
      <c r="C23" s="1439" t="s">
        <v>3582</v>
      </c>
      <c r="D23">
        <v>2</v>
      </c>
      <c r="E23">
        <v>5</v>
      </c>
      <c r="F23">
        <v>62.76</v>
      </c>
    </row>
    <row r="24" spans="1:6">
      <c r="A24">
        <v>23</v>
      </c>
      <c r="B24" s="3141" t="s">
        <v>3398</v>
      </c>
      <c r="C24" s="1439" t="s">
        <v>3583</v>
      </c>
      <c r="D24">
        <v>2</v>
      </c>
      <c r="E24">
        <v>5</v>
      </c>
      <c r="F24">
        <v>60.49</v>
      </c>
    </row>
    <row r="25" spans="1:6">
      <c r="A25">
        <v>24</v>
      </c>
      <c r="B25" s="3141" t="s">
        <v>3399</v>
      </c>
      <c r="C25" s="1439" t="s">
        <v>3584</v>
      </c>
      <c r="D25">
        <v>2</v>
      </c>
      <c r="E25">
        <v>5</v>
      </c>
      <c r="F25">
        <v>68.3</v>
      </c>
    </row>
    <row r="26" spans="1:6">
      <c r="A26">
        <v>25</v>
      </c>
      <c r="B26" s="3141" t="s">
        <v>3400</v>
      </c>
      <c r="C26" s="1439" t="s">
        <v>3585</v>
      </c>
      <c r="D26">
        <v>2</v>
      </c>
      <c r="E26">
        <v>5</v>
      </c>
      <c r="F26">
        <v>64.61</v>
      </c>
    </row>
    <row r="27" spans="1:6">
      <c r="A27">
        <v>26</v>
      </c>
      <c r="B27" s="3141" t="s">
        <v>3401</v>
      </c>
      <c r="C27" s="1439" t="s">
        <v>3586</v>
      </c>
      <c r="D27">
        <v>2</v>
      </c>
      <c r="E27">
        <v>5</v>
      </c>
      <c r="F27">
        <v>57.44</v>
      </c>
    </row>
    <row r="28" spans="1:6">
      <c r="A28">
        <v>27</v>
      </c>
      <c r="B28" s="3141" t="s">
        <v>3402</v>
      </c>
      <c r="C28" s="1439" t="s">
        <v>3587</v>
      </c>
      <c r="D28">
        <v>2</v>
      </c>
      <c r="E28">
        <v>5</v>
      </c>
      <c r="F28" s="3153">
        <v>72.5</v>
      </c>
    </row>
    <row r="29" spans="1:6">
      <c r="A29">
        <v>28</v>
      </c>
      <c r="B29" s="3141" t="s">
        <v>3403</v>
      </c>
      <c r="C29" s="1439" t="s">
        <v>3588</v>
      </c>
      <c r="D29">
        <v>2</v>
      </c>
      <c r="E29">
        <v>5</v>
      </c>
      <c r="F29" s="3153">
        <v>76.900000000000006</v>
      </c>
    </row>
    <row r="30" spans="1:6">
      <c r="A30">
        <v>29</v>
      </c>
      <c r="B30" s="3141" t="s">
        <v>3404</v>
      </c>
      <c r="C30" s="1439" t="s">
        <v>3589</v>
      </c>
      <c r="D30">
        <v>2</v>
      </c>
      <c r="E30">
        <v>5</v>
      </c>
      <c r="F30" s="3153">
        <v>54.44</v>
      </c>
    </row>
    <row r="31" spans="1:6">
      <c r="A31">
        <v>30</v>
      </c>
      <c r="B31" s="3141" t="s">
        <v>3405</v>
      </c>
      <c r="C31" s="1439" t="s">
        <v>3590</v>
      </c>
      <c r="D31">
        <v>2</v>
      </c>
      <c r="E31">
        <v>5</v>
      </c>
      <c r="F31" s="3153">
        <v>114.34</v>
      </c>
    </row>
    <row r="32" spans="1:6">
      <c r="A32">
        <v>31</v>
      </c>
      <c r="B32" s="3141" t="s">
        <v>3406</v>
      </c>
      <c r="C32" s="1439" t="s">
        <v>3591</v>
      </c>
      <c r="D32">
        <v>3</v>
      </c>
      <c r="E32">
        <v>5</v>
      </c>
      <c r="F32" s="3153">
        <v>75.69</v>
      </c>
    </row>
    <row r="33" spans="1:6">
      <c r="A33">
        <v>32</v>
      </c>
      <c r="B33" s="3141" t="s">
        <v>3407</v>
      </c>
      <c r="C33" s="1439" t="s">
        <v>3592</v>
      </c>
      <c r="D33">
        <v>3</v>
      </c>
      <c r="E33">
        <v>5</v>
      </c>
      <c r="F33" s="3153">
        <v>67.33</v>
      </c>
    </row>
    <row r="34" spans="1:6">
      <c r="A34">
        <v>33</v>
      </c>
      <c r="B34" s="3141" t="s">
        <v>3408</v>
      </c>
      <c r="C34" s="1439" t="s">
        <v>3593</v>
      </c>
      <c r="D34">
        <v>3</v>
      </c>
      <c r="E34">
        <v>5</v>
      </c>
      <c r="F34" s="3153">
        <v>93.6</v>
      </c>
    </row>
    <row r="35" spans="1:6">
      <c r="A35">
        <v>34</v>
      </c>
      <c r="B35" s="3141" t="s">
        <v>3409</v>
      </c>
      <c r="C35" s="1439" t="s">
        <v>3594</v>
      </c>
      <c r="D35">
        <v>3</v>
      </c>
      <c r="E35">
        <v>5</v>
      </c>
      <c r="F35" s="3153">
        <v>39.18</v>
      </c>
    </row>
    <row r="36" spans="1:6">
      <c r="A36">
        <v>35</v>
      </c>
      <c r="B36" s="3141" t="s">
        <v>3410</v>
      </c>
      <c r="C36" s="1439" t="s">
        <v>3595</v>
      </c>
      <c r="D36">
        <v>3</v>
      </c>
      <c r="E36">
        <v>5</v>
      </c>
      <c r="F36" s="3153">
        <v>34.07</v>
      </c>
    </row>
    <row r="37" spans="1:6">
      <c r="A37">
        <v>36</v>
      </c>
      <c r="B37" s="3141" t="s">
        <v>3411</v>
      </c>
      <c r="C37" s="1439" t="s">
        <v>3596</v>
      </c>
      <c r="D37">
        <v>3</v>
      </c>
      <c r="E37">
        <v>5</v>
      </c>
      <c r="F37" s="3153">
        <v>59.36</v>
      </c>
    </row>
    <row r="38" spans="1:6">
      <c r="A38">
        <v>37</v>
      </c>
      <c r="B38" s="3141" t="s">
        <v>3412</v>
      </c>
      <c r="C38" s="1439" t="s">
        <v>3597</v>
      </c>
      <c r="D38">
        <v>3</v>
      </c>
      <c r="E38">
        <v>5</v>
      </c>
      <c r="F38" s="3153">
        <v>57.78</v>
      </c>
    </row>
    <row r="39" spans="1:6">
      <c r="A39">
        <v>38</v>
      </c>
      <c r="B39" s="3141" t="s">
        <v>3413</v>
      </c>
      <c r="C39" s="1439" t="s">
        <v>3598</v>
      </c>
      <c r="D39">
        <v>3</v>
      </c>
      <c r="E39">
        <v>5</v>
      </c>
      <c r="F39" s="3153">
        <v>65.25</v>
      </c>
    </row>
    <row r="40" spans="1:6">
      <c r="A40">
        <v>39</v>
      </c>
      <c r="B40" s="3141" t="s">
        <v>3414</v>
      </c>
      <c r="C40" s="1439" t="s">
        <v>3599</v>
      </c>
      <c r="D40">
        <v>3</v>
      </c>
      <c r="E40">
        <v>5</v>
      </c>
      <c r="F40" s="3153">
        <v>58.29</v>
      </c>
    </row>
    <row r="41" spans="1:6">
      <c r="A41">
        <v>40</v>
      </c>
      <c r="B41" s="3141" t="s">
        <v>3415</v>
      </c>
      <c r="C41" s="1439" t="s">
        <v>3600</v>
      </c>
      <c r="D41">
        <v>3</v>
      </c>
      <c r="E41">
        <v>5</v>
      </c>
      <c r="F41" s="3153">
        <v>79.33</v>
      </c>
    </row>
    <row r="42" spans="1:6">
      <c r="A42">
        <v>41</v>
      </c>
      <c r="B42" s="3141" t="s">
        <v>3416</v>
      </c>
      <c r="C42" s="1439" t="s">
        <v>3601</v>
      </c>
      <c r="D42">
        <v>3</v>
      </c>
      <c r="E42">
        <v>5</v>
      </c>
      <c r="F42" s="3153">
        <v>85.19</v>
      </c>
    </row>
    <row r="43" spans="1:6">
      <c r="A43">
        <v>42</v>
      </c>
      <c r="B43" s="3141" t="s">
        <v>3417</v>
      </c>
      <c r="C43" s="1439" t="s">
        <v>3602</v>
      </c>
      <c r="D43">
        <v>3</v>
      </c>
      <c r="E43">
        <v>5</v>
      </c>
      <c r="F43" s="3153">
        <v>112.41</v>
      </c>
    </row>
    <row r="44" spans="1:6">
      <c r="A44">
        <v>43</v>
      </c>
      <c r="B44" s="3141" t="s">
        <v>3418</v>
      </c>
      <c r="C44" s="1439" t="s">
        <v>3603</v>
      </c>
      <c r="D44">
        <v>3</v>
      </c>
      <c r="E44">
        <v>5</v>
      </c>
      <c r="F44" s="3153">
        <v>64.739999999999995</v>
      </c>
    </row>
    <row r="45" spans="1:6">
      <c r="A45">
        <v>44</v>
      </c>
      <c r="B45" s="3141" t="s">
        <v>3419</v>
      </c>
      <c r="C45" s="1439" t="s">
        <v>3604</v>
      </c>
      <c r="D45">
        <v>3</v>
      </c>
      <c r="E45">
        <v>5</v>
      </c>
      <c r="F45" s="3153">
        <v>62.76</v>
      </c>
    </row>
    <row r="46" spans="1:6">
      <c r="A46">
        <v>45</v>
      </c>
      <c r="B46" s="3141" t="s">
        <v>3420</v>
      </c>
      <c r="C46" s="1439" t="s">
        <v>3605</v>
      </c>
      <c r="D46">
        <v>3</v>
      </c>
      <c r="E46">
        <v>5</v>
      </c>
      <c r="F46" s="3153">
        <v>60.49</v>
      </c>
    </row>
    <row r="47" spans="1:6">
      <c r="A47">
        <v>46</v>
      </c>
      <c r="B47" s="3141" t="s">
        <v>3421</v>
      </c>
      <c r="C47" s="1439" t="s">
        <v>3606</v>
      </c>
      <c r="D47">
        <v>3</v>
      </c>
      <c r="E47">
        <v>5</v>
      </c>
      <c r="F47" s="3153">
        <v>57.25</v>
      </c>
    </row>
    <row r="48" spans="1:6">
      <c r="A48">
        <v>47</v>
      </c>
      <c r="B48" s="3141" t="s">
        <v>3422</v>
      </c>
      <c r="C48" s="1439" t="s">
        <v>3607</v>
      </c>
      <c r="D48">
        <v>3</v>
      </c>
      <c r="E48">
        <v>5</v>
      </c>
      <c r="F48" s="3153">
        <v>68.3</v>
      </c>
    </row>
    <row r="49" spans="1:6">
      <c r="A49">
        <v>48</v>
      </c>
      <c r="B49" s="3141" t="s">
        <v>3423</v>
      </c>
      <c r="C49" s="1439" t="s">
        <v>3608</v>
      </c>
      <c r="D49">
        <v>3</v>
      </c>
      <c r="E49">
        <v>5</v>
      </c>
      <c r="F49" s="3153">
        <v>64.61</v>
      </c>
    </row>
    <row r="50" spans="1:6">
      <c r="A50">
        <v>49</v>
      </c>
      <c r="B50" s="3141" t="s">
        <v>3424</v>
      </c>
      <c r="C50" s="1439" t="s">
        <v>3609</v>
      </c>
      <c r="D50">
        <v>3</v>
      </c>
      <c r="E50">
        <v>5</v>
      </c>
      <c r="F50" s="3153">
        <v>57.44</v>
      </c>
    </row>
    <row r="51" spans="1:6">
      <c r="A51">
        <v>50</v>
      </c>
      <c r="B51" s="3141" t="s">
        <v>3425</v>
      </c>
      <c r="C51" s="1439" t="s">
        <v>3610</v>
      </c>
      <c r="D51">
        <v>3</v>
      </c>
      <c r="E51">
        <v>5</v>
      </c>
      <c r="F51" s="3153">
        <v>57.01</v>
      </c>
    </row>
    <row r="52" spans="1:6">
      <c r="A52">
        <v>51</v>
      </c>
      <c r="B52" s="3141" t="s">
        <v>3426</v>
      </c>
      <c r="C52" s="1439" t="s">
        <v>3611</v>
      </c>
      <c r="D52">
        <v>3</v>
      </c>
      <c r="E52">
        <v>5</v>
      </c>
      <c r="F52" s="3153">
        <v>56.23</v>
      </c>
    </row>
    <row r="53" spans="1:6">
      <c r="A53">
        <v>52</v>
      </c>
      <c r="B53" s="3141" t="s">
        <v>3427</v>
      </c>
      <c r="C53" s="1439" t="s">
        <v>3612</v>
      </c>
      <c r="D53">
        <v>3</v>
      </c>
      <c r="E53">
        <v>5</v>
      </c>
      <c r="F53" s="3153">
        <v>54.22</v>
      </c>
    </row>
    <row r="54" spans="1:6">
      <c r="A54">
        <v>53</v>
      </c>
      <c r="B54" s="3141" t="s">
        <v>3428</v>
      </c>
      <c r="C54" s="1439" t="s">
        <v>3613</v>
      </c>
      <c r="D54">
        <v>3</v>
      </c>
      <c r="E54">
        <v>5</v>
      </c>
      <c r="F54" s="3153">
        <v>51.98</v>
      </c>
    </row>
    <row r="55" spans="1:6">
      <c r="A55">
        <v>54</v>
      </c>
      <c r="B55" s="3141" t="s">
        <v>3429</v>
      </c>
      <c r="C55" s="1439" t="s">
        <v>3614</v>
      </c>
      <c r="D55">
        <v>3</v>
      </c>
      <c r="E55">
        <v>5</v>
      </c>
      <c r="F55" s="3153">
        <v>48.68</v>
      </c>
    </row>
    <row r="56" spans="1:6">
      <c r="A56">
        <v>55</v>
      </c>
      <c r="B56" s="3141" t="s">
        <v>3430</v>
      </c>
      <c r="C56" s="1439" t="s">
        <v>3615</v>
      </c>
      <c r="D56">
        <v>3</v>
      </c>
      <c r="E56">
        <v>5</v>
      </c>
      <c r="F56" s="3153">
        <v>47.72</v>
      </c>
    </row>
    <row r="57" spans="1:6">
      <c r="A57">
        <v>56</v>
      </c>
      <c r="B57" s="3141" t="s">
        <v>3431</v>
      </c>
      <c r="C57" s="1439" t="s">
        <v>3616</v>
      </c>
      <c r="D57">
        <v>3</v>
      </c>
      <c r="E57">
        <v>5</v>
      </c>
      <c r="F57" s="3153">
        <v>42.02</v>
      </c>
    </row>
    <row r="58" spans="1:6">
      <c r="A58">
        <v>57</v>
      </c>
      <c r="B58" s="3141" t="s">
        <v>3432</v>
      </c>
      <c r="C58" s="1439" t="s">
        <v>3617</v>
      </c>
      <c r="D58">
        <v>3</v>
      </c>
      <c r="E58">
        <v>5</v>
      </c>
      <c r="F58" s="3153">
        <v>65.900000000000006</v>
      </c>
    </row>
    <row r="59" spans="1:6">
      <c r="A59">
        <v>58</v>
      </c>
      <c r="B59" s="3141" t="s">
        <v>3433</v>
      </c>
      <c r="C59" s="1439" t="s">
        <v>3618</v>
      </c>
      <c r="D59">
        <v>3</v>
      </c>
      <c r="E59">
        <v>5</v>
      </c>
      <c r="F59" s="3153">
        <v>66.38</v>
      </c>
    </row>
    <row r="60" spans="1:6">
      <c r="A60">
        <v>59</v>
      </c>
      <c r="B60" s="3141" t="s">
        <v>3434</v>
      </c>
      <c r="C60" s="1439" t="s">
        <v>3619</v>
      </c>
      <c r="D60">
        <v>3</v>
      </c>
      <c r="E60">
        <v>5</v>
      </c>
      <c r="F60" s="3153">
        <v>57.83</v>
      </c>
    </row>
    <row r="61" spans="1:6">
      <c r="A61">
        <v>60</v>
      </c>
      <c r="B61" s="3141" t="s">
        <v>3435</v>
      </c>
      <c r="C61" s="1439" t="s">
        <v>3620</v>
      </c>
      <c r="D61">
        <v>3</v>
      </c>
      <c r="E61">
        <v>5</v>
      </c>
      <c r="F61" s="3153">
        <v>72.180000000000007</v>
      </c>
    </row>
    <row r="62" spans="1:6">
      <c r="A62">
        <v>61</v>
      </c>
      <c r="B62" s="3141" t="s">
        <v>3436</v>
      </c>
      <c r="C62" s="1439" t="s">
        <v>3621</v>
      </c>
      <c r="D62">
        <v>3</v>
      </c>
      <c r="E62">
        <v>5</v>
      </c>
      <c r="F62" s="3153">
        <v>77.13</v>
      </c>
    </row>
    <row r="63" spans="1:6">
      <c r="A63">
        <v>62</v>
      </c>
      <c r="B63" s="3141" t="s">
        <v>3437</v>
      </c>
      <c r="C63" s="1439" t="s">
        <v>3622</v>
      </c>
      <c r="D63">
        <v>3</v>
      </c>
      <c r="E63">
        <v>5</v>
      </c>
      <c r="F63" s="3153">
        <v>54.52</v>
      </c>
    </row>
    <row r="64" spans="1:6">
      <c r="A64">
        <v>63</v>
      </c>
      <c r="B64" s="3141" t="s">
        <v>3438</v>
      </c>
      <c r="C64" s="1439" t="s">
        <v>3623</v>
      </c>
      <c r="D64">
        <v>3</v>
      </c>
      <c r="E64">
        <v>5</v>
      </c>
      <c r="F64" s="3153">
        <v>114.42</v>
      </c>
    </row>
    <row r="65" spans="1:6" ht="27">
      <c r="A65">
        <v>64</v>
      </c>
      <c r="B65" s="3141" t="s">
        <v>3375</v>
      </c>
      <c r="C65" s="1439" t="s">
        <v>3624</v>
      </c>
      <c r="D65">
        <v>-1</v>
      </c>
      <c r="E65">
        <v>3</v>
      </c>
      <c r="F65" s="3153">
        <v>156.16999999999999</v>
      </c>
    </row>
    <row r="66" spans="1:6" ht="27">
      <c r="A66">
        <v>65</v>
      </c>
      <c r="B66" s="3141" t="s">
        <v>3439</v>
      </c>
      <c r="C66" s="1439" t="s">
        <v>3625</v>
      </c>
      <c r="D66">
        <v>-1</v>
      </c>
      <c r="E66">
        <v>3</v>
      </c>
      <c r="F66" s="3153">
        <v>56.3</v>
      </c>
    </row>
    <row r="67" spans="1:6" ht="27">
      <c r="A67">
        <v>66</v>
      </c>
      <c r="B67" s="3141" t="s">
        <v>3440</v>
      </c>
      <c r="C67" s="1439" t="s">
        <v>3626</v>
      </c>
      <c r="D67">
        <v>-1</v>
      </c>
      <c r="E67">
        <v>3</v>
      </c>
      <c r="F67" s="3153">
        <v>88.75</v>
      </c>
    </row>
    <row r="68" spans="1:6" ht="27">
      <c r="A68">
        <v>67</v>
      </c>
      <c r="B68" s="3141" t="s">
        <v>3441</v>
      </c>
      <c r="C68" s="1439" t="s">
        <v>3627</v>
      </c>
      <c r="D68">
        <v>-1</v>
      </c>
      <c r="E68">
        <v>3</v>
      </c>
      <c r="F68" s="3153">
        <v>196.28</v>
      </c>
    </row>
    <row r="69" spans="1:6" ht="27">
      <c r="A69">
        <v>68</v>
      </c>
      <c r="B69" s="3141" t="s">
        <v>3442</v>
      </c>
      <c r="C69" s="1439" t="s">
        <v>3628</v>
      </c>
      <c r="D69">
        <v>-1</v>
      </c>
      <c r="E69">
        <v>3</v>
      </c>
      <c r="F69" s="3153">
        <v>36.51</v>
      </c>
    </row>
    <row r="70" spans="1:6" ht="27">
      <c r="A70">
        <v>69</v>
      </c>
      <c r="B70" s="3141" t="s">
        <v>3443</v>
      </c>
      <c r="C70" s="1439" t="s">
        <v>3629</v>
      </c>
      <c r="D70">
        <v>-1</v>
      </c>
      <c r="E70">
        <v>3</v>
      </c>
      <c r="F70" s="3153">
        <v>121.16</v>
      </c>
    </row>
    <row r="71" spans="1:6" ht="27">
      <c r="A71">
        <v>70</v>
      </c>
      <c r="B71" s="3141" t="s">
        <v>3444</v>
      </c>
      <c r="C71" s="1439" t="s">
        <v>3630</v>
      </c>
      <c r="D71">
        <v>-1</v>
      </c>
      <c r="E71">
        <v>3</v>
      </c>
      <c r="F71" s="3153">
        <v>103.66</v>
      </c>
    </row>
    <row r="72" spans="1:6" ht="27">
      <c r="A72">
        <v>71</v>
      </c>
      <c r="B72" s="3141" t="s">
        <v>3445</v>
      </c>
      <c r="C72" s="1439" t="s">
        <v>3631</v>
      </c>
      <c r="D72">
        <v>-1</v>
      </c>
      <c r="E72">
        <v>3</v>
      </c>
      <c r="F72" s="3153">
        <v>122.01</v>
      </c>
    </row>
    <row r="73" spans="1:6" ht="27">
      <c r="A73">
        <v>72</v>
      </c>
      <c r="B73" s="3141" t="s">
        <v>3446</v>
      </c>
      <c r="C73" s="1439" t="s">
        <v>3632</v>
      </c>
      <c r="D73">
        <v>-1</v>
      </c>
      <c r="E73">
        <v>3</v>
      </c>
      <c r="F73" s="3153">
        <v>79.849999999999994</v>
      </c>
    </row>
    <row r="74" spans="1:6" ht="27">
      <c r="A74">
        <v>73</v>
      </c>
      <c r="B74" s="3141" t="s">
        <v>3447</v>
      </c>
      <c r="C74" s="1439" t="s">
        <v>3633</v>
      </c>
      <c r="D74">
        <v>-1</v>
      </c>
      <c r="E74">
        <v>3</v>
      </c>
      <c r="F74" s="3153">
        <v>129.43</v>
      </c>
    </row>
    <row r="75" spans="1:6" ht="27">
      <c r="A75">
        <v>74</v>
      </c>
      <c r="B75" s="3141" t="s">
        <v>3448</v>
      </c>
      <c r="C75" s="1439" t="s">
        <v>3634</v>
      </c>
      <c r="D75">
        <v>-1</v>
      </c>
      <c r="E75">
        <v>3</v>
      </c>
      <c r="F75" s="3153">
        <v>62.3</v>
      </c>
    </row>
    <row r="76" spans="1:6" ht="27">
      <c r="A76">
        <v>75</v>
      </c>
      <c r="B76" s="3141" t="s">
        <v>3449</v>
      </c>
      <c r="C76" s="1439" t="s">
        <v>3635</v>
      </c>
      <c r="D76">
        <v>-1</v>
      </c>
      <c r="E76">
        <v>3</v>
      </c>
      <c r="F76" s="3153">
        <v>130.51</v>
      </c>
    </row>
    <row r="77" spans="1:6" ht="27">
      <c r="A77">
        <v>76</v>
      </c>
      <c r="B77" s="3141" t="s">
        <v>3450</v>
      </c>
      <c r="C77" s="1439" t="s">
        <v>3636</v>
      </c>
      <c r="D77">
        <v>-1</v>
      </c>
      <c r="E77">
        <v>3</v>
      </c>
      <c r="F77" s="3153">
        <v>97.03</v>
      </c>
    </row>
    <row r="78" spans="1:6" ht="27">
      <c r="A78">
        <v>77</v>
      </c>
      <c r="B78" s="3141" t="s">
        <v>3451</v>
      </c>
      <c r="C78" s="1439" t="s">
        <v>3637</v>
      </c>
      <c r="D78">
        <v>-1</v>
      </c>
      <c r="E78">
        <v>3</v>
      </c>
      <c r="F78" s="3153">
        <v>105.34</v>
      </c>
    </row>
    <row r="79" spans="1:6" ht="27">
      <c r="A79">
        <v>78</v>
      </c>
      <c r="B79" s="3141" t="s">
        <v>3452</v>
      </c>
      <c r="C79" s="1439" t="s">
        <v>3638</v>
      </c>
      <c r="D79">
        <v>-1</v>
      </c>
      <c r="E79">
        <v>3</v>
      </c>
      <c r="F79" s="3153">
        <v>75.349999999999994</v>
      </c>
    </row>
    <row r="80" spans="1:6" ht="27">
      <c r="A80">
        <v>79</v>
      </c>
      <c r="B80" s="3141" t="s">
        <v>3453</v>
      </c>
      <c r="C80" s="1439" t="s">
        <v>3639</v>
      </c>
      <c r="D80">
        <v>-1</v>
      </c>
      <c r="E80">
        <v>3</v>
      </c>
      <c r="F80" s="3153">
        <v>100.99</v>
      </c>
    </row>
    <row r="81" spans="1:6" ht="27">
      <c r="A81">
        <v>80</v>
      </c>
      <c r="B81" s="3141" t="s">
        <v>3454</v>
      </c>
      <c r="C81" s="1439" t="s">
        <v>3640</v>
      </c>
      <c r="D81">
        <v>-1</v>
      </c>
      <c r="E81">
        <v>3</v>
      </c>
      <c r="F81" s="3153">
        <v>265.23</v>
      </c>
    </row>
    <row r="82" spans="1:6">
      <c r="F82">
        <f>SUM(F2:F81)</f>
        <v>6356.8800000000028</v>
      </c>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P18"/>
  <sheetViews>
    <sheetView topLeftCell="E1" zoomScale="110" zoomScaleNormal="110" workbookViewId="0">
      <selection activeCell="F17" sqref="F17"/>
    </sheetView>
  </sheetViews>
  <sheetFormatPr defaultColWidth="9" defaultRowHeight="13.5"/>
  <cols>
    <col min="1" max="1" width="4.125" style="3151" customWidth="1"/>
    <col min="2" max="2" width="27.875" style="3151" customWidth="1"/>
    <col min="3" max="4" width="11.625" style="3151" customWidth="1"/>
    <col min="5" max="5" width="11.125" style="3151" customWidth="1"/>
    <col min="6" max="6" width="19.875" style="3151" customWidth="1"/>
    <col min="7" max="7" width="14.375" style="3151" customWidth="1"/>
    <col min="8" max="8" width="19.875" style="3151" customWidth="1"/>
    <col min="9" max="9" width="13" style="3151" customWidth="1"/>
    <col min="10" max="10" width="19.875" style="3151" customWidth="1"/>
    <col min="11" max="11" width="44.75" style="3151" customWidth="1"/>
  </cols>
  <sheetData>
    <row r="1" spans="1:16" ht="35.1" customHeight="1">
      <c r="A1" s="3260" t="s">
        <v>3460</v>
      </c>
      <c r="B1" s="3260"/>
      <c r="C1" s="3260"/>
      <c r="D1" s="3260"/>
      <c r="E1" s="3260"/>
      <c r="F1" s="3260"/>
      <c r="G1" s="3260"/>
      <c r="H1" s="3260"/>
      <c r="I1" s="3260"/>
      <c r="J1" s="3260"/>
      <c r="K1" s="3260"/>
    </row>
    <row r="2" spans="1:16">
      <c r="A2" s="3143" t="s">
        <v>3368</v>
      </c>
      <c r="B2" s="3143" t="s">
        <v>3461</v>
      </c>
      <c r="C2" s="3144" t="s">
        <v>3462</v>
      </c>
      <c r="D2" s="3144"/>
      <c r="E2" s="3144" t="s">
        <v>3463</v>
      </c>
      <c r="F2" s="3145" t="s">
        <v>3464</v>
      </c>
      <c r="G2" s="3145"/>
      <c r="H2" s="3145" t="s">
        <v>3465</v>
      </c>
      <c r="I2" s="3145"/>
      <c r="J2" s="3145" t="s">
        <v>3466</v>
      </c>
      <c r="K2" s="3145" t="s">
        <v>3467</v>
      </c>
      <c r="L2" s="3154" t="s">
        <v>3459</v>
      </c>
      <c r="M2" s="3152" t="s">
        <v>3532</v>
      </c>
      <c r="P2" s="3162" t="s">
        <v>3651</v>
      </c>
    </row>
    <row r="3" spans="1:16" ht="21">
      <c r="A3" s="3143">
        <v>1</v>
      </c>
      <c r="B3" s="3143" t="s">
        <v>3468</v>
      </c>
      <c r="C3" s="3143" t="s">
        <v>3469</v>
      </c>
      <c r="D3" s="3143">
        <v>820.42</v>
      </c>
      <c r="E3" s="3143">
        <v>4740750</v>
      </c>
      <c r="F3" s="3145" t="s">
        <v>3470</v>
      </c>
      <c r="G3" s="3145">
        <f>E3/365/D3</f>
        <v>15.831349996810856</v>
      </c>
      <c r="H3" s="3145">
        <v>15.83</v>
      </c>
      <c r="I3" s="3145">
        <f>ROUND(H3*D3*365/10000,0)</f>
        <v>474</v>
      </c>
      <c r="J3" s="3145" t="s">
        <v>3471</v>
      </c>
      <c r="K3" s="3145" t="s">
        <v>3472</v>
      </c>
      <c r="L3" s="3156">
        <v>13</v>
      </c>
      <c r="M3" s="3152" t="s">
        <v>3531</v>
      </c>
      <c r="O3">
        <v>1</v>
      </c>
      <c r="P3">
        <f>面积!O2</f>
        <v>776.8</v>
      </c>
    </row>
    <row r="4" spans="1:16" ht="35.1" customHeight="1">
      <c r="A4" s="3143">
        <v>2</v>
      </c>
      <c r="B4" s="3143" t="s">
        <v>3473</v>
      </c>
      <c r="C4" s="3143" t="s">
        <v>3474</v>
      </c>
      <c r="D4" s="3143">
        <v>149.55000000000001</v>
      </c>
      <c r="E4" s="3143">
        <v>960000</v>
      </c>
      <c r="F4" s="3146" t="s">
        <v>3475</v>
      </c>
      <c r="G4" s="3145">
        <f t="shared" ref="G4:G8" si="0">E4/365/D4</f>
        <v>17.587007598136875</v>
      </c>
      <c r="H4" s="3146">
        <v>17.5</v>
      </c>
      <c r="I4" s="3145">
        <f t="shared" ref="I4:I15" si="1">ROUND(H4*D4*365/10000,0)</f>
        <v>96</v>
      </c>
      <c r="J4" s="3146" t="s">
        <v>3476</v>
      </c>
      <c r="K4" s="3146" t="s">
        <v>3477</v>
      </c>
      <c r="L4" s="3156">
        <v>1</v>
      </c>
      <c r="M4" s="3156">
        <v>1</v>
      </c>
      <c r="O4">
        <v>2</v>
      </c>
      <c r="P4">
        <f>面积!O3</f>
        <v>1523.92</v>
      </c>
    </row>
    <row r="5" spans="1:16" ht="21">
      <c r="A5" s="3143">
        <v>3</v>
      </c>
      <c r="B5" s="3143" t="s">
        <v>3478</v>
      </c>
      <c r="C5" s="3143" t="s">
        <v>3479</v>
      </c>
      <c r="D5" s="3143">
        <v>514.75</v>
      </c>
      <c r="E5" s="3143">
        <v>2000000</v>
      </c>
      <c r="F5" s="3146" t="s">
        <v>3480</v>
      </c>
      <c r="G5" s="3145">
        <f t="shared" si="0"/>
        <v>10.644880145302613</v>
      </c>
      <c r="H5" s="3146">
        <v>10.65</v>
      </c>
      <c r="I5" s="3145">
        <f t="shared" si="1"/>
        <v>200</v>
      </c>
      <c r="J5" s="3146" t="s">
        <v>3481</v>
      </c>
      <c r="K5" s="3145" t="s">
        <v>3482</v>
      </c>
      <c r="L5" s="3156">
        <v>5</v>
      </c>
      <c r="M5" s="3156">
        <v>-1</v>
      </c>
      <c r="O5">
        <v>3</v>
      </c>
      <c r="P5">
        <f>面积!O4</f>
        <v>2129.29</v>
      </c>
    </row>
    <row r="6" spans="1:16" ht="35.1" customHeight="1">
      <c r="A6" s="3143">
        <v>4</v>
      </c>
      <c r="B6" s="3143" t="s">
        <v>3483</v>
      </c>
      <c r="C6" s="3143" t="s">
        <v>3484</v>
      </c>
      <c r="D6" s="3143">
        <v>352.45</v>
      </c>
      <c r="E6" s="3143">
        <v>1350764.62</v>
      </c>
      <c r="F6" s="3146" t="s">
        <v>3485</v>
      </c>
      <c r="G6" s="3145">
        <f t="shared" si="0"/>
        <v>10.499999961133126</v>
      </c>
      <c r="H6" s="3146">
        <v>10.5</v>
      </c>
      <c r="I6" s="3145">
        <f t="shared" si="1"/>
        <v>135</v>
      </c>
      <c r="J6" s="3146" t="s">
        <v>3486</v>
      </c>
      <c r="K6" s="3146" t="s">
        <v>3487</v>
      </c>
      <c r="L6" s="3156">
        <v>2</v>
      </c>
      <c r="M6" s="3156">
        <v>-1</v>
      </c>
      <c r="O6">
        <v>-1</v>
      </c>
      <c r="P6">
        <f>面积!O5</f>
        <v>1926.8699999999997</v>
      </c>
    </row>
    <row r="7" spans="1:16">
      <c r="A7" s="3143">
        <v>5</v>
      </c>
      <c r="B7" s="3143" t="s">
        <v>3488</v>
      </c>
      <c r="C7" s="3143" t="s">
        <v>3489</v>
      </c>
      <c r="D7" s="3143">
        <v>279.64</v>
      </c>
      <c r="E7" s="3143">
        <v>2245509.4</v>
      </c>
      <c r="F7" s="3146" t="s">
        <v>3490</v>
      </c>
      <c r="G7" s="3145">
        <f t="shared" si="0"/>
        <v>22.000001959466477</v>
      </c>
      <c r="H7" s="3146">
        <v>22</v>
      </c>
      <c r="I7" s="3145">
        <f t="shared" si="1"/>
        <v>225</v>
      </c>
      <c r="J7" s="3146" t="s">
        <v>3491</v>
      </c>
      <c r="K7" s="3145" t="s">
        <v>3492</v>
      </c>
      <c r="L7" s="3156">
        <v>2</v>
      </c>
      <c r="M7" s="3156">
        <v>1</v>
      </c>
    </row>
    <row r="8" spans="1:16" ht="42">
      <c r="A8" s="3143">
        <v>6</v>
      </c>
      <c r="B8" s="3143" t="s">
        <v>3493</v>
      </c>
      <c r="C8" s="3143" t="s">
        <v>3494</v>
      </c>
      <c r="D8" s="3143">
        <v>2129.29</v>
      </c>
      <c r="E8" s="3143">
        <v>3200000</v>
      </c>
      <c r="F8" s="3146" t="s">
        <v>3495</v>
      </c>
      <c r="G8" s="3145">
        <f t="shared" si="0"/>
        <v>4.1173927871127152</v>
      </c>
      <c r="H8" s="3146">
        <v>2</v>
      </c>
      <c r="I8" s="3145">
        <f t="shared" si="1"/>
        <v>155</v>
      </c>
      <c r="J8" s="3146" t="s">
        <v>3496</v>
      </c>
      <c r="K8" s="3145" t="s">
        <v>3533</v>
      </c>
      <c r="L8" s="3156">
        <v>33</v>
      </c>
      <c r="M8" s="3156">
        <v>3</v>
      </c>
    </row>
    <row r="9" spans="1:16">
      <c r="A9" s="3143">
        <v>7</v>
      </c>
      <c r="B9" s="3147" t="s">
        <v>3497</v>
      </c>
      <c r="C9" s="3147" t="s">
        <v>3498</v>
      </c>
      <c r="D9" s="3147">
        <v>77.739999999999995</v>
      </c>
      <c r="E9" s="3147">
        <v>480000</v>
      </c>
      <c r="F9" s="3148" t="s">
        <v>3499</v>
      </c>
      <c r="G9" s="3145">
        <f t="shared" ref="G9:G15" si="2">E9/365/D9</f>
        <v>16.916239942766722</v>
      </c>
      <c r="H9" s="3148">
        <v>22</v>
      </c>
      <c r="I9" s="3145">
        <f t="shared" si="1"/>
        <v>62</v>
      </c>
      <c r="J9" s="3148" t="s">
        <v>3500</v>
      </c>
      <c r="K9" s="3149" t="s">
        <v>3501</v>
      </c>
      <c r="L9" s="3156">
        <v>1</v>
      </c>
      <c r="M9" s="3156">
        <v>1</v>
      </c>
    </row>
    <row r="10" spans="1:16" ht="33" customHeight="1">
      <c r="A10" s="3143">
        <v>8</v>
      </c>
      <c r="B10" s="3143" t="s">
        <v>3502</v>
      </c>
      <c r="C10" s="3143" t="s">
        <v>3503</v>
      </c>
      <c r="D10" s="3143">
        <v>349.53</v>
      </c>
      <c r="E10" s="3143">
        <v>1100000</v>
      </c>
      <c r="F10" s="3146" t="s">
        <v>3504</v>
      </c>
      <c r="G10" s="3145">
        <f t="shared" si="2"/>
        <v>8.6221458247846723</v>
      </c>
      <c r="H10" s="3146">
        <v>8.74</v>
      </c>
      <c r="I10" s="3145">
        <f t="shared" si="1"/>
        <v>112</v>
      </c>
      <c r="J10" s="3146" t="s">
        <v>3505</v>
      </c>
      <c r="K10" s="3146" t="s">
        <v>3506</v>
      </c>
      <c r="L10" s="3163">
        <v>5</v>
      </c>
      <c r="M10" s="3156">
        <v>-1</v>
      </c>
    </row>
    <row r="11" spans="1:16">
      <c r="A11" s="3143">
        <v>9</v>
      </c>
      <c r="B11" s="3143" t="s">
        <v>3507</v>
      </c>
      <c r="C11" s="3143" t="s">
        <v>3508</v>
      </c>
      <c r="D11" s="3143">
        <v>164.44</v>
      </c>
      <c r="E11" s="3143">
        <v>300102.96000000002</v>
      </c>
      <c r="F11" s="3146" t="s">
        <v>3509</v>
      </c>
      <c r="G11" s="3145">
        <f t="shared" si="2"/>
        <v>4.999999333562144</v>
      </c>
      <c r="H11" s="3146">
        <v>5</v>
      </c>
      <c r="I11" s="3145">
        <f t="shared" si="1"/>
        <v>30</v>
      </c>
      <c r="J11" s="3146" t="s">
        <v>3510</v>
      </c>
      <c r="K11" s="3144" t="s">
        <v>3511</v>
      </c>
      <c r="L11" s="3156">
        <v>2</v>
      </c>
      <c r="M11" s="3156">
        <v>2</v>
      </c>
    </row>
    <row r="12" spans="1:16">
      <c r="A12" s="3143">
        <v>10</v>
      </c>
      <c r="B12" s="3143" t="s">
        <v>3512</v>
      </c>
      <c r="C12" s="3143" t="s">
        <v>3513</v>
      </c>
      <c r="D12" s="3143">
        <v>318.18</v>
      </c>
      <c r="E12" s="3146">
        <v>615519.12</v>
      </c>
      <c r="F12" s="3146" t="s">
        <v>3514</v>
      </c>
      <c r="G12" s="3145">
        <f t="shared" si="2"/>
        <v>5.2999992250444947</v>
      </c>
      <c r="H12" s="3146">
        <v>5.3</v>
      </c>
      <c r="I12" s="3145">
        <f t="shared" si="1"/>
        <v>62</v>
      </c>
      <c r="J12" s="3146" t="s">
        <v>3515</v>
      </c>
      <c r="K12" s="3144" t="s">
        <v>3516</v>
      </c>
      <c r="L12" s="3156">
        <v>4</v>
      </c>
      <c r="M12" s="3156">
        <v>2</v>
      </c>
    </row>
    <row r="13" spans="1:16" ht="21">
      <c r="A13" s="3143">
        <v>11</v>
      </c>
      <c r="B13" s="3143" t="s">
        <v>3517</v>
      </c>
      <c r="C13" s="3143" t="s">
        <v>3518</v>
      </c>
      <c r="D13" s="3143">
        <v>408.23</v>
      </c>
      <c r="E13" s="3143">
        <v>1922150</v>
      </c>
      <c r="F13" s="3143" t="s">
        <v>3519</v>
      </c>
      <c r="G13" s="3145">
        <f t="shared" si="2"/>
        <v>12.899993590773937</v>
      </c>
      <c r="H13" s="3143">
        <v>12.9</v>
      </c>
      <c r="I13" s="3145">
        <f t="shared" si="1"/>
        <v>192</v>
      </c>
      <c r="J13" s="3143" t="s">
        <v>3520</v>
      </c>
      <c r="K13" s="3150" t="s">
        <v>3521</v>
      </c>
      <c r="L13" s="3156">
        <v>4</v>
      </c>
      <c r="M13" s="3156">
        <v>-1</v>
      </c>
    </row>
    <row r="14" spans="1:16" ht="21">
      <c r="A14" s="3143">
        <v>12</v>
      </c>
      <c r="B14" s="3143" t="s">
        <v>3522</v>
      </c>
      <c r="C14" s="3143" t="s">
        <v>3523</v>
      </c>
      <c r="D14" s="3143">
        <v>650</v>
      </c>
      <c r="E14" s="3143">
        <v>1404000</v>
      </c>
      <c r="F14" s="3143" t="s">
        <v>3524</v>
      </c>
      <c r="G14" s="3145">
        <f t="shared" si="2"/>
        <v>5.9178082191780819</v>
      </c>
      <c r="H14" s="3143">
        <v>6</v>
      </c>
      <c r="I14" s="3145">
        <f t="shared" si="1"/>
        <v>142</v>
      </c>
      <c r="J14" s="3143" t="s">
        <v>3525</v>
      </c>
      <c r="K14" s="3150" t="s">
        <v>3526</v>
      </c>
      <c r="L14" s="3156">
        <v>2</v>
      </c>
      <c r="M14" s="3156">
        <v>-1</v>
      </c>
    </row>
    <row r="15" spans="1:16" ht="21">
      <c r="A15" s="3143">
        <v>13</v>
      </c>
      <c r="B15" s="3143" t="s">
        <v>3527</v>
      </c>
      <c r="C15" s="3143" t="s">
        <v>3528</v>
      </c>
      <c r="D15" s="3143">
        <v>85</v>
      </c>
      <c r="E15" s="3143">
        <v>310250</v>
      </c>
      <c r="F15" s="3143" t="s">
        <v>3529</v>
      </c>
      <c r="G15" s="3145">
        <f t="shared" si="2"/>
        <v>10</v>
      </c>
      <c r="H15" s="3143">
        <v>10</v>
      </c>
      <c r="I15" s="3145">
        <f t="shared" si="1"/>
        <v>31</v>
      </c>
      <c r="J15" s="3143"/>
      <c r="K15" s="3144" t="s">
        <v>3530</v>
      </c>
      <c r="L15" s="3156">
        <v>1</v>
      </c>
      <c r="M15" s="3156">
        <v>-1</v>
      </c>
    </row>
    <row r="16" spans="1:16">
      <c r="D16" s="3151">
        <f>SUM(D3:D15)</f>
        <v>6299.2199999999993</v>
      </c>
      <c r="E16" s="3151">
        <f>SUM(E3:E15)</f>
        <v>20629046.100000001</v>
      </c>
      <c r="L16" s="3156">
        <f>SUM(L3:L15)</f>
        <v>75</v>
      </c>
      <c r="M16" s="3156"/>
    </row>
    <row r="17" spans="5:6">
      <c r="F17" s="3151">
        <f>E16/365/D16</f>
        <v>8.9722115627884005</v>
      </c>
    </row>
    <row r="18" spans="5:6">
      <c r="E18" s="3151">
        <f>E16/D16*面积!O6/10000</f>
        <v>2081.7874367329291</v>
      </c>
    </row>
  </sheetData>
  <mergeCells count="1">
    <mergeCell ref="A1:K1"/>
  </mergeCells>
  <phoneticPr fontId="135" type="noConversion"/>
  <pageMargins left="0.7" right="0.7" top="0.75" bottom="0.75" header="0.3" footer="0.3"/>
  <pageSetup paperSize="9" scale="72"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K48"/>
  <sheetViews>
    <sheetView zoomScaleNormal="100" workbookViewId="0">
      <selection activeCell="I19" sqref="I19"/>
    </sheetView>
  </sheetViews>
  <sheetFormatPr defaultRowHeight="13.5"/>
  <cols>
    <col min="11" max="11" width="12.25" bestFit="1" customWidth="1"/>
  </cols>
  <sheetData>
    <row r="1" spans="1:11">
      <c r="A1" s="1447" t="s">
        <v>3455</v>
      </c>
      <c r="B1" s="3156"/>
      <c r="C1" s="3156"/>
      <c r="D1" s="3156"/>
      <c r="E1" s="3156"/>
      <c r="F1" s="1447" t="s">
        <v>3458</v>
      </c>
      <c r="G1" s="3156"/>
      <c r="H1" s="3156"/>
      <c r="I1" s="3156"/>
      <c r="J1" s="3156"/>
      <c r="K1" s="3156"/>
    </row>
    <row r="2" spans="1:11">
      <c r="A2" s="3156"/>
      <c r="B2" s="3262">
        <v>1</v>
      </c>
      <c r="C2" s="3158" t="s">
        <v>3570</v>
      </c>
      <c r="D2" s="3156"/>
      <c r="E2" s="3156"/>
      <c r="F2" s="3156"/>
      <c r="G2" s="3157">
        <v>1</v>
      </c>
      <c r="H2" s="3157"/>
      <c r="J2" s="3157">
        <v>2</v>
      </c>
      <c r="K2" s="3156"/>
    </row>
    <row r="3" spans="1:11">
      <c r="A3" s="3156"/>
      <c r="B3" s="3262"/>
      <c r="C3" s="3157">
        <v>5</v>
      </c>
      <c r="D3" s="3156"/>
      <c r="E3" s="3156"/>
      <c r="F3" s="3156"/>
      <c r="G3" s="3157">
        <v>5</v>
      </c>
      <c r="H3" s="3157"/>
      <c r="J3" s="3157">
        <v>3</v>
      </c>
      <c r="K3" s="1447" t="s">
        <v>3647</v>
      </c>
    </row>
    <row r="4" spans="1:11">
      <c r="A4" s="3156"/>
      <c r="B4" s="3262">
        <v>2</v>
      </c>
      <c r="C4" s="3157">
        <v>6</v>
      </c>
      <c r="D4" s="3156"/>
      <c r="E4" s="3156"/>
      <c r="F4" s="3156"/>
      <c r="G4" s="3158" t="s">
        <v>3642</v>
      </c>
      <c r="I4" s="3158" t="s">
        <v>3641</v>
      </c>
      <c r="J4" s="3157">
        <v>6</v>
      </c>
      <c r="K4" s="3156"/>
    </row>
    <row r="5" spans="1:11">
      <c r="A5" s="3156"/>
      <c r="B5" s="3262"/>
      <c r="C5" s="3158" t="s">
        <v>3570</v>
      </c>
      <c r="D5" s="3156"/>
      <c r="E5" s="3156"/>
      <c r="F5" s="3156"/>
      <c r="G5" s="3158" t="s">
        <v>3642</v>
      </c>
      <c r="I5" s="3158" t="s">
        <v>3643</v>
      </c>
      <c r="J5" s="3156"/>
      <c r="K5" s="3156"/>
    </row>
    <row r="6" spans="1:11">
      <c r="A6" s="3156"/>
      <c r="B6" s="3159">
        <v>3</v>
      </c>
      <c r="C6" s="3157"/>
      <c r="D6" s="3156"/>
      <c r="E6" s="3156"/>
      <c r="F6" s="3156"/>
      <c r="G6" s="3157">
        <v>7</v>
      </c>
      <c r="H6" s="3158" t="s">
        <v>3641</v>
      </c>
      <c r="I6" s="3157">
        <v>8</v>
      </c>
      <c r="J6" s="3156"/>
      <c r="K6" s="3156"/>
    </row>
    <row r="7" spans="1:11">
      <c r="A7" s="3156"/>
      <c r="B7" s="3159">
        <v>7</v>
      </c>
      <c r="C7" s="3157"/>
      <c r="D7" s="3156"/>
      <c r="E7" s="3156"/>
      <c r="F7" s="3156"/>
      <c r="G7" s="3262">
        <v>9</v>
      </c>
      <c r="H7" s="3157"/>
      <c r="I7" s="3158" t="s">
        <v>3570</v>
      </c>
      <c r="J7" s="3156"/>
      <c r="K7" s="3156"/>
    </row>
    <row r="8" spans="1:11">
      <c r="A8" s="3156"/>
      <c r="B8" s="3157">
        <v>8</v>
      </c>
      <c r="C8" s="3158" t="s">
        <v>3570</v>
      </c>
      <c r="D8" s="3156"/>
      <c r="E8" s="3156"/>
      <c r="F8" s="3156"/>
      <c r="G8" s="3262"/>
      <c r="H8" s="3157"/>
      <c r="I8" s="3157">
        <v>10</v>
      </c>
      <c r="J8" s="3156"/>
      <c r="K8" s="3156"/>
    </row>
    <row r="9" spans="1:11">
      <c r="A9" s="3156"/>
      <c r="B9" s="3157">
        <v>9</v>
      </c>
      <c r="C9" s="3158" t="s">
        <v>3570</v>
      </c>
      <c r="D9" s="3156"/>
      <c r="E9" s="3156"/>
      <c r="F9" s="3156"/>
      <c r="G9" s="3262">
        <v>11</v>
      </c>
      <c r="H9" s="3157"/>
      <c r="I9" s="3158" t="s">
        <v>3570</v>
      </c>
      <c r="J9" s="3156"/>
      <c r="K9" s="3156"/>
    </row>
    <row r="10" spans="1:11">
      <c r="A10" s="3156"/>
      <c r="B10" s="3157">
        <v>10</v>
      </c>
      <c r="C10" s="3158" t="s">
        <v>3570</v>
      </c>
      <c r="D10" s="3156"/>
      <c r="E10" s="3156"/>
      <c r="F10" s="3156"/>
      <c r="G10" s="3262"/>
      <c r="H10" s="3157"/>
      <c r="I10" s="3157">
        <v>12</v>
      </c>
      <c r="J10" s="3156"/>
      <c r="K10" s="3156"/>
    </row>
    <row r="11" spans="1:11">
      <c r="A11" s="3156"/>
      <c r="B11" s="3159">
        <v>11</v>
      </c>
      <c r="C11" s="3158" t="s">
        <v>3570</v>
      </c>
      <c r="D11" s="3156"/>
      <c r="E11" s="3156"/>
      <c r="F11" s="3156"/>
      <c r="G11" s="3157">
        <v>15</v>
      </c>
      <c r="H11" s="3157"/>
      <c r="I11" s="3157">
        <v>16</v>
      </c>
      <c r="J11" s="3156"/>
      <c r="K11" s="3156"/>
    </row>
    <row r="12" spans="1:11">
      <c r="A12" s="3156"/>
      <c r="B12" s="3159">
        <v>12</v>
      </c>
      <c r="C12" s="3160" t="s">
        <v>3570</v>
      </c>
      <c r="D12" s="3156"/>
      <c r="E12" s="3156"/>
      <c r="F12" s="3156"/>
      <c r="G12" s="3157">
        <v>17</v>
      </c>
      <c r="H12" s="3157"/>
      <c r="I12" s="3157">
        <v>18</v>
      </c>
      <c r="J12" s="3156"/>
      <c r="K12" s="3156"/>
    </row>
    <row r="13" spans="1:11">
      <c r="A13" s="3156"/>
      <c r="B13" s="3157"/>
      <c r="C13" s="3158" t="s">
        <v>3570</v>
      </c>
      <c r="D13" s="3158" t="s">
        <v>3570</v>
      </c>
      <c r="E13" s="3156"/>
      <c r="F13" s="3156"/>
      <c r="G13" s="3157">
        <v>19</v>
      </c>
      <c r="H13" s="3157"/>
      <c r="I13" s="3158" t="s">
        <v>3644</v>
      </c>
      <c r="J13" s="3156"/>
      <c r="K13" s="3156"/>
    </row>
    <row r="14" spans="1:11">
      <c r="A14" s="3156"/>
      <c r="B14" s="3157">
        <v>15</v>
      </c>
      <c r="C14" s="3161"/>
      <c r="D14" s="3157"/>
      <c r="E14" s="3156"/>
      <c r="F14" s="3156"/>
      <c r="G14" s="3158" t="s">
        <v>3645</v>
      </c>
      <c r="H14" s="3158" t="s">
        <v>3641</v>
      </c>
      <c r="I14" s="3158" t="s">
        <v>3646</v>
      </c>
      <c r="J14" s="3156"/>
      <c r="K14" s="3156"/>
    </row>
    <row r="15" spans="1:11">
      <c r="A15" s="3156"/>
      <c r="B15" s="3156"/>
      <c r="C15" s="3156"/>
      <c r="D15" s="3156"/>
      <c r="E15" s="3156"/>
      <c r="F15" s="3156"/>
      <c r="G15" s="3262">
        <v>120</v>
      </c>
      <c r="H15" s="3262"/>
      <c r="I15" s="3262"/>
      <c r="J15" s="3156"/>
      <c r="K15" s="3156"/>
    </row>
    <row r="16" spans="1:11">
      <c r="A16" s="3156"/>
      <c r="B16" s="3157">
        <v>119</v>
      </c>
      <c r="C16" s="3158" t="s">
        <v>3570</v>
      </c>
      <c r="D16" s="3156"/>
      <c r="E16" s="3156"/>
      <c r="F16" s="3156"/>
      <c r="G16" s="3156"/>
      <c r="H16" s="3156"/>
      <c r="I16" s="3156"/>
      <c r="J16" s="3156"/>
      <c r="K16" s="3156"/>
    </row>
    <row r="17" spans="1:11">
      <c r="A17" s="1447" t="s">
        <v>3571</v>
      </c>
      <c r="B17" s="3157">
        <v>120</v>
      </c>
      <c r="C17" s="3158">
        <v>127</v>
      </c>
      <c r="E17" s="3156"/>
      <c r="F17" s="1447" t="s">
        <v>3713</v>
      </c>
      <c r="G17" s="3157">
        <v>119</v>
      </c>
      <c r="H17" s="3158" t="s">
        <v>3570</v>
      </c>
      <c r="I17" s="3156"/>
      <c r="J17" s="3156"/>
      <c r="K17" s="3156"/>
    </row>
    <row r="18" spans="1:11">
      <c r="A18" s="3156"/>
      <c r="B18" s="3262">
        <v>121</v>
      </c>
      <c r="C18" s="3158">
        <v>128</v>
      </c>
      <c r="E18" s="3156"/>
      <c r="F18" s="3156"/>
      <c r="G18" s="3157">
        <v>120</v>
      </c>
      <c r="H18" s="3158">
        <v>127</v>
      </c>
      <c r="I18" s="3156"/>
      <c r="J18" s="3156"/>
      <c r="K18" s="3156"/>
    </row>
    <row r="19" spans="1:11">
      <c r="A19" s="3156"/>
      <c r="B19" s="3262"/>
      <c r="C19" s="3158" t="s">
        <v>3570</v>
      </c>
      <c r="E19" s="3156"/>
      <c r="F19" s="3156"/>
      <c r="G19" s="3262">
        <v>121</v>
      </c>
      <c r="H19" s="3158">
        <v>128</v>
      </c>
      <c r="I19" s="3156"/>
      <c r="J19" s="3156"/>
      <c r="K19" s="3156"/>
    </row>
    <row r="20" spans="1:11">
      <c r="A20" s="3156"/>
      <c r="B20" s="3157">
        <v>122</v>
      </c>
      <c r="C20" s="3262">
        <v>129</v>
      </c>
      <c r="E20" s="3156"/>
      <c r="F20" s="3156"/>
      <c r="G20" s="3262"/>
      <c r="H20" s="3158" t="s">
        <v>3570</v>
      </c>
      <c r="I20" s="3156"/>
      <c r="J20" s="3156"/>
      <c r="K20" s="3156"/>
    </row>
    <row r="21" spans="1:11">
      <c r="A21" s="3156"/>
      <c r="B21" s="3157">
        <v>123</v>
      </c>
      <c r="C21" s="3262"/>
      <c r="D21" s="3156"/>
      <c r="E21" s="3156"/>
      <c r="F21" s="3156"/>
      <c r="G21" s="3157">
        <v>122</v>
      </c>
      <c r="H21" s="3262">
        <v>129</v>
      </c>
      <c r="I21" s="3156"/>
      <c r="J21" s="3156"/>
      <c r="K21" s="3156"/>
    </row>
    <row r="22" spans="1:11">
      <c r="A22" s="3156"/>
      <c r="B22" s="3157">
        <v>125</v>
      </c>
      <c r="C22" s="3262">
        <v>130</v>
      </c>
      <c r="D22" s="3156"/>
      <c r="E22" s="3156"/>
      <c r="F22" s="3156"/>
      <c r="G22" s="3157">
        <v>123</v>
      </c>
      <c r="H22" s="3262"/>
      <c r="I22" s="3156"/>
      <c r="J22" s="3156"/>
      <c r="K22" s="3156"/>
    </row>
    <row r="23" spans="1:11">
      <c r="A23" s="3156"/>
      <c r="B23" s="3157">
        <v>126</v>
      </c>
      <c r="C23" s="3262"/>
      <c r="D23" s="3156"/>
      <c r="E23" s="3156"/>
      <c r="F23" s="3156"/>
      <c r="G23" s="3157">
        <v>125</v>
      </c>
      <c r="H23" s="3262">
        <v>130</v>
      </c>
      <c r="I23" s="3156"/>
      <c r="J23" s="3156"/>
      <c r="K23" s="3156"/>
    </row>
    <row r="24" spans="1:11">
      <c r="A24" s="3156"/>
      <c r="B24" s="3175"/>
      <c r="C24" s="3158" t="s">
        <v>3570</v>
      </c>
      <c r="D24" s="3156"/>
      <c r="E24" s="3156"/>
      <c r="F24" s="3156"/>
      <c r="G24" s="3157">
        <v>126</v>
      </c>
      <c r="H24" s="3262"/>
      <c r="I24" s="3156"/>
      <c r="J24" s="3156"/>
      <c r="K24" s="3156"/>
    </row>
    <row r="25" spans="1:11">
      <c r="A25" s="3156"/>
      <c r="B25" s="3157">
        <v>131</v>
      </c>
      <c r="C25" s="3158">
        <v>137</v>
      </c>
      <c r="D25" s="3156"/>
      <c r="E25" s="3156"/>
      <c r="F25" s="3156"/>
      <c r="G25" s="3175"/>
      <c r="H25" s="3158" t="s">
        <v>3570</v>
      </c>
      <c r="I25" s="3156"/>
      <c r="J25" s="3156"/>
      <c r="K25" s="3156"/>
    </row>
    <row r="26" spans="1:11">
      <c r="A26" s="3156"/>
      <c r="B26" s="3157">
        <v>132</v>
      </c>
      <c r="C26" s="3158" t="s">
        <v>3570</v>
      </c>
      <c r="D26" s="3156"/>
      <c r="E26" s="3156"/>
      <c r="F26" s="3156"/>
      <c r="G26" s="3157">
        <v>131</v>
      </c>
      <c r="H26" s="3158">
        <v>137</v>
      </c>
      <c r="I26" s="3156"/>
      <c r="J26" s="3156"/>
      <c r="K26" s="3156"/>
    </row>
    <row r="27" spans="1:11">
      <c r="A27" s="3156"/>
      <c r="B27" s="3157">
        <v>133</v>
      </c>
      <c r="C27" s="3158">
        <v>138</v>
      </c>
      <c r="D27" s="3156"/>
      <c r="E27" s="3156"/>
      <c r="F27" s="3156"/>
      <c r="G27" s="3157">
        <v>132</v>
      </c>
      <c r="H27" s="3158" t="s">
        <v>3570</v>
      </c>
      <c r="I27" s="3156"/>
      <c r="J27" s="3156"/>
      <c r="K27" s="3156"/>
    </row>
    <row r="28" spans="1:11">
      <c r="A28" s="3156"/>
      <c r="B28" s="3157">
        <v>135</v>
      </c>
      <c r="C28" s="3158">
        <v>139</v>
      </c>
      <c r="D28" s="3156"/>
      <c r="E28" s="3156"/>
      <c r="F28" s="3156"/>
      <c r="G28" s="3157">
        <v>133</v>
      </c>
      <c r="H28" s="3158">
        <v>138</v>
      </c>
      <c r="I28" s="3156"/>
      <c r="J28" s="3156"/>
      <c r="K28" s="3156"/>
    </row>
    <row r="29" spans="1:11">
      <c r="A29" s="3156"/>
      <c r="B29" s="3159">
        <v>136</v>
      </c>
      <c r="C29" s="3175"/>
      <c r="D29" s="3156"/>
      <c r="E29" s="3156"/>
      <c r="F29" s="3156"/>
      <c r="G29" s="3157">
        <v>135</v>
      </c>
      <c r="H29" s="3158">
        <v>139</v>
      </c>
      <c r="I29" s="3156"/>
      <c r="J29" s="3156"/>
      <c r="K29" s="3156"/>
    </row>
    <row r="30" spans="1:11">
      <c r="A30" s="3156"/>
      <c r="B30" s="3161"/>
      <c r="D30" s="3156"/>
      <c r="E30" s="3156"/>
      <c r="F30" s="3156"/>
      <c r="G30" s="3157">
        <v>136</v>
      </c>
      <c r="H30" s="3158">
        <v>150</v>
      </c>
      <c r="I30" s="3156"/>
      <c r="J30" s="3156"/>
      <c r="K30" s="3156"/>
    </row>
    <row r="31" spans="1:11">
      <c r="A31" s="3156"/>
      <c r="D31" s="3156"/>
      <c r="E31" s="3156"/>
      <c r="F31" s="3156"/>
      <c r="G31" s="3157">
        <v>176</v>
      </c>
      <c r="H31" s="3158" t="s">
        <v>3570</v>
      </c>
      <c r="I31" s="3156"/>
      <c r="J31" s="3156"/>
      <c r="K31" s="3156"/>
    </row>
    <row r="32" spans="1:11">
      <c r="A32" s="3156"/>
      <c r="D32" s="3156"/>
      <c r="E32" s="3156"/>
      <c r="F32" s="3156"/>
      <c r="G32" s="3157">
        <v>177</v>
      </c>
      <c r="H32" s="3157">
        <v>182</v>
      </c>
      <c r="I32" s="3156"/>
      <c r="J32" s="3156"/>
      <c r="K32" s="3156"/>
    </row>
    <row r="33" spans="1:11">
      <c r="A33" s="3156"/>
      <c r="B33" s="3158" t="s">
        <v>3570</v>
      </c>
      <c r="C33" s="3156"/>
      <c r="D33" s="3156"/>
      <c r="E33" s="3156"/>
      <c r="F33" s="3156"/>
      <c r="G33" s="3157">
        <v>178</v>
      </c>
      <c r="H33" s="3158" t="s">
        <v>3570</v>
      </c>
      <c r="I33" s="3156"/>
      <c r="J33" s="3156"/>
      <c r="K33" s="3156"/>
    </row>
    <row r="34" spans="1:11">
      <c r="A34" s="3156"/>
      <c r="B34" s="3261">
        <v>186</v>
      </c>
      <c r="C34" s="3158" t="s">
        <v>3642</v>
      </c>
      <c r="D34" s="3158" t="s">
        <v>3642</v>
      </c>
      <c r="E34" s="3157"/>
      <c r="F34" s="3156"/>
      <c r="G34" s="3157">
        <v>179</v>
      </c>
      <c r="H34" s="3157">
        <v>183</v>
      </c>
      <c r="I34" s="3156"/>
      <c r="J34" s="3156"/>
    </row>
    <row r="35" spans="1:11">
      <c r="A35" s="3156"/>
      <c r="B35" s="3261"/>
      <c r="C35" s="3158" t="s">
        <v>3643</v>
      </c>
      <c r="D35" s="3158" t="s">
        <v>3643</v>
      </c>
      <c r="E35" s="3158" t="s">
        <v>3641</v>
      </c>
      <c r="F35" s="3156"/>
      <c r="G35" s="3157">
        <v>180</v>
      </c>
      <c r="H35" s="3157">
        <v>185</v>
      </c>
      <c r="I35" s="3156"/>
      <c r="J35" s="3156"/>
    </row>
    <row r="36" spans="1:11">
      <c r="A36" s="3156"/>
      <c r="B36" s="3158">
        <v>187</v>
      </c>
      <c r="C36" s="3157">
        <v>188</v>
      </c>
      <c r="D36" s="3157">
        <v>189</v>
      </c>
      <c r="E36" s="3157"/>
      <c r="F36" s="3156"/>
      <c r="G36" s="3157">
        <v>181</v>
      </c>
      <c r="H36" s="3158" t="s">
        <v>3570</v>
      </c>
      <c r="I36" s="3156"/>
      <c r="J36" s="3156"/>
    </row>
    <row r="37" spans="1:11">
      <c r="A37" s="3156"/>
      <c r="B37" s="3156"/>
      <c r="D37" s="3156"/>
      <c r="E37" s="3156"/>
      <c r="F37" s="3156"/>
      <c r="G37" s="3261">
        <v>186</v>
      </c>
      <c r="H37" s="3158" t="s">
        <v>3642</v>
      </c>
      <c r="I37" s="3158" t="s">
        <v>3642</v>
      </c>
      <c r="J37" s="3157"/>
    </row>
    <row r="38" spans="1:11">
      <c r="A38" s="3156"/>
      <c r="B38" s="3156"/>
      <c r="D38" s="3156"/>
      <c r="E38" s="3156"/>
      <c r="F38" s="3156"/>
      <c r="G38" s="3261"/>
      <c r="H38" s="3158" t="s">
        <v>3643</v>
      </c>
      <c r="I38" s="3158" t="s">
        <v>3643</v>
      </c>
      <c r="J38" s="3158" t="s">
        <v>3641</v>
      </c>
    </row>
    <row r="39" spans="1:11">
      <c r="A39" s="3156"/>
      <c r="B39" s="3156"/>
      <c r="D39" s="3156"/>
      <c r="E39" s="3156"/>
      <c r="F39" s="3156"/>
      <c r="G39" s="3158">
        <v>187</v>
      </c>
      <c r="H39" s="3157">
        <v>188</v>
      </c>
      <c r="I39" s="3157">
        <v>189</v>
      </c>
      <c r="J39" s="3157"/>
    </row>
    <row r="40" spans="1:11">
      <c r="A40" s="3156"/>
      <c r="B40" s="3156"/>
      <c r="D40" s="3156"/>
      <c r="E40" s="3156"/>
      <c r="F40" s="3156"/>
      <c r="G40" s="3156"/>
    </row>
    <row r="41" spans="1:11">
      <c r="A41" s="3156"/>
      <c r="B41" s="3156"/>
      <c r="C41" s="3156"/>
      <c r="D41" s="3156"/>
      <c r="E41" s="3156"/>
      <c r="F41" s="3156"/>
      <c r="G41" s="3156"/>
    </row>
    <row r="42" spans="1:11">
      <c r="A42" s="3156"/>
      <c r="B42" s="3156"/>
      <c r="G42" s="3156"/>
    </row>
    <row r="43" spans="1:11">
      <c r="A43" s="3156"/>
      <c r="B43" s="3156"/>
    </row>
    <row r="44" spans="1:11">
      <c r="A44" s="3156"/>
      <c r="B44" s="3156"/>
    </row>
    <row r="45" spans="1:11">
      <c r="A45" s="3156"/>
      <c r="B45" s="3156"/>
    </row>
    <row r="46" spans="1:11">
      <c r="A46" s="3156"/>
      <c r="B46" s="3156"/>
    </row>
    <row r="47" spans="1:11">
      <c r="A47" s="3156"/>
      <c r="B47" s="3156"/>
    </row>
    <row r="48" spans="1:11">
      <c r="A48" s="3156"/>
      <c r="B48" s="3156"/>
    </row>
  </sheetData>
  <mergeCells count="13">
    <mergeCell ref="B34:B35"/>
    <mergeCell ref="G37:G38"/>
    <mergeCell ref="B2:B3"/>
    <mergeCell ref="B4:B5"/>
    <mergeCell ref="G9:G10"/>
    <mergeCell ref="G7:G8"/>
    <mergeCell ref="G15:I15"/>
    <mergeCell ref="C20:C21"/>
    <mergeCell ref="B18:B19"/>
    <mergeCell ref="C22:C23"/>
    <mergeCell ref="G19:G20"/>
    <mergeCell ref="H21:H22"/>
    <mergeCell ref="H23:H24"/>
  </mergeCells>
  <phoneticPr fontId="135" type="noConversion"/>
  <pageMargins left="0.7" right="0.7" top="0.75" bottom="0.75" header="0.3" footer="0.3"/>
  <pageSetup paperSize="9" scale="87"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U85"/>
  <sheetViews>
    <sheetView topLeftCell="A73" workbookViewId="0">
      <selection activeCell="K89" sqref="K89"/>
    </sheetView>
  </sheetViews>
  <sheetFormatPr defaultRowHeight="13.5"/>
  <cols>
    <col min="1" max="1" width="9" style="3156"/>
    <col min="2" max="3" width="31.125" style="3180" customWidth="1"/>
    <col min="4" max="5" width="10.625" style="3180" customWidth="1"/>
    <col min="6" max="6" width="10.625" style="3529" customWidth="1"/>
    <col min="7" max="7" width="10.625" style="3156" customWidth="1"/>
    <col min="8" max="8" width="29.625" style="3156" bestFit="1" customWidth="1"/>
    <col min="9" max="9" width="10.875" style="3156" customWidth="1"/>
    <col min="10" max="10" width="9" style="3156" customWidth="1"/>
    <col min="11" max="11" width="11.25" style="3156" customWidth="1"/>
    <col min="12" max="12" width="13" style="3156" customWidth="1"/>
    <col min="13" max="13" width="9" style="3156" customWidth="1"/>
    <col min="14" max="14" width="11" style="3156" customWidth="1"/>
    <col min="15" max="20" width="9" style="3156" customWidth="1"/>
    <col min="21" max="21" width="29.625" style="3156" bestFit="1" customWidth="1"/>
    <col min="22" max="22" width="16.25" style="3156" bestFit="1" customWidth="1"/>
    <col min="23" max="16384" width="9" style="3156"/>
  </cols>
  <sheetData>
    <row r="1" spans="1:21">
      <c r="L1" s="1447"/>
      <c r="M1" s="1447"/>
    </row>
    <row r="2" spans="1:21" ht="40.5">
      <c r="A2" s="1428" t="s">
        <v>3369</v>
      </c>
      <c r="B2" s="3184" t="s">
        <v>3370</v>
      </c>
      <c r="C2" s="3184" t="s">
        <v>3559</v>
      </c>
      <c r="D2" s="1428" t="s">
        <v>3371</v>
      </c>
      <c r="E2" s="1428" t="s">
        <v>3372</v>
      </c>
      <c r="F2" s="3530" t="str">
        <f>面积!F1</f>
        <v>建筑面积</v>
      </c>
      <c r="G2" s="1428" t="s">
        <v>3724</v>
      </c>
      <c r="H2" s="1428" t="s">
        <v>3725</v>
      </c>
      <c r="I2" s="1428" t="s">
        <v>3714</v>
      </c>
      <c r="J2" s="1428" t="s">
        <v>3715</v>
      </c>
      <c r="K2" s="1428" t="s">
        <v>3728</v>
      </c>
      <c r="L2" s="3155" t="s">
        <v>3716</v>
      </c>
      <c r="M2" s="3155" t="s">
        <v>3717</v>
      </c>
      <c r="N2" s="3184" t="s">
        <v>3719</v>
      </c>
      <c r="O2" s="3027" t="s">
        <v>3718</v>
      </c>
      <c r="P2" s="162" t="s">
        <v>1401</v>
      </c>
      <c r="Q2" s="162" t="s">
        <v>1403</v>
      </c>
      <c r="R2" s="3184" t="s">
        <v>3720</v>
      </c>
      <c r="S2" s="3184" t="s">
        <v>3722</v>
      </c>
      <c r="T2" s="3155" t="s">
        <v>3723</v>
      </c>
      <c r="U2" s="1428" t="s">
        <v>3726</v>
      </c>
    </row>
    <row r="3" spans="1:21">
      <c r="A3" s="3182">
        <v>1</v>
      </c>
      <c r="B3" s="3184" t="s">
        <v>3377</v>
      </c>
      <c r="C3" s="3184" t="s">
        <v>3558</v>
      </c>
      <c r="D3" s="3182">
        <v>1</v>
      </c>
      <c r="E3" s="3182">
        <v>5</v>
      </c>
      <c r="F3" s="3531">
        <v>113.41</v>
      </c>
      <c r="G3" s="1428">
        <f ca="1">典型户型修正!R24</f>
        <v>72525</v>
      </c>
      <c r="H3" s="3182">
        <f t="shared" ref="H3:H66" ca="1" si="0">ROUND(G3*F3/10000,2)</f>
        <v>822.51</v>
      </c>
      <c r="I3" s="3182">
        <v>469.92421300000001</v>
      </c>
      <c r="J3" s="3181">
        <f>2023-2012</f>
        <v>11</v>
      </c>
      <c r="K3" s="3181">
        <f ca="1">ROUND((H3/1.05-I3),2)</f>
        <v>313.42</v>
      </c>
      <c r="L3" s="3182">
        <f ca="1">IF(K3&lt;=0,0,ROUND(K3*5.6%,2))</f>
        <v>17.55</v>
      </c>
      <c r="M3" s="3182">
        <f ca="1">ROUND((IF(S3&gt;=200%,R3*60%-N3*35%,IF(S3&gt;=100%,R3*50%-N3*15%,IF(S3&gt;=50%,R3*40%-N3*5%,IF(S3&lt;50%,R3*30%,0))))),2)</f>
        <v>10.78</v>
      </c>
      <c r="N3" s="3182">
        <f ca="1">ROUND(O3+P3+Q3+I3,2)</f>
        <v>747.41</v>
      </c>
      <c r="O3" s="3182">
        <f t="shared" ref="O3:O34" si="1">ROUND(I3*J3*5%,2)</f>
        <v>258.45999999999998</v>
      </c>
      <c r="P3" s="3182">
        <f>ROUND(I3*3.05%,2)</f>
        <v>14.33</v>
      </c>
      <c r="Q3" s="3182">
        <f ca="1">ROUND(H3*0.6%/1.05,2)</f>
        <v>4.7</v>
      </c>
      <c r="R3" s="3182">
        <f ca="1">ROUND(H3/1.05-N3,2)</f>
        <v>35.93</v>
      </c>
      <c r="S3" s="3183">
        <f ca="1">R3/N3</f>
        <v>4.8072677646806977E-2</v>
      </c>
      <c r="T3" s="3182">
        <f ca="1">ROUND(H3*0.05%,2)</f>
        <v>0.41</v>
      </c>
      <c r="U3" s="3182">
        <f ca="1">H3-L3-M3-T3</f>
        <v>793.7700000000001</v>
      </c>
    </row>
    <row r="4" spans="1:21">
      <c r="A4" s="3182">
        <v>2</v>
      </c>
      <c r="B4" s="3184" t="s">
        <v>3378</v>
      </c>
      <c r="C4" s="3184" t="s">
        <v>3560</v>
      </c>
      <c r="D4" s="3182">
        <v>1</v>
      </c>
      <c r="E4" s="3182">
        <v>5</v>
      </c>
      <c r="F4" s="3531">
        <v>91.15</v>
      </c>
      <c r="G4" s="1428">
        <f ca="1">典型户型修正!R25</f>
        <v>73976</v>
      </c>
      <c r="H4" s="3182">
        <f t="shared" ca="1" si="0"/>
        <v>674.29</v>
      </c>
      <c r="I4" s="3182">
        <v>377.68791900000002</v>
      </c>
      <c r="J4" s="3181">
        <f t="shared" ref="J4:J8" si="2">2023-2012</f>
        <v>11</v>
      </c>
      <c r="K4" s="3181">
        <f t="shared" ref="K4:K67" ca="1" si="3">ROUND((H4/1.05-I4),2)</f>
        <v>264.49</v>
      </c>
      <c r="L4" s="3182">
        <f t="shared" ref="L4:L67" ca="1" si="4">IF(K4&lt;=0,0,ROUND(K4*5.6%,2))</f>
        <v>14.81</v>
      </c>
      <c r="M4" s="3182">
        <f t="shared" ref="M4:M65" ca="1" si="5">ROUND((IF(S4&gt;=200%,R4*60%-N4*35%,IF(S4&gt;=100%,R4*50%-N4*15%,IF(S4&gt;=50%,R4*40%-N4*5%,IF(S4&lt;50%,R4*30%,0))))),2)</f>
        <v>12.42</v>
      </c>
      <c r="N4" s="3182">
        <f t="shared" ref="N4:N67" ca="1" si="6">ROUND(O4+P4+Q4+I4,2)</f>
        <v>600.79</v>
      </c>
      <c r="O4" s="3182">
        <f t="shared" si="1"/>
        <v>207.73</v>
      </c>
      <c r="P4" s="3182">
        <f t="shared" ref="P4:P67" si="7">ROUND(I4*3.05%,2)</f>
        <v>11.52</v>
      </c>
      <c r="Q4" s="3182">
        <f t="shared" ref="Q4:Q67" ca="1" si="8">ROUND(H4*0.6%/1.05,2)</f>
        <v>3.85</v>
      </c>
      <c r="R4" s="3182">
        <f t="shared" ref="R4:R67" ca="1" si="9">ROUND(H4/1.05-N4,2)</f>
        <v>41.39</v>
      </c>
      <c r="S4" s="3183">
        <f t="shared" ref="S4:S67" ca="1" si="10">R4/N4</f>
        <v>6.8892624710797448E-2</v>
      </c>
      <c r="T4" s="3182">
        <f t="shared" ref="T4:T67" ca="1" si="11">ROUND(H4*0.05%,2)</f>
        <v>0.34</v>
      </c>
      <c r="U4" s="3182">
        <f t="shared" ref="U4:U67" ca="1" si="12">H4-L4-M4-T4</f>
        <v>646.72</v>
      </c>
    </row>
    <row r="5" spans="1:21">
      <c r="A5" s="3182">
        <v>3</v>
      </c>
      <c r="B5" s="3184" t="s">
        <v>3379</v>
      </c>
      <c r="C5" s="3184" t="s">
        <v>3561</v>
      </c>
      <c r="D5" s="3182">
        <v>1</v>
      </c>
      <c r="E5" s="3182">
        <v>5</v>
      </c>
      <c r="F5" s="3531">
        <v>35.880000000000003</v>
      </c>
      <c r="G5" s="1428">
        <f ca="1">典型户型修正!R26</f>
        <v>75426</v>
      </c>
      <c r="H5" s="3182">
        <f t="shared" ca="1" si="0"/>
        <v>270.63</v>
      </c>
      <c r="I5" s="3182">
        <v>148.675556</v>
      </c>
      <c r="J5" s="3181">
        <f t="shared" si="2"/>
        <v>11</v>
      </c>
      <c r="K5" s="3181">
        <f t="shared" ca="1" si="3"/>
        <v>109.07</v>
      </c>
      <c r="L5" s="3182">
        <f t="shared" ca="1" si="4"/>
        <v>6.11</v>
      </c>
      <c r="M5" s="3182">
        <f t="shared" ca="1" si="5"/>
        <v>6.36</v>
      </c>
      <c r="N5" s="3182">
        <f t="shared" ca="1" si="6"/>
        <v>236.53</v>
      </c>
      <c r="O5" s="3182">
        <f t="shared" si="1"/>
        <v>81.77</v>
      </c>
      <c r="P5" s="3182">
        <f t="shared" si="7"/>
        <v>4.53</v>
      </c>
      <c r="Q5" s="3182">
        <f t="shared" ca="1" si="8"/>
        <v>1.55</v>
      </c>
      <c r="R5" s="3182">
        <f t="shared" ca="1" si="9"/>
        <v>21.21</v>
      </c>
      <c r="S5" s="3183">
        <f t="shared" ca="1" si="10"/>
        <v>8.967150044391832E-2</v>
      </c>
      <c r="T5" s="3182">
        <f t="shared" ca="1" si="11"/>
        <v>0.14000000000000001</v>
      </c>
      <c r="U5" s="3182">
        <f t="shared" ca="1" si="12"/>
        <v>258.02</v>
      </c>
    </row>
    <row r="6" spans="1:21">
      <c r="A6" s="3182">
        <v>4</v>
      </c>
      <c r="B6" s="3184" t="s">
        <v>3380</v>
      </c>
      <c r="C6" s="3184" t="s">
        <v>3562</v>
      </c>
      <c r="D6" s="3182">
        <v>1</v>
      </c>
      <c r="E6" s="3182">
        <v>5</v>
      </c>
      <c r="F6" s="3531">
        <v>29.43</v>
      </c>
      <c r="G6" s="1428">
        <f ca="1">典型户型修正!R27</f>
        <v>75426</v>
      </c>
      <c r="H6" s="3182">
        <f t="shared" ca="1" si="0"/>
        <v>221.98</v>
      </c>
      <c r="I6" s="3182">
        <v>121.948807</v>
      </c>
      <c r="J6" s="3181">
        <f t="shared" si="2"/>
        <v>11</v>
      </c>
      <c r="K6" s="3181">
        <f t="shared" ca="1" si="3"/>
        <v>89.46</v>
      </c>
      <c r="L6" s="3182">
        <f t="shared" ca="1" si="4"/>
        <v>5.01</v>
      </c>
      <c r="M6" s="3182">
        <f t="shared" ca="1" si="5"/>
        <v>5.22</v>
      </c>
      <c r="N6" s="3182">
        <f t="shared" ca="1" si="6"/>
        <v>194.01</v>
      </c>
      <c r="O6" s="3182">
        <f t="shared" si="1"/>
        <v>67.069999999999993</v>
      </c>
      <c r="P6" s="3182">
        <f t="shared" si="7"/>
        <v>3.72</v>
      </c>
      <c r="Q6" s="3182">
        <f t="shared" ca="1" si="8"/>
        <v>1.27</v>
      </c>
      <c r="R6" s="3182">
        <f t="shared" ca="1" si="9"/>
        <v>17.399999999999999</v>
      </c>
      <c r="S6" s="3183">
        <f t="shared" ca="1" si="10"/>
        <v>8.9686098654708515E-2</v>
      </c>
      <c r="T6" s="3182">
        <f t="shared" ca="1" si="11"/>
        <v>0.11</v>
      </c>
      <c r="U6" s="3182">
        <f t="shared" ca="1" si="12"/>
        <v>211.64</v>
      </c>
    </row>
    <row r="7" spans="1:21">
      <c r="A7" s="3182">
        <v>5</v>
      </c>
      <c r="B7" s="3184" t="s">
        <v>3381</v>
      </c>
      <c r="C7" s="3184" t="s">
        <v>3563</v>
      </c>
      <c r="D7" s="3182">
        <v>1</v>
      </c>
      <c r="E7" s="3182">
        <v>5</v>
      </c>
      <c r="F7" s="3531">
        <v>143.38</v>
      </c>
      <c r="G7" s="1428">
        <f ca="1">典型户型修正!R28</f>
        <v>72525</v>
      </c>
      <c r="H7" s="3182">
        <f t="shared" ca="1" si="0"/>
        <v>1039.8599999999999</v>
      </c>
      <c r="I7" s="3182">
        <v>594.12223099999994</v>
      </c>
      <c r="J7" s="3181">
        <f t="shared" si="2"/>
        <v>11</v>
      </c>
      <c r="K7" s="3181">
        <f t="shared" ca="1" si="3"/>
        <v>396.22</v>
      </c>
      <c r="L7" s="3182">
        <f t="shared" ca="1" si="4"/>
        <v>22.19</v>
      </c>
      <c r="M7" s="3182">
        <f t="shared" ca="1" si="5"/>
        <v>13.62</v>
      </c>
      <c r="N7" s="3182">
        <f t="shared" ca="1" si="6"/>
        <v>944.95</v>
      </c>
      <c r="O7" s="3182">
        <f t="shared" si="1"/>
        <v>326.77</v>
      </c>
      <c r="P7" s="3182">
        <f t="shared" si="7"/>
        <v>18.12</v>
      </c>
      <c r="Q7" s="3182">
        <f t="shared" ca="1" si="8"/>
        <v>5.94</v>
      </c>
      <c r="R7" s="3182">
        <f t="shared" ca="1" si="9"/>
        <v>45.39</v>
      </c>
      <c r="S7" s="3183">
        <f t="shared" ca="1" si="10"/>
        <v>4.8034287528440654E-2</v>
      </c>
      <c r="T7" s="3182">
        <f t="shared" ca="1" si="11"/>
        <v>0.52</v>
      </c>
      <c r="U7" s="3182">
        <f t="shared" ca="1" si="12"/>
        <v>1003.5299999999999</v>
      </c>
    </row>
    <row r="8" spans="1:21">
      <c r="A8" s="3182">
        <v>6</v>
      </c>
      <c r="B8" s="3184" t="s">
        <v>3382</v>
      </c>
      <c r="C8" s="3184" t="s">
        <v>3564</v>
      </c>
      <c r="D8" s="3182">
        <v>1</v>
      </c>
      <c r="E8" s="3182">
        <v>5</v>
      </c>
      <c r="F8" s="3531">
        <v>136.26</v>
      </c>
      <c r="G8" s="1428">
        <f ca="1">典型户型修正!R29</f>
        <v>72525</v>
      </c>
      <c r="H8" s="3182">
        <f t="shared" ca="1" si="0"/>
        <v>988.23</v>
      </c>
      <c r="I8" s="3182">
        <v>564.61922000000004</v>
      </c>
      <c r="J8" s="3181">
        <f t="shared" si="2"/>
        <v>11</v>
      </c>
      <c r="K8" s="3181">
        <f t="shared" ca="1" si="3"/>
        <v>376.55</v>
      </c>
      <c r="L8" s="3182">
        <f t="shared" ca="1" si="4"/>
        <v>21.09</v>
      </c>
      <c r="M8" s="3182">
        <f t="shared" ca="1" si="5"/>
        <v>12.94</v>
      </c>
      <c r="N8" s="3182">
        <f t="shared" ca="1" si="6"/>
        <v>898.03</v>
      </c>
      <c r="O8" s="3182">
        <f t="shared" si="1"/>
        <v>310.54000000000002</v>
      </c>
      <c r="P8" s="3182">
        <f t="shared" si="7"/>
        <v>17.22</v>
      </c>
      <c r="Q8" s="3182">
        <f t="shared" ca="1" si="8"/>
        <v>5.65</v>
      </c>
      <c r="R8" s="3182">
        <f t="shared" ca="1" si="9"/>
        <v>43.14</v>
      </c>
      <c r="S8" s="3183">
        <f t="shared" ca="1" si="10"/>
        <v>4.8038484237720343E-2</v>
      </c>
      <c r="T8" s="3182">
        <f t="shared" ca="1" si="11"/>
        <v>0.49</v>
      </c>
      <c r="U8" s="3182">
        <f t="shared" ca="1" si="12"/>
        <v>953.70999999999992</v>
      </c>
    </row>
    <row r="9" spans="1:21">
      <c r="A9" s="3182">
        <v>7</v>
      </c>
      <c r="B9" s="3184" t="s">
        <v>3383</v>
      </c>
      <c r="C9" s="3184" t="s">
        <v>3565</v>
      </c>
      <c r="D9" s="3182">
        <v>1</v>
      </c>
      <c r="E9" s="3182">
        <v>5</v>
      </c>
      <c r="F9" s="3531">
        <v>149.55000000000001</v>
      </c>
      <c r="G9" s="1428">
        <f ca="1">典型户型修正!R30</f>
        <v>72525</v>
      </c>
      <c r="H9" s="3182">
        <f t="shared" ca="1" si="0"/>
        <v>1084.6099999999999</v>
      </c>
      <c r="I9" s="3182">
        <v>619.68889100000001</v>
      </c>
      <c r="J9" s="3181">
        <v>10</v>
      </c>
      <c r="K9" s="3181">
        <f t="shared" ca="1" si="3"/>
        <v>413.27</v>
      </c>
      <c r="L9" s="3182">
        <f t="shared" ca="1" si="4"/>
        <v>23.14</v>
      </c>
      <c r="M9" s="3182">
        <f t="shared" ca="1" si="5"/>
        <v>23.5</v>
      </c>
      <c r="N9" s="3182">
        <f t="shared" ca="1" si="6"/>
        <v>954.63</v>
      </c>
      <c r="O9" s="3182">
        <f t="shared" si="1"/>
        <v>309.83999999999997</v>
      </c>
      <c r="P9" s="3182">
        <f t="shared" si="7"/>
        <v>18.899999999999999</v>
      </c>
      <c r="Q9" s="3182">
        <f t="shared" ca="1" si="8"/>
        <v>6.2</v>
      </c>
      <c r="R9" s="3182">
        <f t="shared" ca="1" si="9"/>
        <v>78.33</v>
      </c>
      <c r="S9" s="3183">
        <f t="shared" ca="1" si="10"/>
        <v>8.2052732472266743E-2</v>
      </c>
      <c r="T9" s="3182">
        <f t="shared" ca="1" si="11"/>
        <v>0.54</v>
      </c>
      <c r="U9" s="3182">
        <f t="shared" ca="1" si="12"/>
        <v>1037.4299999999998</v>
      </c>
    </row>
    <row r="10" spans="1:21">
      <c r="A10" s="3182">
        <v>8</v>
      </c>
      <c r="B10" s="3184" t="s">
        <v>3384</v>
      </c>
      <c r="C10" s="3184" t="s">
        <v>3566</v>
      </c>
      <c r="D10" s="3182">
        <v>1</v>
      </c>
      <c r="E10" s="3182">
        <v>5</v>
      </c>
      <c r="F10" s="3531">
        <v>77.739999999999995</v>
      </c>
      <c r="G10" s="1428">
        <f ca="1">典型户型修正!R31</f>
        <v>73976</v>
      </c>
      <c r="H10" s="3182">
        <f t="shared" ca="1" si="0"/>
        <v>575.09</v>
      </c>
      <c r="I10" s="3182">
        <v>322.12240600000001</v>
      </c>
      <c r="J10" s="3181">
        <v>9</v>
      </c>
      <c r="K10" s="3181">
        <f t="shared" ca="1" si="3"/>
        <v>225.58</v>
      </c>
      <c r="L10" s="3182">
        <f t="shared" ca="1" si="4"/>
        <v>12.63</v>
      </c>
      <c r="M10" s="3182">
        <f t="shared" ca="1" si="5"/>
        <v>20.25</v>
      </c>
      <c r="N10" s="3182">
        <f t="shared" ca="1" si="6"/>
        <v>480.19</v>
      </c>
      <c r="O10" s="3182">
        <f t="shared" si="1"/>
        <v>144.96</v>
      </c>
      <c r="P10" s="3182">
        <f t="shared" si="7"/>
        <v>9.82</v>
      </c>
      <c r="Q10" s="3182">
        <f t="shared" ca="1" si="8"/>
        <v>3.29</v>
      </c>
      <c r="R10" s="3182">
        <f t="shared" ca="1" si="9"/>
        <v>67.510000000000005</v>
      </c>
      <c r="S10" s="3183">
        <f t="shared" ca="1" si="10"/>
        <v>0.1405901830525417</v>
      </c>
      <c r="T10" s="3182">
        <f t="shared" ca="1" si="11"/>
        <v>0.28999999999999998</v>
      </c>
      <c r="U10" s="3182">
        <f t="shared" ca="1" si="12"/>
        <v>541.92000000000007</v>
      </c>
    </row>
    <row r="11" spans="1:21">
      <c r="A11" s="3182">
        <v>9</v>
      </c>
      <c r="B11" s="3184" t="s">
        <v>3376</v>
      </c>
      <c r="C11" s="3184" t="s">
        <v>3567</v>
      </c>
      <c r="D11" s="3182">
        <v>2</v>
      </c>
      <c r="E11" s="3182">
        <v>5</v>
      </c>
      <c r="F11" s="3531">
        <v>75.69</v>
      </c>
      <c r="G11" s="1428">
        <f ca="1">典型户型修正!R32</f>
        <v>44385</v>
      </c>
      <c r="H11" s="3182">
        <f t="shared" ca="1" si="0"/>
        <v>335.95</v>
      </c>
      <c r="I11" s="3182">
        <v>174.18762599999999</v>
      </c>
      <c r="J11" s="3181">
        <v>11</v>
      </c>
      <c r="K11" s="3181">
        <f t="shared" ca="1" si="3"/>
        <v>145.76</v>
      </c>
      <c r="L11" s="3182">
        <f t="shared" ca="1" si="4"/>
        <v>8.16</v>
      </c>
      <c r="M11" s="3182">
        <f t="shared" ca="1" si="5"/>
        <v>12.82</v>
      </c>
      <c r="N11" s="3182">
        <f t="shared" ca="1" si="6"/>
        <v>277.22000000000003</v>
      </c>
      <c r="O11" s="3182">
        <f t="shared" si="1"/>
        <v>95.8</v>
      </c>
      <c r="P11" s="3182">
        <f t="shared" si="7"/>
        <v>5.31</v>
      </c>
      <c r="Q11" s="3182">
        <f t="shared" ca="1" si="8"/>
        <v>1.92</v>
      </c>
      <c r="R11" s="3182">
        <f t="shared" ca="1" si="9"/>
        <v>42.73</v>
      </c>
      <c r="S11" s="3183">
        <f t="shared" ca="1" si="10"/>
        <v>0.15413750811629751</v>
      </c>
      <c r="T11" s="3182">
        <f t="shared" ca="1" si="11"/>
        <v>0.17</v>
      </c>
      <c r="U11" s="3182">
        <f t="shared" ca="1" si="12"/>
        <v>314.79999999999995</v>
      </c>
    </row>
    <row r="12" spans="1:21">
      <c r="A12" s="3182">
        <v>10</v>
      </c>
      <c r="B12" s="3184" t="s">
        <v>3385</v>
      </c>
      <c r="C12" s="3184" t="s">
        <v>3568</v>
      </c>
      <c r="D12" s="3182">
        <v>2</v>
      </c>
      <c r="E12" s="3182">
        <v>5</v>
      </c>
      <c r="F12" s="3531">
        <v>67.33</v>
      </c>
      <c r="G12" s="1428">
        <f ca="1">典型户型修正!R33</f>
        <v>44385</v>
      </c>
      <c r="H12" s="3182">
        <f t="shared" ca="1" si="0"/>
        <v>298.83999999999997</v>
      </c>
      <c r="I12" s="3182">
        <v>154.94846200000001</v>
      </c>
      <c r="J12" s="3181">
        <v>11</v>
      </c>
      <c r="K12" s="3181">
        <f t="shared" ca="1" si="3"/>
        <v>129.66</v>
      </c>
      <c r="L12" s="3182">
        <f t="shared" ca="1" si="4"/>
        <v>7.26</v>
      </c>
      <c r="M12" s="3182">
        <f t="shared" ca="1" si="5"/>
        <v>11.4</v>
      </c>
      <c r="N12" s="3182">
        <f t="shared" ca="1" si="6"/>
        <v>246.61</v>
      </c>
      <c r="O12" s="3182">
        <f t="shared" si="1"/>
        <v>85.22</v>
      </c>
      <c r="P12" s="3182">
        <f t="shared" si="7"/>
        <v>4.7300000000000004</v>
      </c>
      <c r="Q12" s="3182">
        <f t="shared" ca="1" si="8"/>
        <v>1.71</v>
      </c>
      <c r="R12" s="3182">
        <f t="shared" ca="1" si="9"/>
        <v>38</v>
      </c>
      <c r="S12" s="3183">
        <f t="shared" ca="1" si="10"/>
        <v>0.15408945298244189</v>
      </c>
      <c r="T12" s="3182">
        <f t="shared" ca="1" si="11"/>
        <v>0.15</v>
      </c>
      <c r="U12" s="3182">
        <f t="shared" ca="1" si="12"/>
        <v>280.03000000000003</v>
      </c>
    </row>
    <row r="13" spans="1:21">
      <c r="A13" s="3182">
        <v>11</v>
      </c>
      <c r="B13" s="3184" t="s">
        <v>3386</v>
      </c>
      <c r="C13" s="3184" t="s">
        <v>3569</v>
      </c>
      <c r="D13" s="3182">
        <v>2</v>
      </c>
      <c r="E13" s="3182">
        <v>5</v>
      </c>
      <c r="F13" s="3531">
        <v>93.6</v>
      </c>
      <c r="G13" s="1428">
        <f ca="1">典型户型修正!R34</f>
        <v>44385</v>
      </c>
      <c r="H13" s="3182">
        <f t="shared" ca="1" si="0"/>
        <v>415.44</v>
      </c>
      <c r="I13" s="3182">
        <v>215.404415</v>
      </c>
      <c r="J13" s="3181">
        <v>11</v>
      </c>
      <c r="K13" s="3181">
        <f t="shared" ca="1" si="3"/>
        <v>180.25</v>
      </c>
      <c r="L13" s="3182">
        <f t="shared" ca="1" si="4"/>
        <v>10.09</v>
      </c>
      <c r="M13" s="3182">
        <f t="shared" ca="1" si="5"/>
        <v>15.86</v>
      </c>
      <c r="N13" s="3182">
        <f t="shared" ca="1" si="6"/>
        <v>342.81</v>
      </c>
      <c r="O13" s="3182">
        <f t="shared" si="1"/>
        <v>118.47</v>
      </c>
      <c r="P13" s="3182">
        <f t="shared" si="7"/>
        <v>6.57</v>
      </c>
      <c r="Q13" s="3182">
        <f t="shared" ca="1" si="8"/>
        <v>2.37</v>
      </c>
      <c r="R13" s="3182">
        <f t="shared" ca="1" si="9"/>
        <v>52.85</v>
      </c>
      <c r="S13" s="3183">
        <f t="shared" ca="1" si="10"/>
        <v>0.15416703130013709</v>
      </c>
      <c r="T13" s="3182">
        <f t="shared" ca="1" si="11"/>
        <v>0.21</v>
      </c>
      <c r="U13" s="3182">
        <f t="shared" ca="1" si="12"/>
        <v>389.28000000000003</v>
      </c>
    </row>
    <row r="14" spans="1:21">
      <c r="A14" s="3182">
        <v>12</v>
      </c>
      <c r="B14" s="3184" t="s">
        <v>3387</v>
      </c>
      <c r="C14" s="3184" t="s">
        <v>3572</v>
      </c>
      <c r="D14" s="3182">
        <v>2</v>
      </c>
      <c r="E14" s="3182">
        <v>5</v>
      </c>
      <c r="F14" s="3531">
        <v>39.18</v>
      </c>
      <c r="G14" s="1428">
        <f ca="1">典型户型修正!R35</f>
        <v>45256</v>
      </c>
      <c r="H14" s="3182">
        <f t="shared" ca="1" si="0"/>
        <v>177.31</v>
      </c>
      <c r="I14" s="3182">
        <v>90.166096999999993</v>
      </c>
      <c r="J14" s="3181">
        <v>9</v>
      </c>
      <c r="K14" s="3181">
        <f t="shared" ca="1" si="3"/>
        <v>78.7</v>
      </c>
      <c r="L14" s="3182">
        <f t="shared" ca="1" si="4"/>
        <v>4.41</v>
      </c>
      <c r="M14" s="3182">
        <f t="shared" ca="1" si="5"/>
        <v>10.31</v>
      </c>
      <c r="N14" s="3182">
        <f t="shared" ca="1" si="6"/>
        <v>134.5</v>
      </c>
      <c r="O14" s="3182">
        <f t="shared" si="1"/>
        <v>40.57</v>
      </c>
      <c r="P14" s="3182">
        <f t="shared" si="7"/>
        <v>2.75</v>
      </c>
      <c r="Q14" s="3182">
        <f t="shared" ca="1" si="8"/>
        <v>1.01</v>
      </c>
      <c r="R14" s="3182">
        <f t="shared" ca="1" si="9"/>
        <v>34.369999999999997</v>
      </c>
      <c r="S14" s="3183">
        <f t="shared" ca="1" si="10"/>
        <v>0.25553903345724904</v>
      </c>
      <c r="T14" s="3182">
        <f t="shared" ca="1" si="11"/>
        <v>0.09</v>
      </c>
      <c r="U14" s="3182">
        <f t="shared" ca="1" si="12"/>
        <v>162.5</v>
      </c>
    </row>
    <row r="15" spans="1:21">
      <c r="A15" s="3182">
        <v>13</v>
      </c>
      <c r="B15" s="3184" t="s">
        <v>3388</v>
      </c>
      <c r="C15" s="3184" t="s">
        <v>3573</v>
      </c>
      <c r="D15" s="3182">
        <v>2</v>
      </c>
      <c r="E15" s="3182">
        <v>5</v>
      </c>
      <c r="F15" s="3531">
        <v>34.07</v>
      </c>
      <c r="G15" s="1428">
        <f ca="1">典型户型修正!R36</f>
        <v>45256</v>
      </c>
      <c r="H15" s="3182">
        <f t="shared" ca="1" si="0"/>
        <v>154.19</v>
      </c>
      <c r="I15" s="3182">
        <v>78.406278</v>
      </c>
      <c r="J15" s="3181">
        <v>9</v>
      </c>
      <c r="K15" s="3181">
        <f t="shared" ca="1" si="3"/>
        <v>68.44</v>
      </c>
      <c r="L15" s="3182">
        <f t="shared" ca="1" si="4"/>
        <v>3.83</v>
      </c>
      <c r="M15" s="3182">
        <f t="shared" ca="1" si="5"/>
        <v>8.9700000000000006</v>
      </c>
      <c r="N15" s="3182">
        <f t="shared" ca="1" si="6"/>
        <v>116.96</v>
      </c>
      <c r="O15" s="3182">
        <f t="shared" si="1"/>
        <v>35.28</v>
      </c>
      <c r="P15" s="3182">
        <f t="shared" si="7"/>
        <v>2.39</v>
      </c>
      <c r="Q15" s="3182">
        <f t="shared" ca="1" si="8"/>
        <v>0.88</v>
      </c>
      <c r="R15" s="3182">
        <f t="shared" ca="1" si="9"/>
        <v>29.89</v>
      </c>
      <c r="S15" s="3183">
        <f t="shared" ca="1" si="10"/>
        <v>0.25555745554035569</v>
      </c>
      <c r="T15" s="3182">
        <f t="shared" ca="1" si="11"/>
        <v>0.08</v>
      </c>
      <c r="U15" s="3182">
        <f t="shared" ca="1" si="12"/>
        <v>141.30999999999997</v>
      </c>
    </row>
    <row r="16" spans="1:21">
      <c r="A16" s="3182">
        <v>14</v>
      </c>
      <c r="B16" s="3184" t="s">
        <v>3389</v>
      </c>
      <c r="C16" s="3184" t="s">
        <v>3574</v>
      </c>
      <c r="D16" s="3182">
        <v>2</v>
      </c>
      <c r="E16" s="3182">
        <v>5</v>
      </c>
      <c r="F16" s="3531">
        <v>59.36</v>
      </c>
      <c r="G16" s="1428">
        <f ca="1">典型户型修正!R37</f>
        <v>44385</v>
      </c>
      <c r="H16" s="3182">
        <f t="shared" ca="1" si="0"/>
        <v>263.47000000000003</v>
      </c>
      <c r="I16" s="3182">
        <v>136.60683999999998</v>
      </c>
      <c r="J16" s="3181">
        <v>9</v>
      </c>
      <c r="K16" s="3181">
        <f t="shared" ca="1" si="3"/>
        <v>114.32</v>
      </c>
      <c r="L16" s="3182">
        <f t="shared" ca="1" si="4"/>
        <v>6.4</v>
      </c>
      <c r="M16" s="3182">
        <f t="shared" ca="1" si="5"/>
        <v>14.15</v>
      </c>
      <c r="N16" s="3182">
        <f t="shared" ca="1" si="6"/>
        <v>203.76</v>
      </c>
      <c r="O16" s="3182">
        <f t="shared" si="1"/>
        <v>61.47</v>
      </c>
      <c r="P16" s="3182">
        <f t="shared" si="7"/>
        <v>4.17</v>
      </c>
      <c r="Q16" s="3182">
        <f t="shared" ca="1" si="8"/>
        <v>1.51</v>
      </c>
      <c r="R16" s="3182">
        <f t="shared" ca="1" si="9"/>
        <v>47.16</v>
      </c>
      <c r="S16" s="3183">
        <f t="shared" ca="1" si="10"/>
        <v>0.2314487632508834</v>
      </c>
      <c r="T16" s="3182">
        <f t="shared" ca="1" si="11"/>
        <v>0.13</v>
      </c>
      <c r="U16" s="3182">
        <f t="shared" ca="1" si="12"/>
        <v>242.79000000000005</v>
      </c>
    </row>
    <row r="17" spans="1:21">
      <c r="A17" s="3182">
        <v>15</v>
      </c>
      <c r="B17" s="3184" t="s">
        <v>3390</v>
      </c>
      <c r="C17" s="3184" t="s">
        <v>3575</v>
      </c>
      <c r="D17" s="3182">
        <v>2</v>
      </c>
      <c r="E17" s="3182">
        <v>5</v>
      </c>
      <c r="F17" s="3531">
        <v>57.78</v>
      </c>
      <c r="G17" s="1428">
        <f ca="1">典型户型修正!R38</f>
        <v>44385</v>
      </c>
      <c r="H17" s="3182">
        <f t="shared" ca="1" si="0"/>
        <v>256.45999999999998</v>
      </c>
      <c r="I17" s="3182">
        <v>132.97083700000002</v>
      </c>
      <c r="J17" s="3181">
        <v>9</v>
      </c>
      <c r="K17" s="3181">
        <f t="shared" ca="1" si="3"/>
        <v>111.28</v>
      </c>
      <c r="L17" s="3182">
        <f t="shared" ca="1" si="4"/>
        <v>6.23</v>
      </c>
      <c r="M17" s="3182">
        <f t="shared" ca="1" si="5"/>
        <v>13.77</v>
      </c>
      <c r="N17" s="3182">
        <f t="shared" ca="1" si="6"/>
        <v>198.34</v>
      </c>
      <c r="O17" s="3182">
        <f t="shared" si="1"/>
        <v>59.84</v>
      </c>
      <c r="P17" s="3182">
        <f t="shared" si="7"/>
        <v>4.0599999999999996</v>
      </c>
      <c r="Q17" s="3182">
        <f t="shared" ca="1" si="8"/>
        <v>1.47</v>
      </c>
      <c r="R17" s="3182">
        <f t="shared" ca="1" si="9"/>
        <v>45.91</v>
      </c>
      <c r="S17" s="3183">
        <f t="shared" ca="1" si="10"/>
        <v>0.23147121105172933</v>
      </c>
      <c r="T17" s="3182">
        <f t="shared" ca="1" si="11"/>
        <v>0.13</v>
      </c>
      <c r="U17" s="3182">
        <f t="shared" ca="1" si="12"/>
        <v>236.32999999999998</v>
      </c>
    </row>
    <row r="18" spans="1:21">
      <c r="A18" s="3182">
        <v>16</v>
      </c>
      <c r="B18" s="3184" t="s">
        <v>3391</v>
      </c>
      <c r="C18" s="3184" t="s">
        <v>3576</v>
      </c>
      <c r="D18" s="3182">
        <v>2</v>
      </c>
      <c r="E18" s="3182">
        <v>5</v>
      </c>
      <c r="F18" s="3531">
        <v>65.25</v>
      </c>
      <c r="G18" s="1428">
        <f ca="1">典型户型修正!R39</f>
        <v>44385</v>
      </c>
      <c r="H18" s="3182">
        <f t="shared" ca="1" si="0"/>
        <v>289.61</v>
      </c>
      <c r="I18" s="3182">
        <v>150.161743</v>
      </c>
      <c r="J18" s="3181">
        <v>11</v>
      </c>
      <c r="K18" s="3181">
        <f t="shared" ca="1" si="3"/>
        <v>125.66</v>
      </c>
      <c r="L18" s="3182">
        <f t="shared" ca="1" si="4"/>
        <v>7.04</v>
      </c>
      <c r="M18" s="3182">
        <f t="shared" ca="1" si="5"/>
        <v>11.05</v>
      </c>
      <c r="N18" s="3182">
        <f t="shared" ca="1" si="6"/>
        <v>238.98</v>
      </c>
      <c r="O18" s="3182">
        <f t="shared" si="1"/>
        <v>82.59</v>
      </c>
      <c r="P18" s="3182">
        <f t="shared" si="7"/>
        <v>4.58</v>
      </c>
      <c r="Q18" s="3182">
        <f t="shared" ca="1" si="8"/>
        <v>1.65</v>
      </c>
      <c r="R18" s="3182">
        <f t="shared" ca="1" si="9"/>
        <v>36.840000000000003</v>
      </c>
      <c r="S18" s="3183">
        <f t="shared" ca="1" si="10"/>
        <v>0.15415515942756719</v>
      </c>
      <c r="T18" s="3182">
        <f t="shared" ca="1" si="11"/>
        <v>0.14000000000000001</v>
      </c>
      <c r="U18" s="3182">
        <f t="shared" ca="1" si="12"/>
        <v>271.38</v>
      </c>
    </row>
    <row r="19" spans="1:21">
      <c r="A19" s="3182">
        <v>17</v>
      </c>
      <c r="B19" s="3184" t="s">
        <v>3392</v>
      </c>
      <c r="C19" s="3184" t="s">
        <v>3577</v>
      </c>
      <c r="D19" s="3182">
        <v>2</v>
      </c>
      <c r="E19" s="3182">
        <v>5</v>
      </c>
      <c r="F19" s="3531">
        <v>58.29</v>
      </c>
      <c r="G19" s="1428">
        <f ca="1">典型户型修正!R40</f>
        <v>44385</v>
      </c>
      <c r="H19" s="3182">
        <f t="shared" ca="1" si="0"/>
        <v>258.72000000000003</v>
      </c>
      <c r="I19" s="3182">
        <v>134.144419</v>
      </c>
      <c r="J19" s="3181">
        <v>10</v>
      </c>
      <c r="K19" s="3181">
        <f t="shared" ca="1" si="3"/>
        <v>112.26</v>
      </c>
      <c r="L19" s="3182">
        <f t="shared" ca="1" si="4"/>
        <v>6.29</v>
      </c>
      <c r="M19" s="3182">
        <f t="shared" ca="1" si="5"/>
        <v>11.89</v>
      </c>
      <c r="N19" s="3182">
        <f t="shared" ca="1" si="6"/>
        <v>206.78</v>
      </c>
      <c r="O19" s="3182">
        <f t="shared" si="1"/>
        <v>67.069999999999993</v>
      </c>
      <c r="P19" s="3182">
        <f t="shared" si="7"/>
        <v>4.09</v>
      </c>
      <c r="Q19" s="3182">
        <f t="shared" ca="1" si="8"/>
        <v>1.48</v>
      </c>
      <c r="R19" s="3182">
        <f t="shared" ca="1" si="9"/>
        <v>39.619999999999997</v>
      </c>
      <c r="S19" s="3183">
        <f t="shared" ca="1" si="10"/>
        <v>0.19160460392687881</v>
      </c>
      <c r="T19" s="3182">
        <f t="shared" ca="1" si="11"/>
        <v>0.13</v>
      </c>
      <c r="U19" s="3182">
        <f t="shared" ca="1" si="12"/>
        <v>240.41000000000003</v>
      </c>
    </row>
    <row r="20" spans="1:21">
      <c r="A20" s="3182">
        <v>18</v>
      </c>
      <c r="B20" s="3184" t="s">
        <v>3393</v>
      </c>
      <c r="C20" s="3184" t="s">
        <v>3578</v>
      </c>
      <c r="D20" s="3182">
        <v>2</v>
      </c>
      <c r="E20" s="3182">
        <v>5</v>
      </c>
      <c r="F20" s="3531">
        <v>79.25</v>
      </c>
      <c r="G20" s="1428">
        <f ca="1">典型户型修正!R41</f>
        <v>44385</v>
      </c>
      <c r="H20" s="3182">
        <f t="shared" ca="1" si="0"/>
        <v>351.75</v>
      </c>
      <c r="I20" s="3182">
        <v>182.380349</v>
      </c>
      <c r="J20" s="3181">
        <v>9</v>
      </c>
      <c r="K20" s="3181">
        <f t="shared" ca="1" si="3"/>
        <v>152.62</v>
      </c>
      <c r="L20" s="3182">
        <f t="shared" ca="1" si="4"/>
        <v>8.5500000000000007</v>
      </c>
      <c r="M20" s="3182">
        <f t="shared" ca="1" si="5"/>
        <v>18.89</v>
      </c>
      <c r="N20" s="3182">
        <f t="shared" ca="1" si="6"/>
        <v>272.02</v>
      </c>
      <c r="O20" s="3182">
        <f t="shared" si="1"/>
        <v>82.07</v>
      </c>
      <c r="P20" s="3182">
        <f t="shared" si="7"/>
        <v>5.56</v>
      </c>
      <c r="Q20" s="3182">
        <f t="shared" ca="1" si="8"/>
        <v>2.0099999999999998</v>
      </c>
      <c r="R20" s="3182">
        <f t="shared" ca="1" si="9"/>
        <v>62.98</v>
      </c>
      <c r="S20" s="3183">
        <f t="shared" ca="1" si="10"/>
        <v>0.23152709359605911</v>
      </c>
      <c r="T20" s="3182">
        <f t="shared" ca="1" si="11"/>
        <v>0.18</v>
      </c>
      <c r="U20" s="3182">
        <f t="shared" ca="1" si="12"/>
        <v>324.13</v>
      </c>
    </row>
    <row r="21" spans="1:21">
      <c r="A21" s="3182">
        <v>19</v>
      </c>
      <c r="B21" s="3184" t="s">
        <v>3394</v>
      </c>
      <c r="C21" s="3184" t="s">
        <v>3579</v>
      </c>
      <c r="D21" s="3182">
        <v>2</v>
      </c>
      <c r="E21" s="3182">
        <v>5</v>
      </c>
      <c r="F21" s="3531">
        <v>85.19</v>
      </c>
      <c r="G21" s="1428">
        <f ca="1">典型户型修正!R42</f>
        <v>44385</v>
      </c>
      <c r="H21" s="3182">
        <f t="shared" ca="1" si="0"/>
        <v>378.12</v>
      </c>
      <c r="I21" s="3182">
        <v>196.05019999999999</v>
      </c>
      <c r="J21" s="3181">
        <v>9</v>
      </c>
      <c r="K21" s="3181">
        <f t="shared" ca="1" si="3"/>
        <v>164.06</v>
      </c>
      <c r="L21" s="3182">
        <f t="shared" ca="1" si="4"/>
        <v>9.19</v>
      </c>
      <c r="M21" s="3182">
        <f t="shared" ca="1" si="5"/>
        <v>20.309999999999999</v>
      </c>
      <c r="N21" s="3182">
        <f t="shared" ca="1" si="6"/>
        <v>292.41000000000003</v>
      </c>
      <c r="O21" s="3182">
        <f t="shared" si="1"/>
        <v>88.22</v>
      </c>
      <c r="P21" s="3182">
        <f t="shared" si="7"/>
        <v>5.98</v>
      </c>
      <c r="Q21" s="3182">
        <f t="shared" ca="1" si="8"/>
        <v>2.16</v>
      </c>
      <c r="R21" s="3182">
        <f t="shared" ca="1" si="9"/>
        <v>67.7</v>
      </c>
      <c r="S21" s="3183">
        <f t="shared" ca="1" si="10"/>
        <v>0.2315242296775076</v>
      </c>
      <c r="T21" s="3182">
        <f t="shared" ca="1" si="11"/>
        <v>0.19</v>
      </c>
      <c r="U21" s="3182">
        <f t="shared" ca="1" si="12"/>
        <v>348.43</v>
      </c>
    </row>
    <row r="22" spans="1:21">
      <c r="A22" s="3182">
        <v>20</v>
      </c>
      <c r="B22" s="3184" t="s">
        <v>3395</v>
      </c>
      <c r="C22" s="3184" t="s">
        <v>3580</v>
      </c>
      <c r="D22" s="3182">
        <v>2</v>
      </c>
      <c r="E22" s="3182">
        <v>5</v>
      </c>
      <c r="F22" s="3531">
        <v>112.41</v>
      </c>
      <c r="G22" s="1428">
        <f ca="1">典型户型修正!R43</f>
        <v>43515</v>
      </c>
      <c r="H22" s="3182">
        <f t="shared" ca="1" si="0"/>
        <v>489.15</v>
      </c>
      <c r="I22" s="3182">
        <v>258.692431</v>
      </c>
      <c r="J22" s="3181">
        <v>11</v>
      </c>
      <c r="K22" s="3181">
        <f t="shared" ca="1" si="3"/>
        <v>207.16</v>
      </c>
      <c r="L22" s="3182">
        <f t="shared" ca="1" si="4"/>
        <v>11.6</v>
      </c>
      <c r="M22" s="3182">
        <f t="shared" ca="1" si="5"/>
        <v>16.260000000000002</v>
      </c>
      <c r="N22" s="3182">
        <f t="shared" ca="1" si="6"/>
        <v>411.66</v>
      </c>
      <c r="O22" s="3182">
        <f t="shared" si="1"/>
        <v>142.28</v>
      </c>
      <c r="P22" s="3182">
        <f t="shared" si="7"/>
        <v>7.89</v>
      </c>
      <c r="Q22" s="3182">
        <f t="shared" ca="1" si="8"/>
        <v>2.8</v>
      </c>
      <c r="R22" s="3182">
        <f t="shared" ca="1" si="9"/>
        <v>54.2</v>
      </c>
      <c r="S22" s="3183">
        <f t="shared" ca="1" si="10"/>
        <v>0.13166205120730701</v>
      </c>
      <c r="T22" s="3182">
        <f t="shared" ca="1" si="11"/>
        <v>0.24</v>
      </c>
      <c r="U22" s="3182">
        <f t="shared" ca="1" si="12"/>
        <v>461.04999999999995</v>
      </c>
    </row>
    <row r="23" spans="1:21">
      <c r="A23" s="3182">
        <v>21</v>
      </c>
      <c r="B23" s="3184" t="s">
        <v>3396</v>
      </c>
      <c r="C23" s="3184" t="s">
        <v>3581</v>
      </c>
      <c r="D23" s="3182">
        <v>2</v>
      </c>
      <c r="E23" s="3182">
        <v>5</v>
      </c>
      <c r="F23" s="3531">
        <v>64.739999999999995</v>
      </c>
      <c r="G23" s="1428">
        <f ca="1">典型户型修正!R44</f>
        <v>44385</v>
      </c>
      <c r="H23" s="3182">
        <f t="shared" ca="1" si="0"/>
        <v>287.35000000000002</v>
      </c>
      <c r="I23" s="3182">
        <v>148.988058</v>
      </c>
      <c r="J23" s="3181">
        <v>11</v>
      </c>
      <c r="K23" s="3181">
        <f t="shared" ca="1" si="3"/>
        <v>124.68</v>
      </c>
      <c r="L23" s="3182">
        <f t="shared" ca="1" si="4"/>
        <v>6.98</v>
      </c>
      <c r="M23" s="3182">
        <f t="shared" ca="1" si="5"/>
        <v>10.97</v>
      </c>
      <c r="N23" s="3182">
        <f t="shared" ca="1" si="6"/>
        <v>237.11</v>
      </c>
      <c r="O23" s="3182">
        <f t="shared" si="1"/>
        <v>81.94</v>
      </c>
      <c r="P23" s="3182">
        <f t="shared" si="7"/>
        <v>4.54</v>
      </c>
      <c r="Q23" s="3182">
        <f t="shared" ca="1" si="8"/>
        <v>1.64</v>
      </c>
      <c r="R23" s="3182">
        <f t="shared" ca="1" si="9"/>
        <v>36.56</v>
      </c>
      <c r="S23" s="3183">
        <f t="shared" ca="1" si="10"/>
        <v>0.15419003837881151</v>
      </c>
      <c r="T23" s="3182">
        <f t="shared" ca="1" si="11"/>
        <v>0.14000000000000001</v>
      </c>
      <c r="U23" s="3182">
        <f t="shared" ca="1" si="12"/>
        <v>269.26</v>
      </c>
    </row>
    <row r="24" spans="1:21">
      <c r="A24" s="3182">
        <v>22</v>
      </c>
      <c r="B24" s="3184" t="s">
        <v>3397</v>
      </c>
      <c r="C24" s="3184" t="s">
        <v>3582</v>
      </c>
      <c r="D24" s="3182">
        <v>2</v>
      </c>
      <c r="E24" s="3182">
        <v>5</v>
      </c>
      <c r="F24" s="3531">
        <v>62.76</v>
      </c>
      <c r="G24" s="1428">
        <f ca="1">典型户型修正!R45</f>
        <v>44385</v>
      </c>
      <c r="H24" s="3182">
        <f t="shared" ca="1" si="0"/>
        <v>278.56</v>
      </c>
      <c r="I24" s="3182">
        <v>144.43144099999998</v>
      </c>
      <c r="J24" s="3181">
        <v>11</v>
      </c>
      <c r="K24" s="3181">
        <f t="shared" ca="1" si="3"/>
        <v>120.86</v>
      </c>
      <c r="L24" s="3182">
        <f t="shared" ca="1" si="4"/>
        <v>6.77</v>
      </c>
      <c r="M24" s="3182">
        <f t="shared" ca="1" si="5"/>
        <v>10.63</v>
      </c>
      <c r="N24" s="3182">
        <f t="shared" ca="1" si="6"/>
        <v>229.87</v>
      </c>
      <c r="O24" s="3182">
        <f t="shared" si="1"/>
        <v>79.44</v>
      </c>
      <c r="P24" s="3182">
        <f t="shared" si="7"/>
        <v>4.41</v>
      </c>
      <c r="Q24" s="3182">
        <f t="shared" ca="1" si="8"/>
        <v>1.59</v>
      </c>
      <c r="R24" s="3182">
        <f t="shared" ca="1" si="9"/>
        <v>35.43</v>
      </c>
      <c r="S24" s="3183">
        <f t="shared" ca="1" si="10"/>
        <v>0.15413059555400879</v>
      </c>
      <c r="T24" s="3182">
        <f t="shared" ca="1" si="11"/>
        <v>0.14000000000000001</v>
      </c>
      <c r="U24" s="3182">
        <f t="shared" ca="1" si="12"/>
        <v>261.02000000000004</v>
      </c>
    </row>
    <row r="25" spans="1:21">
      <c r="A25" s="3182">
        <v>23</v>
      </c>
      <c r="B25" s="3184" t="s">
        <v>3398</v>
      </c>
      <c r="C25" s="3184" t="s">
        <v>3583</v>
      </c>
      <c r="D25" s="3182">
        <v>2</v>
      </c>
      <c r="E25" s="3182">
        <v>5</v>
      </c>
      <c r="F25" s="3531">
        <v>60.49</v>
      </c>
      <c r="G25" s="1428">
        <f ca="1">典型户型修正!R46</f>
        <v>44385</v>
      </c>
      <c r="H25" s="3182">
        <f t="shared" ca="1" si="0"/>
        <v>268.48</v>
      </c>
      <c r="I25" s="3182">
        <v>139.20738400000002</v>
      </c>
      <c r="J25" s="3181">
        <v>11</v>
      </c>
      <c r="K25" s="3181">
        <f t="shared" ca="1" si="3"/>
        <v>116.49</v>
      </c>
      <c r="L25" s="3182">
        <f t="shared" ca="1" si="4"/>
        <v>6.52</v>
      </c>
      <c r="M25" s="3182">
        <f t="shared" ca="1" si="5"/>
        <v>10.25</v>
      </c>
      <c r="N25" s="3182">
        <f t="shared" ca="1" si="6"/>
        <v>221.55</v>
      </c>
      <c r="O25" s="3182">
        <f t="shared" si="1"/>
        <v>76.56</v>
      </c>
      <c r="P25" s="3182">
        <f t="shared" si="7"/>
        <v>4.25</v>
      </c>
      <c r="Q25" s="3182">
        <f t="shared" ca="1" si="8"/>
        <v>1.53</v>
      </c>
      <c r="R25" s="3182">
        <f t="shared" ca="1" si="9"/>
        <v>34.15</v>
      </c>
      <c r="S25" s="3183">
        <f t="shared" ca="1" si="10"/>
        <v>0.15414127736402616</v>
      </c>
      <c r="T25" s="3182">
        <f t="shared" ca="1" si="11"/>
        <v>0.13</v>
      </c>
      <c r="U25" s="3182">
        <f t="shared" ca="1" si="12"/>
        <v>251.58000000000004</v>
      </c>
    </row>
    <row r="26" spans="1:21">
      <c r="A26" s="3182">
        <v>24</v>
      </c>
      <c r="B26" s="3184" t="s">
        <v>3399</v>
      </c>
      <c r="C26" s="3184" t="s">
        <v>3584</v>
      </c>
      <c r="D26" s="3182">
        <v>2</v>
      </c>
      <c r="E26" s="3182">
        <v>5</v>
      </c>
      <c r="F26" s="3531">
        <v>68.3</v>
      </c>
      <c r="G26" s="1428">
        <f ca="1">典型户型修正!R47</f>
        <v>44385</v>
      </c>
      <c r="H26" s="3182">
        <f t="shared" ca="1" si="0"/>
        <v>303.14999999999998</v>
      </c>
      <c r="I26" s="3182">
        <v>157.180781</v>
      </c>
      <c r="J26" s="3181">
        <v>11</v>
      </c>
      <c r="K26" s="3181">
        <f t="shared" ca="1" si="3"/>
        <v>131.53</v>
      </c>
      <c r="L26" s="3182">
        <f t="shared" ca="1" si="4"/>
        <v>7.37</v>
      </c>
      <c r="M26" s="3182">
        <f t="shared" ca="1" si="5"/>
        <v>11.57</v>
      </c>
      <c r="N26" s="3182">
        <f t="shared" ca="1" si="6"/>
        <v>250.15</v>
      </c>
      <c r="O26" s="3182">
        <f t="shared" si="1"/>
        <v>86.45</v>
      </c>
      <c r="P26" s="3182">
        <f t="shared" si="7"/>
        <v>4.79</v>
      </c>
      <c r="Q26" s="3182">
        <f t="shared" ca="1" si="8"/>
        <v>1.73</v>
      </c>
      <c r="R26" s="3182">
        <f t="shared" ca="1" si="9"/>
        <v>38.56</v>
      </c>
      <c r="S26" s="3183">
        <f t="shared" ca="1" si="10"/>
        <v>0.15414751149310416</v>
      </c>
      <c r="T26" s="3182">
        <f t="shared" ca="1" si="11"/>
        <v>0.15</v>
      </c>
      <c r="U26" s="3182">
        <f t="shared" ca="1" si="12"/>
        <v>284.06</v>
      </c>
    </row>
    <row r="27" spans="1:21">
      <c r="A27" s="3182">
        <v>25</v>
      </c>
      <c r="B27" s="3184" t="s">
        <v>3400</v>
      </c>
      <c r="C27" s="3184" t="s">
        <v>3585</v>
      </c>
      <c r="D27" s="3182">
        <v>2</v>
      </c>
      <c r="E27" s="3182">
        <v>5</v>
      </c>
      <c r="F27" s="3531">
        <v>64.61</v>
      </c>
      <c r="G27" s="1428">
        <f ca="1">典型户型修正!R48</f>
        <v>44385</v>
      </c>
      <c r="H27" s="3182">
        <f t="shared" ca="1" si="0"/>
        <v>286.77</v>
      </c>
      <c r="I27" s="3182">
        <v>148.68884299999999</v>
      </c>
      <c r="J27" s="3181">
        <v>11</v>
      </c>
      <c r="K27" s="3181">
        <f t="shared" ca="1" si="3"/>
        <v>124.43</v>
      </c>
      <c r="L27" s="3182">
        <f t="shared" ca="1" si="4"/>
        <v>6.97</v>
      </c>
      <c r="M27" s="3182">
        <f t="shared" ca="1" si="5"/>
        <v>10.94</v>
      </c>
      <c r="N27" s="3182">
        <f t="shared" ca="1" si="6"/>
        <v>236.65</v>
      </c>
      <c r="O27" s="3182">
        <f t="shared" si="1"/>
        <v>81.78</v>
      </c>
      <c r="P27" s="3182">
        <f t="shared" si="7"/>
        <v>4.54</v>
      </c>
      <c r="Q27" s="3182">
        <f t="shared" ca="1" si="8"/>
        <v>1.64</v>
      </c>
      <c r="R27" s="3182">
        <f t="shared" ca="1" si="9"/>
        <v>36.46</v>
      </c>
      <c r="S27" s="3183">
        <f t="shared" ca="1" si="10"/>
        <v>0.15406718783012888</v>
      </c>
      <c r="T27" s="3182">
        <f t="shared" ca="1" si="11"/>
        <v>0.14000000000000001</v>
      </c>
      <c r="U27" s="3182">
        <f t="shared" ca="1" si="12"/>
        <v>268.71999999999997</v>
      </c>
    </row>
    <row r="28" spans="1:21">
      <c r="A28" s="3182">
        <v>26</v>
      </c>
      <c r="B28" s="3184" t="s">
        <v>3401</v>
      </c>
      <c r="C28" s="3184" t="s">
        <v>3586</v>
      </c>
      <c r="D28" s="3182">
        <v>2</v>
      </c>
      <c r="E28" s="3182">
        <v>5</v>
      </c>
      <c r="F28" s="3531">
        <v>57.44</v>
      </c>
      <c r="G28" s="1428">
        <f ca="1">典型户型修正!R49</f>
        <v>44385</v>
      </c>
      <c r="H28" s="3182">
        <f t="shared" ca="1" si="0"/>
        <v>254.95</v>
      </c>
      <c r="I28" s="3182">
        <v>132.188346</v>
      </c>
      <c r="J28" s="3181">
        <v>11</v>
      </c>
      <c r="K28" s="3181">
        <f t="shared" ca="1" si="3"/>
        <v>110.62</v>
      </c>
      <c r="L28" s="3182">
        <f t="shared" ca="1" si="4"/>
        <v>6.19</v>
      </c>
      <c r="M28" s="3182">
        <f t="shared" ca="1" si="5"/>
        <v>9.73</v>
      </c>
      <c r="N28" s="3182">
        <f t="shared" ca="1" si="6"/>
        <v>210.38</v>
      </c>
      <c r="O28" s="3182">
        <f t="shared" si="1"/>
        <v>72.7</v>
      </c>
      <c r="P28" s="3182">
        <f t="shared" si="7"/>
        <v>4.03</v>
      </c>
      <c r="Q28" s="3182">
        <f t="shared" ca="1" si="8"/>
        <v>1.46</v>
      </c>
      <c r="R28" s="3182">
        <f t="shared" ca="1" si="9"/>
        <v>32.43</v>
      </c>
      <c r="S28" s="3183">
        <f t="shared" ca="1" si="10"/>
        <v>0.15414963399562695</v>
      </c>
      <c r="T28" s="3182">
        <f t="shared" ca="1" si="11"/>
        <v>0.13</v>
      </c>
      <c r="U28" s="3182">
        <f t="shared" ca="1" si="12"/>
        <v>238.9</v>
      </c>
    </row>
    <row r="29" spans="1:21">
      <c r="A29" s="3182">
        <v>27</v>
      </c>
      <c r="B29" s="3184" t="s">
        <v>3402</v>
      </c>
      <c r="C29" s="3184" t="s">
        <v>3587</v>
      </c>
      <c r="D29" s="3182">
        <v>2</v>
      </c>
      <c r="E29" s="3182">
        <v>5</v>
      </c>
      <c r="F29" s="3531">
        <v>72.5</v>
      </c>
      <c r="G29" s="1428">
        <f ca="1">典型户型修正!R50</f>
        <v>44385</v>
      </c>
      <c r="H29" s="3182">
        <f t="shared" ca="1" si="0"/>
        <v>321.79000000000002</v>
      </c>
      <c r="I29" s="3182">
        <v>166.84640400000001</v>
      </c>
      <c r="J29" s="3181">
        <v>9</v>
      </c>
      <c r="K29" s="3181">
        <f t="shared" ca="1" si="3"/>
        <v>139.62</v>
      </c>
      <c r="L29" s="3182">
        <f t="shared" ca="1" si="4"/>
        <v>7.82</v>
      </c>
      <c r="M29" s="3182">
        <f t="shared" ca="1" si="5"/>
        <v>17.28</v>
      </c>
      <c r="N29" s="3182">
        <f t="shared" ca="1" si="6"/>
        <v>248.86</v>
      </c>
      <c r="O29" s="3182">
        <f t="shared" si="1"/>
        <v>75.08</v>
      </c>
      <c r="P29" s="3182">
        <f t="shared" si="7"/>
        <v>5.09</v>
      </c>
      <c r="Q29" s="3182">
        <f t="shared" ca="1" si="8"/>
        <v>1.84</v>
      </c>
      <c r="R29" s="3182">
        <f t="shared" ca="1" si="9"/>
        <v>57.61</v>
      </c>
      <c r="S29" s="3183">
        <f t="shared" ca="1" si="10"/>
        <v>0.23149562002732457</v>
      </c>
      <c r="T29" s="3182">
        <f t="shared" ca="1" si="11"/>
        <v>0.16</v>
      </c>
      <c r="U29" s="3182">
        <f t="shared" ca="1" si="12"/>
        <v>296.53000000000003</v>
      </c>
    </row>
    <row r="30" spans="1:21">
      <c r="A30" s="3182">
        <v>28</v>
      </c>
      <c r="B30" s="3184" t="s">
        <v>3403</v>
      </c>
      <c r="C30" s="3184" t="s">
        <v>3588</v>
      </c>
      <c r="D30" s="3182">
        <v>2</v>
      </c>
      <c r="E30" s="3182">
        <v>5</v>
      </c>
      <c r="F30" s="3531">
        <v>76.900000000000006</v>
      </c>
      <c r="G30" s="1428">
        <f ca="1">典型户型修正!R51</f>
        <v>44385</v>
      </c>
      <c r="H30" s="3182">
        <f t="shared" ca="1" si="0"/>
        <v>341.32</v>
      </c>
      <c r="I30" s="3182">
        <v>176.97223099999999</v>
      </c>
      <c r="J30" s="3181">
        <v>9</v>
      </c>
      <c r="K30" s="3181">
        <f t="shared" ca="1" si="3"/>
        <v>148.09</v>
      </c>
      <c r="L30" s="3182">
        <f t="shared" ca="1" si="4"/>
        <v>8.2899999999999991</v>
      </c>
      <c r="M30" s="3182">
        <f t="shared" ca="1" si="5"/>
        <v>18.329999999999998</v>
      </c>
      <c r="N30" s="3182">
        <f t="shared" ca="1" si="6"/>
        <v>263.95999999999998</v>
      </c>
      <c r="O30" s="3182">
        <f t="shared" si="1"/>
        <v>79.64</v>
      </c>
      <c r="P30" s="3182">
        <f t="shared" si="7"/>
        <v>5.4</v>
      </c>
      <c r="Q30" s="3182">
        <f t="shared" ca="1" si="8"/>
        <v>1.95</v>
      </c>
      <c r="R30" s="3182">
        <f t="shared" ca="1" si="9"/>
        <v>61.11</v>
      </c>
      <c r="S30" s="3183">
        <f t="shared" ca="1" si="10"/>
        <v>0.23151235035611459</v>
      </c>
      <c r="T30" s="3182">
        <f t="shared" ca="1" si="11"/>
        <v>0.17</v>
      </c>
      <c r="U30" s="3182">
        <f t="shared" ca="1" si="12"/>
        <v>314.52999999999997</v>
      </c>
    </row>
    <row r="31" spans="1:21">
      <c r="A31" s="3182">
        <v>29</v>
      </c>
      <c r="B31" s="3184" t="s">
        <v>3404</v>
      </c>
      <c r="C31" s="3184" t="s">
        <v>3589</v>
      </c>
      <c r="D31" s="3182">
        <v>2</v>
      </c>
      <c r="E31" s="3182">
        <v>5</v>
      </c>
      <c r="F31" s="3531">
        <v>54.44</v>
      </c>
      <c r="G31" s="1428">
        <f ca="1">典型户型修正!R52</f>
        <v>44385</v>
      </c>
      <c r="H31" s="3182">
        <f t="shared" ca="1" si="0"/>
        <v>241.63</v>
      </c>
      <c r="I31" s="3182">
        <v>125.28435900000001</v>
      </c>
      <c r="J31" s="3181">
        <v>9</v>
      </c>
      <c r="K31" s="3181">
        <f t="shared" ca="1" si="3"/>
        <v>104.84</v>
      </c>
      <c r="L31" s="3182">
        <f t="shared" ca="1" si="4"/>
        <v>5.87</v>
      </c>
      <c r="M31" s="3182">
        <f t="shared" ca="1" si="5"/>
        <v>12.98</v>
      </c>
      <c r="N31" s="3182">
        <f t="shared" ca="1" si="6"/>
        <v>186.86</v>
      </c>
      <c r="O31" s="3182">
        <f t="shared" si="1"/>
        <v>56.38</v>
      </c>
      <c r="P31" s="3182">
        <f t="shared" si="7"/>
        <v>3.82</v>
      </c>
      <c r="Q31" s="3182">
        <f t="shared" ca="1" si="8"/>
        <v>1.38</v>
      </c>
      <c r="R31" s="3182">
        <f t="shared" ca="1" si="9"/>
        <v>43.26</v>
      </c>
      <c r="S31" s="3183">
        <f t="shared" ca="1" si="10"/>
        <v>0.23151022155624529</v>
      </c>
      <c r="T31" s="3182">
        <f t="shared" ca="1" si="11"/>
        <v>0.12</v>
      </c>
      <c r="U31" s="3182">
        <f t="shared" ca="1" si="12"/>
        <v>222.66</v>
      </c>
    </row>
    <row r="32" spans="1:21">
      <c r="A32" s="3182">
        <v>30</v>
      </c>
      <c r="B32" s="3184" t="s">
        <v>3405</v>
      </c>
      <c r="C32" s="3184" t="s">
        <v>3590</v>
      </c>
      <c r="D32" s="3182">
        <v>2</v>
      </c>
      <c r="E32" s="3182">
        <v>5</v>
      </c>
      <c r="F32" s="3531">
        <v>114.34</v>
      </c>
      <c r="G32" s="1428">
        <f ca="1">典型户型修正!R53</f>
        <v>43515</v>
      </c>
      <c r="H32" s="3182">
        <f t="shared" ca="1" si="0"/>
        <v>497.55</v>
      </c>
      <c r="I32" s="3182">
        <v>263.13399700000002</v>
      </c>
      <c r="J32" s="3181">
        <v>9</v>
      </c>
      <c r="K32" s="3181">
        <f t="shared" ca="1" si="3"/>
        <v>210.72</v>
      </c>
      <c r="L32" s="3182">
        <f t="shared" ca="1" si="4"/>
        <v>11.8</v>
      </c>
      <c r="M32" s="3182">
        <f t="shared" ca="1" si="5"/>
        <v>24.44</v>
      </c>
      <c r="N32" s="3182">
        <f t="shared" ca="1" si="6"/>
        <v>392.41</v>
      </c>
      <c r="O32" s="3182">
        <f t="shared" si="1"/>
        <v>118.41</v>
      </c>
      <c r="P32" s="3182">
        <f t="shared" si="7"/>
        <v>8.0299999999999994</v>
      </c>
      <c r="Q32" s="3182">
        <f t="shared" ca="1" si="8"/>
        <v>2.84</v>
      </c>
      <c r="R32" s="3182">
        <f t="shared" ca="1" si="9"/>
        <v>81.45</v>
      </c>
      <c r="S32" s="3183">
        <f t="shared" ca="1" si="10"/>
        <v>0.20756351774929283</v>
      </c>
      <c r="T32" s="3182">
        <f t="shared" ca="1" si="11"/>
        <v>0.25</v>
      </c>
      <c r="U32" s="3182">
        <f t="shared" ca="1" si="12"/>
        <v>461.06</v>
      </c>
    </row>
    <row r="33" spans="1:21">
      <c r="A33" s="3182">
        <v>31</v>
      </c>
      <c r="B33" s="3184" t="s">
        <v>3406</v>
      </c>
      <c r="C33" s="3184" t="s">
        <v>3591</v>
      </c>
      <c r="D33" s="3182">
        <v>3</v>
      </c>
      <c r="E33" s="3182">
        <v>5</v>
      </c>
      <c r="F33" s="3531">
        <v>75.69</v>
      </c>
      <c r="G33" s="1428">
        <f ca="1">典型户型修正!R54</f>
        <v>36988</v>
      </c>
      <c r="H33" s="3182">
        <f t="shared" ca="1" si="0"/>
        <v>279.95999999999998</v>
      </c>
      <c r="I33" s="3182">
        <v>157.09086200000002</v>
      </c>
      <c r="J33" s="3181">
        <v>10</v>
      </c>
      <c r="K33" s="3181">
        <f t="shared" ca="1" si="3"/>
        <v>109.54</v>
      </c>
      <c r="L33" s="3182">
        <f t="shared" ca="1" si="4"/>
        <v>6.13</v>
      </c>
      <c r="M33" s="3182">
        <f t="shared" ca="1" si="5"/>
        <v>7.38</v>
      </c>
      <c r="N33" s="3182">
        <f t="shared" ca="1" si="6"/>
        <v>242.03</v>
      </c>
      <c r="O33" s="3182">
        <f t="shared" si="1"/>
        <v>78.55</v>
      </c>
      <c r="P33" s="3182">
        <f t="shared" si="7"/>
        <v>4.79</v>
      </c>
      <c r="Q33" s="3182">
        <f t="shared" ca="1" si="8"/>
        <v>1.6</v>
      </c>
      <c r="R33" s="3182">
        <f t="shared" ca="1" si="9"/>
        <v>24.6</v>
      </c>
      <c r="S33" s="3183">
        <f t="shared" ca="1" si="10"/>
        <v>0.10164029252571996</v>
      </c>
      <c r="T33" s="3182">
        <f t="shared" ca="1" si="11"/>
        <v>0.14000000000000001</v>
      </c>
      <c r="U33" s="3182">
        <f t="shared" ca="1" si="12"/>
        <v>266.31</v>
      </c>
    </row>
    <row r="34" spans="1:21">
      <c r="A34" s="3182">
        <v>32</v>
      </c>
      <c r="B34" s="3184" t="s">
        <v>3407</v>
      </c>
      <c r="C34" s="3184" t="s">
        <v>3592</v>
      </c>
      <c r="D34" s="3182">
        <v>3</v>
      </c>
      <c r="E34" s="3182">
        <v>5</v>
      </c>
      <c r="F34" s="3531">
        <v>67.33</v>
      </c>
      <c r="G34" s="1428">
        <f ca="1">典型户型修正!R55</f>
        <v>36988</v>
      </c>
      <c r="H34" s="3182">
        <f t="shared" ca="1" si="0"/>
        <v>249.04</v>
      </c>
      <c r="I34" s="3182">
        <v>139.74010000000001</v>
      </c>
      <c r="J34" s="3181">
        <v>10</v>
      </c>
      <c r="K34" s="3181">
        <f t="shared" ca="1" si="3"/>
        <v>97.44</v>
      </c>
      <c r="L34" s="3182">
        <f t="shared" ca="1" si="4"/>
        <v>5.46</v>
      </c>
      <c r="M34" s="3182">
        <f t="shared" ca="1" si="5"/>
        <v>6.57</v>
      </c>
      <c r="N34" s="3182">
        <f t="shared" ca="1" si="6"/>
        <v>215.29</v>
      </c>
      <c r="O34" s="3182">
        <f t="shared" si="1"/>
        <v>69.87</v>
      </c>
      <c r="P34" s="3182">
        <f t="shared" si="7"/>
        <v>4.26</v>
      </c>
      <c r="Q34" s="3182">
        <f t="shared" ca="1" si="8"/>
        <v>1.42</v>
      </c>
      <c r="R34" s="3182">
        <f t="shared" ca="1" si="9"/>
        <v>21.89</v>
      </c>
      <c r="S34" s="3183">
        <f t="shared" ca="1" si="10"/>
        <v>0.10167680802638303</v>
      </c>
      <c r="T34" s="3182">
        <f t="shared" ca="1" si="11"/>
        <v>0.12</v>
      </c>
      <c r="U34" s="3182">
        <f t="shared" ca="1" si="12"/>
        <v>236.89</v>
      </c>
    </row>
    <row r="35" spans="1:21">
      <c r="A35" s="3182">
        <v>33</v>
      </c>
      <c r="B35" s="3184" t="s">
        <v>3408</v>
      </c>
      <c r="C35" s="3184" t="s">
        <v>3593</v>
      </c>
      <c r="D35" s="3182">
        <v>3</v>
      </c>
      <c r="E35" s="3182">
        <v>5</v>
      </c>
      <c r="F35" s="3531">
        <v>93.6</v>
      </c>
      <c r="G35" s="1428">
        <f ca="1">典型户型修正!R56</f>
        <v>36988</v>
      </c>
      <c r="H35" s="3182">
        <f t="shared" ca="1" si="0"/>
        <v>346.21</v>
      </c>
      <c r="I35" s="3182">
        <v>194.26211999999998</v>
      </c>
      <c r="J35" s="3181">
        <v>10</v>
      </c>
      <c r="K35" s="3181">
        <f t="shared" ca="1" si="3"/>
        <v>135.46</v>
      </c>
      <c r="L35" s="3182">
        <f t="shared" ca="1" si="4"/>
        <v>7.59</v>
      </c>
      <c r="M35" s="3182">
        <f t="shared" ca="1" si="5"/>
        <v>9.1300000000000008</v>
      </c>
      <c r="N35" s="3182">
        <f t="shared" ca="1" si="6"/>
        <v>299.29000000000002</v>
      </c>
      <c r="O35" s="3182">
        <f t="shared" ref="O35:O66" si="13">ROUND(I35*J35*5%,2)</f>
        <v>97.13</v>
      </c>
      <c r="P35" s="3182">
        <f t="shared" si="7"/>
        <v>5.92</v>
      </c>
      <c r="Q35" s="3182">
        <f t="shared" ca="1" si="8"/>
        <v>1.98</v>
      </c>
      <c r="R35" s="3182">
        <f t="shared" ca="1" si="9"/>
        <v>30.43</v>
      </c>
      <c r="S35" s="3183">
        <f t="shared" ca="1" si="10"/>
        <v>0.10167396170937885</v>
      </c>
      <c r="T35" s="3182">
        <f t="shared" ca="1" si="11"/>
        <v>0.17</v>
      </c>
      <c r="U35" s="3182">
        <f t="shared" ca="1" si="12"/>
        <v>329.32</v>
      </c>
    </row>
    <row r="36" spans="1:21">
      <c r="A36" s="3182">
        <v>34</v>
      </c>
      <c r="B36" s="3184" t="s">
        <v>3409</v>
      </c>
      <c r="C36" s="3184" t="s">
        <v>3594</v>
      </c>
      <c r="D36" s="3182">
        <v>3</v>
      </c>
      <c r="E36" s="3182">
        <v>5</v>
      </c>
      <c r="F36" s="3531">
        <v>39.18</v>
      </c>
      <c r="G36" s="1428">
        <f ca="1">典型户型修正!R57</f>
        <v>37713</v>
      </c>
      <c r="H36" s="3182">
        <f t="shared" ca="1" si="0"/>
        <v>147.76</v>
      </c>
      <c r="I36" s="3182">
        <v>81.316130999999999</v>
      </c>
      <c r="J36" s="3181">
        <v>10</v>
      </c>
      <c r="K36" s="3181">
        <f t="shared" ca="1" si="3"/>
        <v>59.41</v>
      </c>
      <c r="L36" s="3182">
        <f t="shared" ca="1" si="4"/>
        <v>3.33</v>
      </c>
      <c r="M36" s="3182">
        <f t="shared" ca="1" si="5"/>
        <v>4.63</v>
      </c>
      <c r="N36" s="3182">
        <f t="shared" ca="1" si="6"/>
        <v>125.3</v>
      </c>
      <c r="O36" s="3182">
        <f t="shared" si="13"/>
        <v>40.659999999999997</v>
      </c>
      <c r="P36" s="3182">
        <f t="shared" si="7"/>
        <v>2.48</v>
      </c>
      <c r="Q36" s="3182">
        <f t="shared" ca="1" si="8"/>
        <v>0.84</v>
      </c>
      <c r="R36" s="3182">
        <f t="shared" ca="1" si="9"/>
        <v>15.42</v>
      </c>
      <c r="S36" s="3183">
        <f t="shared" ca="1" si="10"/>
        <v>0.12306464485235435</v>
      </c>
      <c r="T36" s="3182">
        <f t="shared" ca="1" si="11"/>
        <v>7.0000000000000007E-2</v>
      </c>
      <c r="U36" s="3182">
        <f t="shared" ca="1" si="12"/>
        <v>139.72999999999999</v>
      </c>
    </row>
    <row r="37" spans="1:21">
      <c r="A37" s="3182">
        <v>35</v>
      </c>
      <c r="B37" s="3184" t="s">
        <v>3410</v>
      </c>
      <c r="C37" s="3184" t="s">
        <v>3595</v>
      </c>
      <c r="D37" s="3182">
        <v>3</v>
      </c>
      <c r="E37" s="3182">
        <v>5</v>
      </c>
      <c r="F37" s="3531">
        <v>34.07</v>
      </c>
      <c r="G37" s="1428">
        <f ca="1">典型户型修正!R58</f>
        <v>37713</v>
      </c>
      <c r="H37" s="3182">
        <f t="shared" ca="1" si="0"/>
        <v>128.49</v>
      </c>
      <c r="I37" s="3182">
        <v>70.710633000000001</v>
      </c>
      <c r="J37" s="3181">
        <v>10</v>
      </c>
      <c r="K37" s="3181">
        <f t="shared" ca="1" si="3"/>
        <v>51.66</v>
      </c>
      <c r="L37" s="3182">
        <f t="shared" ca="1" si="4"/>
        <v>2.89</v>
      </c>
      <c r="M37" s="3182">
        <f t="shared" ca="1" si="5"/>
        <v>4.0199999999999996</v>
      </c>
      <c r="N37" s="3182">
        <f t="shared" ca="1" si="6"/>
        <v>108.96</v>
      </c>
      <c r="O37" s="3182">
        <f t="shared" si="13"/>
        <v>35.36</v>
      </c>
      <c r="P37" s="3182">
        <f t="shared" si="7"/>
        <v>2.16</v>
      </c>
      <c r="Q37" s="3182">
        <f t="shared" ca="1" si="8"/>
        <v>0.73</v>
      </c>
      <c r="R37" s="3182">
        <f t="shared" ca="1" si="9"/>
        <v>13.41</v>
      </c>
      <c r="S37" s="3183">
        <f t="shared" ca="1" si="10"/>
        <v>0.12307268722466962</v>
      </c>
      <c r="T37" s="3182">
        <f t="shared" ca="1" si="11"/>
        <v>0.06</v>
      </c>
      <c r="U37" s="3182">
        <f t="shared" ca="1" si="12"/>
        <v>121.52000000000001</v>
      </c>
    </row>
    <row r="38" spans="1:21">
      <c r="A38" s="3182">
        <v>36</v>
      </c>
      <c r="B38" s="3184" t="s">
        <v>3411</v>
      </c>
      <c r="C38" s="3184" t="s">
        <v>3596</v>
      </c>
      <c r="D38" s="3182">
        <v>3</v>
      </c>
      <c r="E38" s="3182">
        <v>5</v>
      </c>
      <c r="F38" s="3531">
        <v>59.36</v>
      </c>
      <c r="G38" s="1428">
        <f ca="1">典型户型修正!R59</f>
        <v>36988</v>
      </c>
      <c r="H38" s="3182">
        <f t="shared" ca="1" si="0"/>
        <v>219.56</v>
      </c>
      <c r="I38" s="3182">
        <v>123.19871200000001</v>
      </c>
      <c r="J38" s="3181">
        <v>10</v>
      </c>
      <c r="K38" s="3181">
        <f t="shared" ca="1" si="3"/>
        <v>85.91</v>
      </c>
      <c r="L38" s="3182">
        <f t="shared" ca="1" si="4"/>
        <v>4.8099999999999996</v>
      </c>
      <c r="M38" s="3182">
        <f t="shared" ca="1" si="5"/>
        <v>5.79</v>
      </c>
      <c r="N38" s="3182">
        <f t="shared" ca="1" si="6"/>
        <v>189.81</v>
      </c>
      <c r="O38" s="3182">
        <f t="shared" si="13"/>
        <v>61.6</v>
      </c>
      <c r="P38" s="3182">
        <f t="shared" si="7"/>
        <v>3.76</v>
      </c>
      <c r="Q38" s="3182">
        <f t="shared" ca="1" si="8"/>
        <v>1.25</v>
      </c>
      <c r="R38" s="3182">
        <f t="shared" ca="1" si="9"/>
        <v>19.29</v>
      </c>
      <c r="S38" s="3183">
        <f t="shared" ca="1" si="10"/>
        <v>0.10162794373320688</v>
      </c>
      <c r="T38" s="3182">
        <f t="shared" ca="1" si="11"/>
        <v>0.11</v>
      </c>
      <c r="U38" s="3182">
        <f t="shared" ca="1" si="12"/>
        <v>208.85</v>
      </c>
    </row>
    <row r="39" spans="1:21">
      <c r="A39" s="3182">
        <v>37</v>
      </c>
      <c r="B39" s="3184" t="s">
        <v>3412</v>
      </c>
      <c r="C39" s="3184" t="s">
        <v>3597</v>
      </c>
      <c r="D39" s="3182">
        <v>3</v>
      </c>
      <c r="E39" s="3182">
        <v>5</v>
      </c>
      <c r="F39" s="3531">
        <v>57.78</v>
      </c>
      <c r="G39" s="1428">
        <f ca="1">典型户型修正!R60</f>
        <v>36988</v>
      </c>
      <c r="H39" s="3182">
        <f t="shared" ca="1" si="0"/>
        <v>213.72</v>
      </c>
      <c r="I39" s="3182">
        <v>119.919501</v>
      </c>
      <c r="J39" s="3181">
        <v>10</v>
      </c>
      <c r="K39" s="3181">
        <f t="shared" ca="1" si="3"/>
        <v>83.62</v>
      </c>
      <c r="L39" s="3182">
        <f t="shared" ca="1" si="4"/>
        <v>4.68</v>
      </c>
      <c r="M39" s="3182">
        <f t="shared" ca="1" si="5"/>
        <v>5.63</v>
      </c>
      <c r="N39" s="3182">
        <f t="shared" ca="1" si="6"/>
        <v>184.76</v>
      </c>
      <c r="O39" s="3182">
        <f t="shared" si="13"/>
        <v>59.96</v>
      </c>
      <c r="P39" s="3182">
        <f t="shared" si="7"/>
        <v>3.66</v>
      </c>
      <c r="Q39" s="3182">
        <f t="shared" ca="1" si="8"/>
        <v>1.22</v>
      </c>
      <c r="R39" s="3182">
        <f t="shared" ca="1" si="9"/>
        <v>18.78</v>
      </c>
      <c r="S39" s="3183">
        <f t="shared" ca="1" si="10"/>
        <v>0.10164537778739988</v>
      </c>
      <c r="T39" s="3182">
        <f t="shared" ca="1" si="11"/>
        <v>0.11</v>
      </c>
      <c r="U39" s="3182">
        <f t="shared" ca="1" si="12"/>
        <v>203.29999999999998</v>
      </c>
    </row>
    <row r="40" spans="1:21">
      <c r="A40" s="3182">
        <v>38</v>
      </c>
      <c r="B40" s="3184" t="s">
        <v>3413</v>
      </c>
      <c r="C40" s="3184" t="s">
        <v>3598</v>
      </c>
      <c r="D40" s="3182">
        <v>3</v>
      </c>
      <c r="E40" s="3182">
        <v>5</v>
      </c>
      <c r="F40" s="3531">
        <v>65.25</v>
      </c>
      <c r="G40" s="1428">
        <f ca="1">典型户型修正!R61</f>
        <v>36988</v>
      </c>
      <c r="H40" s="3182">
        <f t="shared" ca="1" si="0"/>
        <v>241.35</v>
      </c>
      <c r="I40" s="3182">
        <v>135.42316399999999</v>
      </c>
      <c r="J40" s="3181">
        <v>10</v>
      </c>
      <c r="K40" s="3181">
        <f t="shared" ca="1" si="3"/>
        <v>94.43</v>
      </c>
      <c r="L40" s="3182">
        <f t="shared" ca="1" si="4"/>
        <v>5.29</v>
      </c>
      <c r="M40" s="3182">
        <f t="shared" ca="1" si="5"/>
        <v>6.37</v>
      </c>
      <c r="N40" s="3182">
        <f t="shared" ca="1" si="6"/>
        <v>208.64</v>
      </c>
      <c r="O40" s="3182">
        <f t="shared" si="13"/>
        <v>67.709999999999994</v>
      </c>
      <c r="P40" s="3182">
        <f t="shared" si="7"/>
        <v>4.13</v>
      </c>
      <c r="Q40" s="3182">
        <f t="shared" ca="1" si="8"/>
        <v>1.38</v>
      </c>
      <c r="R40" s="3182">
        <f t="shared" ca="1" si="9"/>
        <v>21.22</v>
      </c>
      <c r="S40" s="3183">
        <f t="shared" ca="1" si="10"/>
        <v>0.10170628834355828</v>
      </c>
      <c r="T40" s="3182">
        <f t="shared" ca="1" si="11"/>
        <v>0.12</v>
      </c>
      <c r="U40" s="3182">
        <f t="shared" ca="1" si="12"/>
        <v>229.57</v>
      </c>
    </row>
    <row r="41" spans="1:21">
      <c r="A41" s="3182">
        <v>39</v>
      </c>
      <c r="B41" s="3184" t="s">
        <v>3414</v>
      </c>
      <c r="C41" s="3184" t="s">
        <v>3599</v>
      </c>
      <c r="D41" s="3182">
        <v>3</v>
      </c>
      <c r="E41" s="3182">
        <v>5</v>
      </c>
      <c r="F41" s="3531">
        <v>58.29</v>
      </c>
      <c r="G41" s="1428">
        <f ca="1">典型户型修正!R62</f>
        <v>36988</v>
      </c>
      <c r="H41" s="3182">
        <f t="shared" ca="1" si="0"/>
        <v>215.6</v>
      </c>
      <c r="I41" s="3182">
        <v>120.97803200000001</v>
      </c>
      <c r="J41" s="3181">
        <v>10</v>
      </c>
      <c r="K41" s="3181">
        <f t="shared" ca="1" si="3"/>
        <v>84.36</v>
      </c>
      <c r="L41" s="3182">
        <f t="shared" ca="1" si="4"/>
        <v>4.72</v>
      </c>
      <c r="M41" s="3182">
        <f t="shared" ca="1" si="5"/>
        <v>5.68</v>
      </c>
      <c r="N41" s="3182">
        <f t="shared" ca="1" si="6"/>
        <v>186.39</v>
      </c>
      <c r="O41" s="3182">
        <f t="shared" si="13"/>
        <v>60.49</v>
      </c>
      <c r="P41" s="3182">
        <f t="shared" si="7"/>
        <v>3.69</v>
      </c>
      <c r="Q41" s="3182">
        <f t="shared" ca="1" si="8"/>
        <v>1.23</v>
      </c>
      <c r="R41" s="3182">
        <f t="shared" ca="1" si="9"/>
        <v>18.940000000000001</v>
      </c>
      <c r="S41" s="3183">
        <f t="shared" ca="1" si="10"/>
        <v>0.10161489350287034</v>
      </c>
      <c r="T41" s="3182">
        <f t="shared" ca="1" si="11"/>
        <v>0.11</v>
      </c>
      <c r="U41" s="3182">
        <f t="shared" ca="1" si="12"/>
        <v>205.08999999999997</v>
      </c>
    </row>
    <row r="42" spans="1:21">
      <c r="A42" s="3182">
        <v>40</v>
      </c>
      <c r="B42" s="3184" t="s">
        <v>3415</v>
      </c>
      <c r="C42" s="3184" t="s">
        <v>3600</v>
      </c>
      <c r="D42" s="3182">
        <v>3</v>
      </c>
      <c r="E42" s="3182">
        <v>5</v>
      </c>
      <c r="F42" s="3531">
        <v>79.33</v>
      </c>
      <c r="G42" s="1428">
        <f ca="1">典型户型修正!R63</f>
        <v>36988</v>
      </c>
      <c r="H42" s="3182">
        <f t="shared" ca="1" si="0"/>
        <v>293.43</v>
      </c>
      <c r="I42" s="3182">
        <v>164.6455</v>
      </c>
      <c r="J42" s="3181">
        <v>10</v>
      </c>
      <c r="K42" s="3181">
        <f t="shared" ca="1" si="3"/>
        <v>114.81</v>
      </c>
      <c r="L42" s="3182">
        <f t="shared" ca="1" si="4"/>
        <v>6.43</v>
      </c>
      <c r="M42" s="3182">
        <f t="shared" ca="1" si="5"/>
        <v>7.74</v>
      </c>
      <c r="N42" s="3182">
        <f t="shared" ca="1" si="6"/>
        <v>253.67</v>
      </c>
      <c r="O42" s="3182">
        <f t="shared" si="13"/>
        <v>82.32</v>
      </c>
      <c r="P42" s="3182">
        <f t="shared" si="7"/>
        <v>5.0199999999999996</v>
      </c>
      <c r="Q42" s="3182">
        <f t="shared" ca="1" si="8"/>
        <v>1.68</v>
      </c>
      <c r="R42" s="3182">
        <f t="shared" ca="1" si="9"/>
        <v>25.79</v>
      </c>
      <c r="S42" s="3183">
        <f t="shared" ca="1" si="10"/>
        <v>0.10166752079473332</v>
      </c>
      <c r="T42" s="3182">
        <f t="shared" ca="1" si="11"/>
        <v>0.15</v>
      </c>
      <c r="U42" s="3182">
        <f t="shared" ca="1" si="12"/>
        <v>279.11</v>
      </c>
    </row>
    <row r="43" spans="1:21">
      <c r="A43" s="3182">
        <v>41</v>
      </c>
      <c r="B43" s="3184" t="s">
        <v>3416</v>
      </c>
      <c r="C43" s="3184" t="s">
        <v>3601</v>
      </c>
      <c r="D43" s="3182">
        <v>3</v>
      </c>
      <c r="E43" s="3182">
        <v>5</v>
      </c>
      <c r="F43" s="3531">
        <v>85.19</v>
      </c>
      <c r="G43" s="1428">
        <f ca="1">典型户型修正!R64</f>
        <v>36988</v>
      </c>
      <c r="H43" s="3182">
        <f t="shared" ca="1" si="0"/>
        <v>315.10000000000002</v>
      </c>
      <c r="I43" s="3182">
        <v>176.807637</v>
      </c>
      <c r="J43" s="3181">
        <v>10</v>
      </c>
      <c r="K43" s="3181">
        <f t="shared" ca="1" si="3"/>
        <v>123.29</v>
      </c>
      <c r="L43" s="3182">
        <f t="shared" ca="1" si="4"/>
        <v>6.9</v>
      </c>
      <c r="M43" s="3182">
        <f t="shared" ca="1" si="5"/>
        <v>8.31</v>
      </c>
      <c r="N43" s="3182">
        <f t="shared" ca="1" si="6"/>
        <v>272.39999999999998</v>
      </c>
      <c r="O43" s="3182">
        <f t="shared" si="13"/>
        <v>88.4</v>
      </c>
      <c r="P43" s="3182">
        <f t="shared" si="7"/>
        <v>5.39</v>
      </c>
      <c r="Q43" s="3182">
        <f t="shared" ca="1" si="8"/>
        <v>1.8</v>
      </c>
      <c r="R43" s="3182">
        <f t="shared" ca="1" si="9"/>
        <v>27.7</v>
      </c>
      <c r="S43" s="3183">
        <f t="shared" ca="1" si="10"/>
        <v>0.10168869309838473</v>
      </c>
      <c r="T43" s="3182">
        <f t="shared" ca="1" si="11"/>
        <v>0.16</v>
      </c>
      <c r="U43" s="3182">
        <f t="shared" ca="1" si="12"/>
        <v>299.73</v>
      </c>
    </row>
    <row r="44" spans="1:21">
      <c r="A44" s="3182">
        <v>42</v>
      </c>
      <c r="B44" s="3184" t="s">
        <v>3417</v>
      </c>
      <c r="C44" s="3184" t="s">
        <v>3602</v>
      </c>
      <c r="D44" s="3182">
        <v>3</v>
      </c>
      <c r="E44" s="3182">
        <v>5</v>
      </c>
      <c r="F44" s="3531">
        <v>112.41</v>
      </c>
      <c r="G44" s="1428">
        <f ca="1">典型户型修正!R65</f>
        <v>36263</v>
      </c>
      <c r="H44" s="3182">
        <f t="shared" ca="1" si="0"/>
        <v>407.63</v>
      </c>
      <c r="I44" s="3182">
        <v>233.30138599999998</v>
      </c>
      <c r="J44" s="3181">
        <v>10</v>
      </c>
      <c r="K44" s="3181">
        <f t="shared" ca="1" si="3"/>
        <v>154.91999999999999</v>
      </c>
      <c r="L44" s="3182">
        <f t="shared" ca="1" si="4"/>
        <v>8.68</v>
      </c>
      <c r="M44" s="3182">
        <f t="shared" ca="1" si="5"/>
        <v>8.65</v>
      </c>
      <c r="N44" s="3182">
        <f t="shared" ca="1" si="6"/>
        <v>359.4</v>
      </c>
      <c r="O44" s="3182">
        <f t="shared" si="13"/>
        <v>116.65</v>
      </c>
      <c r="P44" s="3182">
        <f t="shared" si="7"/>
        <v>7.12</v>
      </c>
      <c r="Q44" s="3182">
        <f t="shared" ca="1" si="8"/>
        <v>2.33</v>
      </c>
      <c r="R44" s="3182">
        <f t="shared" ca="1" si="9"/>
        <v>28.82</v>
      </c>
      <c r="S44" s="3183">
        <f t="shared" ca="1" si="10"/>
        <v>8.0189204229271019E-2</v>
      </c>
      <c r="T44" s="3182">
        <f t="shared" ca="1" si="11"/>
        <v>0.2</v>
      </c>
      <c r="U44" s="3182">
        <f t="shared" ca="1" si="12"/>
        <v>390.1</v>
      </c>
    </row>
    <row r="45" spans="1:21">
      <c r="A45" s="3182">
        <v>43</v>
      </c>
      <c r="B45" s="3184" t="s">
        <v>3418</v>
      </c>
      <c r="C45" s="3184" t="s">
        <v>3603</v>
      </c>
      <c r="D45" s="3182">
        <v>3</v>
      </c>
      <c r="E45" s="3182">
        <v>5</v>
      </c>
      <c r="F45" s="3531">
        <v>64.739999999999995</v>
      </c>
      <c r="G45" s="1428">
        <f ca="1">典型户型修正!R66</f>
        <v>36988</v>
      </c>
      <c r="H45" s="3182">
        <f t="shared" ca="1" si="0"/>
        <v>239.46</v>
      </c>
      <c r="I45" s="3182">
        <v>134.364633</v>
      </c>
      <c r="J45" s="3181">
        <v>10</v>
      </c>
      <c r="K45" s="3181">
        <f t="shared" ca="1" si="3"/>
        <v>93.69</v>
      </c>
      <c r="L45" s="3182">
        <f t="shared" ca="1" si="4"/>
        <v>5.25</v>
      </c>
      <c r="M45" s="3182">
        <f t="shared" ca="1" si="5"/>
        <v>6.32</v>
      </c>
      <c r="N45" s="3182">
        <f t="shared" ca="1" si="6"/>
        <v>207.01</v>
      </c>
      <c r="O45" s="3182">
        <f t="shared" si="13"/>
        <v>67.180000000000007</v>
      </c>
      <c r="P45" s="3182">
        <f t="shared" si="7"/>
        <v>4.0999999999999996</v>
      </c>
      <c r="Q45" s="3182">
        <f t="shared" ca="1" si="8"/>
        <v>1.37</v>
      </c>
      <c r="R45" s="3182">
        <f t="shared" ca="1" si="9"/>
        <v>21.05</v>
      </c>
      <c r="S45" s="3183">
        <f t="shared" ca="1" si="10"/>
        <v>0.10168590889329018</v>
      </c>
      <c r="T45" s="3182">
        <f t="shared" ca="1" si="11"/>
        <v>0.12</v>
      </c>
      <c r="U45" s="3182">
        <f t="shared" ca="1" si="12"/>
        <v>227.77</v>
      </c>
    </row>
    <row r="46" spans="1:21">
      <c r="A46" s="3182">
        <v>44</v>
      </c>
      <c r="B46" s="3184" t="s">
        <v>3419</v>
      </c>
      <c r="C46" s="3184" t="s">
        <v>3604</v>
      </c>
      <c r="D46" s="3182">
        <v>3</v>
      </c>
      <c r="E46" s="3182">
        <v>5</v>
      </c>
      <c r="F46" s="3531">
        <v>62.76</v>
      </c>
      <c r="G46" s="1428">
        <f ca="1">典型户型修正!R67</f>
        <v>36988</v>
      </c>
      <c r="H46" s="3182">
        <f t="shared" ca="1" si="0"/>
        <v>232.14</v>
      </c>
      <c r="I46" s="3182">
        <v>130.25524199999998</v>
      </c>
      <c r="J46" s="3181">
        <v>10</v>
      </c>
      <c r="K46" s="3181">
        <f t="shared" ca="1" si="3"/>
        <v>90.83</v>
      </c>
      <c r="L46" s="3182">
        <f t="shared" ca="1" si="4"/>
        <v>5.09</v>
      </c>
      <c r="M46" s="3182">
        <f t="shared" ca="1" si="5"/>
        <v>6.12</v>
      </c>
      <c r="N46" s="3182">
        <f t="shared" ca="1" si="6"/>
        <v>200.69</v>
      </c>
      <c r="O46" s="3182">
        <f t="shared" si="13"/>
        <v>65.13</v>
      </c>
      <c r="P46" s="3182">
        <f t="shared" si="7"/>
        <v>3.97</v>
      </c>
      <c r="Q46" s="3182">
        <f t="shared" ca="1" si="8"/>
        <v>1.33</v>
      </c>
      <c r="R46" s="3182">
        <f t="shared" ca="1" si="9"/>
        <v>20.399999999999999</v>
      </c>
      <c r="S46" s="3183">
        <f t="shared" ca="1" si="10"/>
        <v>0.10164930988091085</v>
      </c>
      <c r="T46" s="3182">
        <f t="shared" ca="1" si="11"/>
        <v>0.12</v>
      </c>
      <c r="U46" s="3182">
        <f t="shared" ca="1" si="12"/>
        <v>220.80999999999997</v>
      </c>
    </row>
    <row r="47" spans="1:21">
      <c r="A47" s="3182">
        <v>45</v>
      </c>
      <c r="B47" s="3184" t="s">
        <v>3420</v>
      </c>
      <c r="C47" s="3184" t="s">
        <v>3605</v>
      </c>
      <c r="D47" s="3182">
        <v>3</v>
      </c>
      <c r="E47" s="3182">
        <v>5</v>
      </c>
      <c r="F47" s="3531">
        <v>60.49</v>
      </c>
      <c r="G47" s="1428">
        <f ca="1">典型户型修正!R68</f>
        <v>36988</v>
      </c>
      <c r="H47" s="3182">
        <f t="shared" ca="1" si="0"/>
        <v>223.74</v>
      </c>
      <c r="I47" s="3182">
        <v>125.544022</v>
      </c>
      <c r="J47" s="3181">
        <v>10</v>
      </c>
      <c r="K47" s="3181">
        <f t="shared" ca="1" si="3"/>
        <v>87.54</v>
      </c>
      <c r="L47" s="3182">
        <f t="shared" ca="1" si="4"/>
        <v>4.9000000000000004</v>
      </c>
      <c r="M47" s="3182">
        <f t="shared" ca="1" si="5"/>
        <v>5.9</v>
      </c>
      <c r="N47" s="3182">
        <f t="shared" ca="1" si="6"/>
        <v>193.42</v>
      </c>
      <c r="O47" s="3182">
        <f t="shared" si="13"/>
        <v>62.77</v>
      </c>
      <c r="P47" s="3182">
        <f t="shared" si="7"/>
        <v>3.83</v>
      </c>
      <c r="Q47" s="3182">
        <f t="shared" ca="1" si="8"/>
        <v>1.28</v>
      </c>
      <c r="R47" s="3182">
        <f t="shared" ca="1" si="9"/>
        <v>19.670000000000002</v>
      </c>
      <c r="S47" s="3183">
        <f t="shared" ca="1" si="10"/>
        <v>0.10169579154172269</v>
      </c>
      <c r="T47" s="3182">
        <f t="shared" ca="1" si="11"/>
        <v>0.11</v>
      </c>
      <c r="U47" s="3182">
        <f t="shared" ca="1" si="12"/>
        <v>212.82999999999998</v>
      </c>
    </row>
    <row r="48" spans="1:21">
      <c r="A48" s="3182">
        <v>46</v>
      </c>
      <c r="B48" s="3184" t="s">
        <v>3421</v>
      </c>
      <c r="C48" s="3184" t="s">
        <v>3606</v>
      </c>
      <c r="D48" s="3182">
        <v>3</v>
      </c>
      <c r="E48" s="3182">
        <v>5</v>
      </c>
      <c r="F48" s="3531">
        <v>57.25</v>
      </c>
      <c r="G48" s="1428">
        <f ca="1">典型户型修正!R69</f>
        <v>36988</v>
      </c>
      <c r="H48" s="3182">
        <f t="shared" ca="1" si="0"/>
        <v>211.76</v>
      </c>
      <c r="I48" s="3182">
        <v>118.81956399999999</v>
      </c>
      <c r="J48" s="3181">
        <v>10</v>
      </c>
      <c r="K48" s="3181">
        <f t="shared" ca="1" si="3"/>
        <v>82.86</v>
      </c>
      <c r="L48" s="3182">
        <f t="shared" ca="1" si="4"/>
        <v>4.6399999999999997</v>
      </c>
      <c r="M48" s="3182">
        <f t="shared" ca="1" si="5"/>
        <v>5.59</v>
      </c>
      <c r="N48" s="3182">
        <f t="shared" ca="1" si="6"/>
        <v>183.06</v>
      </c>
      <c r="O48" s="3182">
        <f t="shared" si="13"/>
        <v>59.41</v>
      </c>
      <c r="P48" s="3182">
        <f t="shared" si="7"/>
        <v>3.62</v>
      </c>
      <c r="Q48" s="3182">
        <f t="shared" ca="1" si="8"/>
        <v>1.21</v>
      </c>
      <c r="R48" s="3182">
        <f t="shared" ca="1" si="9"/>
        <v>18.62</v>
      </c>
      <c r="S48" s="3183">
        <f t="shared" ca="1" si="10"/>
        <v>0.10171528460614007</v>
      </c>
      <c r="T48" s="3182">
        <f t="shared" ca="1" si="11"/>
        <v>0.11</v>
      </c>
      <c r="U48" s="3182">
        <f t="shared" ca="1" si="12"/>
        <v>201.42</v>
      </c>
    </row>
    <row r="49" spans="1:21">
      <c r="A49" s="3182">
        <v>47</v>
      </c>
      <c r="B49" s="3184" t="s">
        <v>3422</v>
      </c>
      <c r="C49" s="3184" t="s">
        <v>3607</v>
      </c>
      <c r="D49" s="3182">
        <v>3</v>
      </c>
      <c r="E49" s="3182">
        <v>5</v>
      </c>
      <c r="F49" s="3531">
        <v>68.3</v>
      </c>
      <c r="G49" s="1428">
        <f ca="1">典型户型修正!R70</f>
        <v>36988</v>
      </c>
      <c r="H49" s="3182">
        <f t="shared" ca="1" si="0"/>
        <v>252.63</v>
      </c>
      <c r="I49" s="3182">
        <v>141.75323500000002</v>
      </c>
      <c r="J49" s="3181">
        <v>10</v>
      </c>
      <c r="K49" s="3181">
        <f t="shared" ca="1" si="3"/>
        <v>98.85</v>
      </c>
      <c r="L49" s="3182">
        <f t="shared" ca="1" si="4"/>
        <v>5.54</v>
      </c>
      <c r="M49" s="3182">
        <f t="shared" ca="1" si="5"/>
        <v>6.66</v>
      </c>
      <c r="N49" s="3182">
        <f t="shared" ca="1" si="6"/>
        <v>218.39</v>
      </c>
      <c r="O49" s="3182">
        <f t="shared" si="13"/>
        <v>70.88</v>
      </c>
      <c r="P49" s="3182">
        <f t="shared" si="7"/>
        <v>4.32</v>
      </c>
      <c r="Q49" s="3182">
        <f t="shared" ca="1" si="8"/>
        <v>1.44</v>
      </c>
      <c r="R49" s="3182">
        <f t="shared" ca="1" si="9"/>
        <v>22.21</v>
      </c>
      <c r="S49" s="3183">
        <f t="shared" ca="1" si="10"/>
        <v>0.10169879573240534</v>
      </c>
      <c r="T49" s="3182">
        <f t="shared" ca="1" si="11"/>
        <v>0.13</v>
      </c>
      <c r="U49" s="3182">
        <f t="shared" ca="1" si="12"/>
        <v>240.3</v>
      </c>
    </row>
    <row r="50" spans="1:21">
      <c r="A50" s="3182">
        <v>48</v>
      </c>
      <c r="B50" s="3184" t="s">
        <v>3423</v>
      </c>
      <c r="C50" s="3184" t="s">
        <v>3608</v>
      </c>
      <c r="D50" s="3182">
        <v>3</v>
      </c>
      <c r="E50" s="3182">
        <v>5</v>
      </c>
      <c r="F50" s="3531">
        <v>64.61</v>
      </c>
      <c r="G50" s="1428">
        <f ca="1">典型户型修正!R71</f>
        <v>36988</v>
      </c>
      <c r="H50" s="3182">
        <f t="shared" ca="1" si="0"/>
        <v>238.98</v>
      </c>
      <c r="I50" s="3182">
        <v>134.094876</v>
      </c>
      <c r="J50" s="3181">
        <v>10</v>
      </c>
      <c r="K50" s="3181">
        <f t="shared" ca="1" si="3"/>
        <v>93.51</v>
      </c>
      <c r="L50" s="3182">
        <f t="shared" ca="1" si="4"/>
        <v>5.24</v>
      </c>
      <c r="M50" s="3182">
        <f t="shared" ca="1" si="5"/>
        <v>6.3</v>
      </c>
      <c r="N50" s="3182">
        <f t="shared" ca="1" si="6"/>
        <v>206.6</v>
      </c>
      <c r="O50" s="3182">
        <f t="shared" si="13"/>
        <v>67.05</v>
      </c>
      <c r="P50" s="3182">
        <f t="shared" si="7"/>
        <v>4.09</v>
      </c>
      <c r="Q50" s="3182">
        <f t="shared" ca="1" si="8"/>
        <v>1.37</v>
      </c>
      <c r="R50" s="3182">
        <f t="shared" ca="1" si="9"/>
        <v>21</v>
      </c>
      <c r="S50" s="3183">
        <f t="shared" ca="1" si="10"/>
        <v>0.10164569215876089</v>
      </c>
      <c r="T50" s="3182">
        <f t="shared" ca="1" si="11"/>
        <v>0.12</v>
      </c>
      <c r="U50" s="3182">
        <f t="shared" ca="1" si="12"/>
        <v>227.31999999999996</v>
      </c>
    </row>
    <row r="51" spans="1:21">
      <c r="A51" s="3182">
        <v>49</v>
      </c>
      <c r="B51" s="3184" t="s">
        <v>3424</v>
      </c>
      <c r="C51" s="3184" t="s">
        <v>3609</v>
      </c>
      <c r="D51" s="3182">
        <v>3</v>
      </c>
      <c r="E51" s="3182">
        <v>5</v>
      </c>
      <c r="F51" s="3531">
        <v>57.44</v>
      </c>
      <c r="G51" s="1428">
        <f ca="1">典型户型修正!R72</f>
        <v>36988</v>
      </c>
      <c r="H51" s="3182">
        <f t="shared" ca="1" si="0"/>
        <v>212.46</v>
      </c>
      <c r="I51" s="3182">
        <v>119.213848</v>
      </c>
      <c r="J51" s="3181">
        <v>10</v>
      </c>
      <c r="K51" s="3181">
        <f t="shared" ca="1" si="3"/>
        <v>83.13</v>
      </c>
      <c r="L51" s="3182">
        <f t="shared" ca="1" si="4"/>
        <v>4.66</v>
      </c>
      <c r="M51" s="3182">
        <f t="shared" ca="1" si="5"/>
        <v>5.6</v>
      </c>
      <c r="N51" s="3182">
        <f t="shared" ca="1" si="6"/>
        <v>183.67</v>
      </c>
      <c r="O51" s="3182">
        <f t="shared" si="13"/>
        <v>59.61</v>
      </c>
      <c r="P51" s="3182">
        <f t="shared" si="7"/>
        <v>3.64</v>
      </c>
      <c r="Q51" s="3182">
        <f t="shared" ca="1" si="8"/>
        <v>1.21</v>
      </c>
      <c r="R51" s="3182">
        <f t="shared" ca="1" si="9"/>
        <v>18.670000000000002</v>
      </c>
      <c r="S51" s="3183">
        <f t="shared" ca="1" si="10"/>
        <v>0.10164969782762565</v>
      </c>
      <c r="T51" s="3182">
        <f t="shared" ca="1" si="11"/>
        <v>0.11</v>
      </c>
      <c r="U51" s="3182">
        <f t="shared" ca="1" si="12"/>
        <v>202.09</v>
      </c>
    </row>
    <row r="52" spans="1:21">
      <c r="A52" s="3182">
        <v>50</v>
      </c>
      <c r="B52" s="3184" t="s">
        <v>3425</v>
      </c>
      <c r="C52" s="3184" t="s">
        <v>3610</v>
      </c>
      <c r="D52" s="3182">
        <v>3</v>
      </c>
      <c r="E52" s="3182">
        <v>5</v>
      </c>
      <c r="F52" s="3531">
        <v>57.01</v>
      </c>
      <c r="G52" s="1428">
        <f ca="1">典型户型修正!R73</f>
        <v>36988</v>
      </c>
      <c r="H52" s="3182">
        <f t="shared" ca="1" si="0"/>
        <v>210.87</v>
      </c>
      <c r="I52" s="3182">
        <v>118.32145600000001</v>
      </c>
      <c r="J52" s="3181">
        <v>10</v>
      </c>
      <c r="K52" s="3181">
        <f t="shared" ca="1" si="3"/>
        <v>82.51</v>
      </c>
      <c r="L52" s="3182">
        <f t="shared" ca="1" si="4"/>
        <v>4.62</v>
      </c>
      <c r="M52" s="3182">
        <f t="shared" ca="1" si="5"/>
        <v>5.56</v>
      </c>
      <c r="N52" s="3182">
        <f t="shared" ca="1" si="6"/>
        <v>182.29</v>
      </c>
      <c r="O52" s="3182">
        <f t="shared" si="13"/>
        <v>59.16</v>
      </c>
      <c r="P52" s="3182">
        <f t="shared" si="7"/>
        <v>3.61</v>
      </c>
      <c r="Q52" s="3182">
        <f t="shared" ca="1" si="8"/>
        <v>1.2</v>
      </c>
      <c r="R52" s="3182">
        <f t="shared" ca="1" si="9"/>
        <v>18.54</v>
      </c>
      <c r="S52" s="3183">
        <f t="shared" ca="1" si="10"/>
        <v>0.1017060727412365</v>
      </c>
      <c r="T52" s="3182">
        <f t="shared" ca="1" si="11"/>
        <v>0.11</v>
      </c>
      <c r="U52" s="3182">
        <f t="shared" ca="1" si="12"/>
        <v>200.57999999999998</v>
      </c>
    </row>
    <row r="53" spans="1:21">
      <c r="A53" s="3182">
        <v>51</v>
      </c>
      <c r="B53" s="3184" t="s">
        <v>3426</v>
      </c>
      <c r="C53" s="3184" t="s">
        <v>3611</v>
      </c>
      <c r="D53" s="3182">
        <v>3</v>
      </c>
      <c r="E53" s="3182">
        <v>5</v>
      </c>
      <c r="F53" s="3531">
        <v>56.23</v>
      </c>
      <c r="G53" s="1428">
        <f ca="1">典型户型修正!R74</f>
        <v>36988</v>
      </c>
      <c r="H53" s="3182">
        <f t="shared" ca="1" si="0"/>
        <v>207.98</v>
      </c>
      <c r="I53" s="3182">
        <v>116.70260500000001</v>
      </c>
      <c r="J53" s="3181">
        <v>10</v>
      </c>
      <c r="K53" s="3181">
        <f t="shared" ca="1" si="3"/>
        <v>81.37</v>
      </c>
      <c r="L53" s="3182">
        <f t="shared" ca="1" si="4"/>
        <v>4.5599999999999996</v>
      </c>
      <c r="M53" s="3182">
        <f t="shared" ca="1" si="5"/>
        <v>5.48</v>
      </c>
      <c r="N53" s="3182">
        <f t="shared" ca="1" si="6"/>
        <v>179.8</v>
      </c>
      <c r="O53" s="3182">
        <f t="shared" si="13"/>
        <v>58.35</v>
      </c>
      <c r="P53" s="3182">
        <f t="shared" si="7"/>
        <v>3.56</v>
      </c>
      <c r="Q53" s="3182">
        <f t="shared" ca="1" si="8"/>
        <v>1.19</v>
      </c>
      <c r="R53" s="3182">
        <f t="shared" ca="1" si="9"/>
        <v>18.28</v>
      </c>
      <c r="S53" s="3183">
        <f t="shared" ca="1" si="10"/>
        <v>0.10166852057842046</v>
      </c>
      <c r="T53" s="3182">
        <f t="shared" ca="1" si="11"/>
        <v>0.1</v>
      </c>
      <c r="U53" s="3182">
        <f t="shared" ca="1" si="12"/>
        <v>197.84</v>
      </c>
    </row>
    <row r="54" spans="1:21">
      <c r="A54" s="3182">
        <v>52</v>
      </c>
      <c r="B54" s="3184" t="s">
        <v>3427</v>
      </c>
      <c r="C54" s="3184" t="s">
        <v>3612</v>
      </c>
      <c r="D54" s="3182">
        <v>3</v>
      </c>
      <c r="E54" s="3182">
        <v>5</v>
      </c>
      <c r="F54" s="3531">
        <v>54.22</v>
      </c>
      <c r="G54" s="1428">
        <f ca="1">典型户型修正!R75</f>
        <v>36988</v>
      </c>
      <c r="H54" s="3182">
        <f t="shared" ca="1" si="0"/>
        <v>200.55</v>
      </c>
      <c r="I54" s="3182">
        <v>112.53089900000001</v>
      </c>
      <c r="J54" s="3181">
        <v>10</v>
      </c>
      <c r="K54" s="3181">
        <f t="shared" ca="1" si="3"/>
        <v>78.47</v>
      </c>
      <c r="L54" s="3182">
        <f t="shared" ca="1" si="4"/>
        <v>4.3899999999999997</v>
      </c>
      <c r="M54" s="3182">
        <f t="shared" ca="1" si="5"/>
        <v>5.29</v>
      </c>
      <c r="N54" s="3182">
        <f t="shared" ca="1" si="6"/>
        <v>173.38</v>
      </c>
      <c r="O54" s="3182">
        <f t="shared" si="13"/>
        <v>56.27</v>
      </c>
      <c r="P54" s="3182">
        <f t="shared" si="7"/>
        <v>3.43</v>
      </c>
      <c r="Q54" s="3182">
        <f t="shared" ca="1" si="8"/>
        <v>1.1499999999999999</v>
      </c>
      <c r="R54" s="3182">
        <f t="shared" ca="1" si="9"/>
        <v>17.62</v>
      </c>
      <c r="S54" s="3183">
        <f t="shared" ca="1" si="10"/>
        <v>0.10162648517706772</v>
      </c>
      <c r="T54" s="3182">
        <f t="shared" ca="1" si="11"/>
        <v>0.1</v>
      </c>
      <c r="U54" s="3182">
        <f t="shared" ca="1" si="12"/>
        <v>190.77000000000004</v>
      </c>
    </row>
    <row r="55" spans="1:21">
      <c r="A55" s="3182">
        <v>53</v>
      </c>
      <c r="B55" s="3184" t="s">
        <v>3428</v>
      </c>
      <c r="C55" s="3184" t="s">
        <v>3613</v>
      </c>
      <c r="D55" s="3182">
        <v>3</v>
      </c>
      <c r="E55" s="3182">
        <v>5</v>
      </c>
      <c r="F55" s="3531">
        <v>51.98</v>
      </c>
      <c r="G55" s="1428">
        <f ca="1">典型户型修正!R76</f>
        <v>36988</v>
      </c>
      <c r="H55" s="3182">
        <f t="shared" ca="1" si="0"/>
        <v>192.26</v>
      </c>
      <c r="I55" s="3182">
        <v>107.881891</v>
      </c>
      <c r="J55" s="3181">
        <v>10</v>
      </c>
      <c r="K55" s="3181">
        <f t="shared" ca="1" si="3"/>
        <v>75.22</v>
      </c>
      <c r="L55" s="3182">
        <f t="shared" ca="1" si="4"/>
        <v>4.21</v>
      </c>
      <c r="M55" s="3182">
        <f t="shared" ca="1" si="5"/>
        <v>5.07</v>
      </c>
      <c r="N55" s="3182">
        <f t="shared" ca="1" si="6"/>
        <v>166.21</v>
      </c>
      <c r="O55" s="3182">
        <f t="shared" si="13"/>
        <v>53.94</v>
      </c>
      <c r="P55" s="3182">
        <f t="shared" si="7"/>
        <v>3.29</v>
      </c>
      <c r="Q55" s="3182">
        <f t="shared" ca="1" si="8"/>
        <v>1.1000000000000001</v>
      </c>
      <c r="R55" s="3182">
        <f t="shared" ca="1" si="9"/>
        <v>16.89</v>
      </c>
      <c r="S55" s="3183">
        <f t="shared" ca="1" si="10"/>
        <v>0.10161843451055894</v>
      </c>
      <c r="T55" s="3182">
        <f t="shared" ca="1" si="11"/>
        <v>0.1</v>
      </c>
      <c r="U55" s="3182">
        <f t="shared" ca="1" si="12"/>
        <v>182.88</v>
      </c>
    </row>
    <row r="56" spans="1:21">
      <c r="A56" s="3182">
        <v>54</v>
      </c>
      <c r="B56" s="3184" t="s">
        <v>3429</v>
      </c>
      <c r="C56" s="3184" t="s">
        <v>3614</v>
      </c>
      <c r="D56" s="3182">
        <v>3</v>
      </c>
      <c r="E56" s="3182">
        <v>5</v>
      </c>
      <c r="F56" s="3531">
        <v>48.68</v>
      </c>
      <c r="G56" s="1428">
        <f ca="1">典型户型修正!R77</f>
        <v>37713</v>
      </c>
      <c r="H56" s="3182">
        <f t="shared" ca="1" si="0"/>
        <v>183.59</v>
      </c>
      <c r="I56" s="3182">
        <v>101.03290600000001</v>
      </c>
      <c r="J56" s="3181">
        <v>10</v>
      </c>
      <c r="K56" s="3181">
        <f t="shared" ca="1" si="3"/>
        <v>73.81</v>
      </c>
      <c r="L56" s="3182">
        <f t="shared" ca="1" si="4"/>
        <v>4.13</v>
      </c>
      <c r="M56" s="3182">
        <f t="shared" ca="1" si="5"/>
        <v>5.75</v>
      </c>
      <c r="N56" s="3182">
        <f t="shared" ca="1" si="6"/>
        <v>155.68</v>
      </c>
      <c r="O56" s="3182">
        <f t="shared" si="13"/>
        <v>50.52</v>
      </c>
      <c r="P56" s="3182">
        <f t="shared" si="7"/>
        <v>3.08</v>
      </c>
      <c r="Q56" s="3182">
        <f t="shared" ca="1" si="8"/>
        <v>1.05</v>
      </c>
      <c r="R56" s="3182">
        <f t="shared" ca="1" si="9"/>
        <v>19.170000000000002</v>
      </c>
      <c r="S56" s="3183">
        <f t="shared" ca="1" si="10"/>
        <v>0.12313720452209662</v>
      </c>
      <c r="T56" s="3182">
        <f t="shared" ca="1" si="11"/>
        <v>0.09</v>
      </c>
      <c r="U56" s="3182">
        <f t="shared" ca="1" si="12"/>
        <v>173.62</v>
      </c>
    </row>
    <row r="57" spans="1:21">
      <c r="A57" s="3182">
        <v>55</v>
      </c>
      <c r="B57" s="3184" t="s">
        <v>3430</v>
      </c>
      <c r="C57" s="3184" t="s">
        <v>3615</v>
      </c>
      <c r="D57" s="3182">
        <v>3</v>
      </c>
      <c r="E57" s="3182">
        <v>5</v>
      </c>
      <c r="F57" s="3531">
        <v>47.72</v>
      </c>
      <c r="G57" s="1428">
        <f ca="1">典型户型修正!R78</f>
        <v>37713</v>
      </c>
      <c r="H57" s="3182">
        <f t="shared" ca="1" si="0"/>
        <v>179.97</v>
      </c>
      <c r="I57" s="3182">
        <v>99.040474000000003</v>
      </c>
      <c r="J57" s="3181">
        <v>10</v>
      </c>
      <c r="K57" s="3181">
        <f t="shared" ca="1" si="3"/>
        <v>72.36</v>
      </c>
      <c r="L57" s="3182">
        <f t="shared" ca="1" si="4"/>
        <v>4.05</v>
      </c>
      <c r="M57" s="3182">
        <f t="shared" ca="1" si="5"/>
        <v>5.64</v>
      </c>
      <c r="N57" s="3182">
        <f t="shared" ca="1" si="6"/>
        <v>152.61000000000001</v>
      </c>
      <c r="O57" s="3182">
        <f t="shared" si="13"/>
        <v>49.52</v>
      </c>
      <c r="P57" s="3182">
        <f t="shared" si="7"/>
        <v>3.02</v>
      </c>
      <c r="Q57" s="3182">
        <f t="shared" ca="1" si="8"/>
        <v>1.03</v>
      </c>
      <c r="R57" s="3182">
        <f t="shared" ca="1" si="9"/>
        <v>18.79</v>
      </c>
      <c r="S57" s="3183">
        <f t="shared" ca="1" si="10"/>
        <v>0.12312430378087935</v>
      </c>
      <c r="T57" s="3182">
        <f t="shared" ca="1" si="11"/>
        <v>0.09</v>
      </c>
      <c r="U57" s="3182">
        <f t="shared" ca="1" si="12"/>
        <v>170.19</v>
      </c>
    </row>
    <row r="58" spans="1:21">
      <c r="A58" s="3182">
        <v>56</v>
      </c>
      <c r="B58" s="3184" t="s">
        <v>3431</v>
      </c>
      <c r="C58" s="3184" t="s">
        <v>3616</v>
      </c>
      <c r="D58" s="3182">
        <v>3</v>
      </c>
      <c r="E58" s="3182">
        <v>5</v>
      </c>
      <c r="F58" s="3531">
        <v>42.02</v>
      </c>
      <c r="G58" s="1428">
        <f ca="1">典型户型修正!R79</f>
        <v>37713</v>
      </c>
      <c r="H58" s="3182">
        <f t="shared" ca="1" si="0"/>
        <v>158.47</v>
      </c>
      <c r="I58" s="3182">
        <v>87.210408999999999</v>
      </c>
      <c r="J58" s="3181">
        <v>10</v>
      </c>
      <c r="K58" s="3181">
        <f t="shared" ca="1" si="3"/>
        <v>63.71</v>
      </c>
      <c r="L58" s="3182">
        <f t="shared" ca="1" si="4"/>
        <v>3.57</v>
      </c>
      <c r="M58" s="3182">
        <f t="shared" ca="1" si="5"/>
        <v>4.96</v>
      </c>
      <c r="N58" s="3182">
        <f t="shared" ca="1" si="6"/>
        <v>134.38999999999999</v>
      </c>
      <c r="O58" s="3182">
        <f t="shared" si="13"/>
        <v>43.61</v>
      </c>
      <c r="P58" s="3182">
        <f t="shared" si="7"/>
        <v>2.66</v>
      </c>
      <c r="Q58" s="3182">
        <f t="shared" ca="1" si="8"/>
        <v>0.91</v>
      </c>
      <c r="R58" s="3182">
        <f t="shared" ca="1" si="9"/>
        <v>16.53</v>
      </c>
      <c r="S58" s="3183">
        <f t="shared" ca="1" si="10"/>
        <v>0.12300022323089518</v>
      </c>
      <c r="T58" s="3182">
        <f t="shared" ca="1" si="11"/>
        <v>0.08</v>
      </c>
      <c r="U58" s="3182">
        <f t="shared" ca="1" si="12"/>
        <v>149.85999999999999</v>
      </c>
    </row>
    <row r="59" spans="1:21">
      <c r="A59" s="3182">
        <v>57</v>
      </c>
      <c r="B59" s="3184" t="s">
        <v>3432</v>
      </c>
      <c r="C59" s="3184" t="s">
        <v>3617</v>
      </c>
      <c r="D59" s="3182">
        <v>3</v>
      </c>
      <c r="E59" s="3182">
        <v>5</v>
      </c>
      <c r="F59" s="3531">
        <v>65.900000000000006</v>
      </c>
      <c r="G59" s="1428">
        <f ca="1">典型户型修正!R80</f>
        <v>36988</v>
      </c>
      <c r="H59" s="3182">
        <f t="shared" ca="1" si="0"/>
        <v>243.75</v>
      </c>
      <c r="I59" s="3182">
        <v>136.772155</v>
      </c>
      <c r="J59" s="3181">
        <v>10</v>
      </c>
      <c r="K59" s="3181">
        <f t="shared" ca="1" si="3"/>
        <v>95.37</v>
      </c>
      <c r="L59" s="3182">
        <f t="shared" ca="1" si="4"/>
        <v>5.34</v>
      </c>
      <c r="M59" s="3182">
        <f t="shared" ca="1" si="5"/>
        <v>6.43</v>
      </c>
      <c r="N59" s="3182">
        <f t="shared" ca="1" si="6"/>
        <v>210.72</v>
      </c>
      <c r="O59" s="3182">
        <f t="shared" si="13"/>
        <v>68.39</v>
      </c>
      <c r="P59" s="3182">
        <f t="shared" si="7"/>
        <v>4.17</v>
      </c>
      <c r="Q59" s="3182">
        <f t="shared" ca="1" si="8"/>
        <v>1.39</v>
      </c>
      <c r="R59" s="3182">
        <f t="shared" ca="1" si="9"/>
        <v>21.42</v>
      </c>
      <c r="S59" s="3183">
        <f t="shared" ca="1" si="10"/>
        <v>0.10165148063781322</v>
      </c>
      <c r="T59" s="3182">
        <f t="shared" ca="1" si="11"/>
        <v>0.12</v>
      </c>
      <c r="U59" s="3182">
        <f t="shared" ca="1" si="12"/>
        <v>231.85999999999999</v>
      </c>
    </row>
    <row r="60" spans="1:21">
      <c r="A60" s="3182">
        <v>58</v>
      </c>
      <c r="B60" s="3184" t="s">
        <v>3433</v>
      </c>
      <c r="C60" s="3184" t="s">
        <v>3618</v>
      </c>
      <c r="D60" s="3182">
        <v>3</v>
      </c>
      <c r="E60" s="3182">
        <v>5</v>
      </c>
      <c r="F60" s="3531">
        <v>66.38</v>
      </c>
      <c r="G60" s="1428">
        <f ca="1">典型户型修正!R81</f>
        <v>36988</v>
      </c>
      <c r="H60" s="3182">
        <f t="shared" ca="1" si="0"/>
        <v>245.53</v>
      </c>
      <c r="I60" s="3182">
        <v>137.768371</v>
      </c>
      <c r="J60" s="3181">
        <v>10</v>
      </c>
      <c r="K60" s="3181">
        <f t="shared" ca="1" si="3"/>
        <v>96.07</v>
      </c>
      <c r="L60" s="3182">
        <f t="shared" ca="1" si="4"/>
        <v>5.38</v>
      </c>
      <c r="M60" s="3182">
        <f t="shared" ca="1" si="5"/>
        <v>6.48</v>
      </c>
      <c r="N60" s="3182">
        <f t="shared" ca="1" si="6"/>
        <v>212.25</v>
      </c>
      <c r="O60" s="3182">
        <f t="shared" si="13"/>
        <v>68.88</v>
      </c>
      <c r="P60" s="3182">
        <f t="shared" si="7"/>
        <v>4.2</v>
      </c>
      <c r="Q60" s="3182">
        <f t="shared" ca="1" si="8"/>
        <v>1.4</v>
      </c>
      <c r="R60" s="3182">
        <f t="shared" ca="1" si="9"/>
        <v>21.59</v>
      </c>
      <c r="S60" s="3183">
        <f t="shared" ca="1" si="10"/>
        <v>0.10171967020023558</v>
      </c>
      <c r="T60" s="3182">
        <f t="shared" ca="1" si="11"/>
        <v>0.12</v>
      </c>
      <c r="U60" s="3182">
        <f t="shared" ca="1" si="12"/>
        <v>233.55</v>
      </c>
    </row>
    <row r="61" spans="1:21">
      <c r="A61" s="3182">
        <v>59</v>
      </c>
      <c r="B61" s="3184" t="s">
        <v>3434</v>
      </c>
      <c r="C61" s="3184" t="s">
        <v>3619</v>
      </c>
      <c r="D61" s="3182">
        <v>3</v>
      </c>
      <c r="E61" s="3182">
        <v>5</v>
      </c>
      <c r="F61" s="3531">
        <v>57.83</v>
      </c>
      <c r="G61" s="1428">
        <f ca="1">典型户型修正!R82</f>
        <v>36988</v>
      </c>
      <c r="H61" s="3182">
        <f t="shared" ca="1" si="0"/>
        <v>213.9</v>
      </c>
      <c r="I61" s="3182">
        <v>120.023325</v>
      </c>
      <c r="J61" s="3181">
        <v>10</v>
      </c>
      <c r="K61" s="3181">
        <f t="shared" ca="1" si="3"/>
        <v>83.69</v>
      </c>
      <c r="L61" s="3182">
        <f t="shared" ca="1" si="4"/>
        <v>4.6900000000000004</v>
      </c>
      <c r="M61" s="3182">
        <f t="shared" ca="1" si="5"/>
        <v>5.64</v>
      </c>
      <c r="N61" s="3182">
        <f t="shared" ca="1" si="6"/>
        <v>184.91</v>
      </c>
      <c r="O61" s="3182">
        <f t="shared" si="13"/>
        <v>60.01</v>
      </c>
      <c r="P61" s="3182">
        <f t="shared" si="7"/>
        <v>3.66</v>
      </c>
      <c r="Q61" s="3182">
        <f t="shared" ca="1" si="8"/>
        <v>1.22</v>
      </c>
      <c r="R61" s="3182">
        <f t="shared" ca="1" si="9"/>
        <v>18.8</v>
      </c>
      <c r="S61" s="3183">
        <f t="shared" ca="1" si="10"/>
        <v>0.10167108322967931</v>
      </c>
      <c r="T61" s="3182">
        <f t="shared" ca="1" si="11"/>
        <v>0.11</v>
      </c>
      <c r="U61" s="3182">
        <f t="shared" ca="1" si="12"/>
        <v>203.46</v>
      </c>
    </row>
    <row r="62" spans="1:21">
      <c r="A62" s="3182">
        <v>60</v>
      </c>
      <c r="B62" s="3184" t="s">
        <v>3435</v>
      </c>
      <c r="C62" s="3184" t="s">
        <v>3620</v>
      </c>
      <c r="D62" s="3182">
        <v>3</v>
      </c>
      <c r="E62" s="3182">
        <v>5</v>
      </c>
      <c r="F62" s="3531">
        <v>72.180000000000007</v>
      </c>
      <c r="G62" s="1428">
        <f ca="1">典型户型修正!R83</f>
        <v>36988</v>
      </c>
      <c r="H62" s="3182">
        <f t="shared" ca="1" si="0"/>
        <v>266.98</v>
      </c>
      <c r="I62" s="3182">
        <v>149.805981</v>
      </c>
      <c r="J62" s="3181">
        <v>11</v>
      </c>
      <c r="K62" s="3181">
        <f t="shared" ca="1" si="3"/>
        <v>104.46</v>
      </c>
      <c r="L62" s="3182">
        <f t="shared" ca="1" si="4"/>
        <v>5.85</v>
      </c>
      <c r="M62" s="3182">
        <f t="shared" ca="1" si="5"/>
        <v>4.79</v>
      </c>
      <c r="N62" s="3182">
        <f t="shared" ca="1" si="6"/>
        <v>238.3</v>
      </c>
      <c r="O62" s="3182">
        <f t="shared" si="13"/>
        <v>82.39</v>
      </c>
      <c r="P62" s="3182">
        <f t="shared" si="7"/>
        <v>4.57</v>
      </c>
      <c r="Q62" s="3182">
        <f t="shared" ca="1" si="8"/>
        <v>1.53</v>
      </c>
      <c r="R62" s="3182">
        <f t="shared" ca="1" si="9"/>
        <v>15.97</v>
      </c>
      <c r="S62" s="3183">
        <f t="shared" ca="1" si="10"/>
        <v>6.7016365925304244E-2</v>
      </c>
      <c r="T62" s="3182">
        <f t="shared" ca="1" si="11"/>
        <v>0.13</v>
      </c>
      <c r="U62" s="3182">
        <f t="shared" ca="1" si="12"/>
        <v>256.20999999999998</v>
      </c>
    </row>
    <row r="63" spans="1:21">
      <c r="A63" s="3182">
        <v>61</v>
      </c>
      <c r="B63" s="3184" t="s">
        <v>3436</v>
      </c>
      <c r="C63" s="3184" t="s">
        <v>3621</v>
      </c>
      <c r="D63" s="3182">
        <v>3</v>
      </c>
      <c r="E63" s="3182">
        <v>5</v>
      </c>
      <c r="F63" s="3531">
        <v>77.13</v>
      </c>
      <c r="G63" s="1428">
        <f ca="1">典型户型修正!R84</f>
        <v>36988</v>
      </c>
      <c r="H63" s="3182">
        <f t="shared" ca="1" si="0"/>
        <v>285.29000000000002</v>
      </c>
      <c r="I63" s="3182">
        <v>160.07951</v>
      </c>
      <c r="J63" s="3181">
        <v>11</v>
      </c>
      <c r="K63" s="3181">
        <f t="shared" ca="1" si="3"/>
        <v>111.63</v>
      </c>
      <c r="L63" s="3182">
        <f t="shared" ca="1" si="4"/>
        <v>6.25</v>
      </c>
      <c r="M63" s="3182">
        <f t="shared" ca="1" si="5"/>
        <v>5.12</v>
      </c>
      <c r="N63" s="3182">
        <f t="shared" ca="1" si="6"/>
        <v>254.63</v>
      </c>
      <c r="O63" s="3182">
        <f t="shared" si="13"/>
        <v>88.04</v>
      </c>
      <c r="P63" s="3182">
        <f t="shared" si="7"/>
        <v>4.88</v>
      </c>
      <c r="Q63" s="3182">
        <f t="shared" ca="1" si="8"/>
        <v>1.63</v>
      </c>
      <c r="R63" s="3182">
        <f t="shared" ca="1" si="9"/>
        <v>17.07</v>
      </c>
      <c r="S63" s="3183">
        <f t="shared" ca="1" si="10"/>
        <v>6.7038447944075721E-2</v>
      </c>
      <c r="T63" s="3182">
        <f t="shared" ca="1" si="11"/>
        <v>0.14000000000000001</v>
      </c>
      <c r="U63" s="3182">
        <f t="shared" ca="1" si="12"/>
        <v>273.78000000000003</v>
      </c>
    </row>
    <row r="64" spans="1:21">
      <c r="A64" s="3182">
        <v>62</v>
      </c>
      <c r="B64" s="3184" t="s">
        <v>3437</v>
      </c>
      <c r="C64" s="3184" t="s">
        <v>3622</v>
      </c>
      <c r="D64" s="3182">
        <v>3</v>
      </c>
      <c r="E64" s="3182">
        <v>5</v>
      </c>
      <c r="F64" s="3531">
        <v>54.52</v>
      </c>
      <c r="G64" s="1428">
        <f ca="1">典型户型修正!R85</f>
        <v>36988</v>
      </c>
      <c r="H64" s="3182">
        <f t="shared" ca="1" si="0"/>
        <v>201.66</v>
      </c>
      <c r="I64" s="3182">
        <v>113.15353400000001</v>
      </c>
      <c r="J64" s="3181">
        <v>11</v>
      </c>
      <c r="K64" s="3181">
        <f t="shared" ca="1" si="3"/>
        <v>78.900000000000006</v>
      </c>
      <c r="L64" s="3182">
        <f t="shared" ca="1" si="4"/>
        <v>4.42</v>
      </c>
      <c r="M64" s="3182">
        <f t="shared" ca="1" si="5"/>
        <v>3.62</v>
      </c>
      <c r="N64" s="3182">
        <f t="shared" ca="1" si="6"/>
        <v>179.98</v>
      </c>
      <c r="O64" s="3182">
        <f t="shared" si="13"/>
        <v>62.23</v>
      </c>
      <c r="P64" s="3182">
        <f t="shared" si="7"/>
        <v>3.45</v>
      </c>
      <c r="Q64" s="3182">
        <f t="shared" ca="1" si="8"/>
        <v>1.1499999999999999</v>
      </c>
      <c r="R64" s="3182">
        <f t="shared" ca="1" si="9"/>
        <v>12.08</v>
      </c>
      <c r="S64" s="3183">
        <f t="shared" ca="1" si="10"/>
        <v>6.7118568729858871E-2</v>
      </c>
      <c r="T64" s="3182">
        <f t="shared" ca="1" si="11"/>
        <v>0.1</v>
      </c>
      <c r="U64" s="3182">
        <f t="shared" ca="1" si="12"/>
        <v>193.52</v>
      </c>
    </row>
    <row r="65" spans="1:21">
      <c r="A65" s="3182">
        <v>63</v>
      </c>
      <c r="B65" s="3184" t="s">
        <v>3438</v>
      </c>
      <c r="C65" s="3184" t="s">
        <v>3623</v>
      </c>
      <c r="D65" s="3182">
        <v>3</v>
      </c>
      <c r="E65" s="3182">
        <v>5</v>
      </c>
      <c r="F65" s="3531">
        <v>114.42</v>
      </c>
      <c r="G65" s="1428">
        <f ca="1">典型户型修正!R86</f>
        <v>36263</v>
      </c>
      <c r="H65" s="3182">
        <f t="shared" ca="1" si="0"/>
        <v>414.92</v>
      </c>
      <c r="I65" s="3182">
        <v>237.47298900000001</v>
      </c>
      <c r="J65" s="3181">
        <v>11</v>
      </c>
      <c r="K65" s="3181">
        <f t="shared" ca="1" si="3"/>
        <v>157.69</v>
      </c>
      <c r="L65" s="3182">
        <f t="shared" ca="1" si="4"/>
        <v>8.83</v>
      </c>
      <c r="M65" s="3182">
        <f t="shared" ca="1" si="5"/>
        <v>5.24</v>
      </c>
      <c r="N65" s="3182">
        <f t="shared" ca="1" si="6"/>
        <v>377.69</v>
      </c>
      <c r="O65" s="3182">
        <f t="shared" si="13"/>
        <v>130.61000000000001</v>
      </c>
      <c r="P65" s="3182">
        <f t="shared" si="7"/>
        <v>7.24</v>
      </c>
      <c r="Q65" s="3182">
        <f t="shared" ca="1" si="8"/>
        <v>2.37</v>
      </c>
      <c r="R65" s="3182">
        <f t="shared" ca="1" si="9"/>
        <v>17.47</v>
      </c>
      <c r="S65" s="3183">
        <f t="shared" ca="1" si="10"/>
        <v>4.6254865101008763E-2</v>
      </c>
      <c r="T65" s="3182">
        <f t="shared" ca="1" si="11"/>
        <v>0.21</v>
      </c>
      <c r="U65" s="3182">
        <f t="shared" ca="1" si="12"/>
        <v>400.64000000000004</v>
      </c>
    </row>
    <row r="66" spans="1:21" ht="27">
      <c r="A66" s="3182">
        <v>64</v>
      </c>
      <c r="B66" s="3184" t="s">
        <v>3375</v>
      </c>
      <c r="C66" s="3184" t="s">
        <v>3624</v>
      </c>
      <c r="D66" s="3182">
        <v>-1</v>
      </c>
      <c r="E66" s="3182">
        <v>3</v>
      </c>
      <c r="F66" s="3531">
        <v>156.16999999999999</v>
      </c>
      <c r="G66" s="1428">
        <f ca="1">典型户型修正!R87</f>
        <v>38076</v>
      </c>
      <c r="H66" s="3182">
        <f t="shared" ca="1" si="0"/>
        <v>594.63</v>
      </c>
      <c r="I66" s="3182">
        <v>644.14428399999997</v>
      </c>
      <c r="J66" s="3181">
        <v>10</v>
      </c>
      <c r="K66" s="3181">
        <f t="shared" ca="1" si="3"/>
        <v>-77.83</v>
      </c>
      <c r="L66" s="3182">
        <f t="shared" ca="1" si="4"/>
        <v>0</v>
      </c>
      <c r="M66" s="3182">
        <f ca="1">ROUND(IF(S66&lt;=0,0,IF(S66&gt;=200%,R66*60%-N66*35%,IF(S66&gt;=100%,R66*50%-N66*15%,IF(S66&gt;=50%,R66*40%-N66*5%,IF(S66&lt;50%,R66*30%,0))))),2)</f>
        <v>0</v>
      </c>
      <c r="N66" s="3182">
        <f t="shared" ca="1" si="6"/>
        <v>989.26</v>
      </c>
      <c r="O66" s="3182">
        <f t="shared" si="13"/>
        <v>322.07</v>
      </c>
      <c r="P66" s="3182">
        <f t="shared" si="7"/>
        <v>19.649999999999999</v>
      </c>
      <c r="Q66" s="3182">
        <f t="shared" ca="1" si="8"/>
        <v>3.4</v>
      </c>
      <c r="R66" s="3182">
        <f t="shared" ca="1" si="9"/>
        <v>-422.95</v>
      </c>
      <c r="S66" s="3183">
        <f t="shared" ca="1" si="10"/>
        <v>-0.42754179892040517</v>
      </c>
      <c r="T66" s="3182">
        <f t="shared" ca="1" si="11"/>
        <v>0.3</v>
      </c>
      <c r="U66" s="3182">
        <f t="shared" ca="1" si="12"/>
        <v>594.33000000000004</v>
      </c>
    </row>
    <row r="67" spans="1:21" ht="27">
      <c r="A67" s="3182">
        <v>65</v>
      </c>
      <c r="B67" s="3184" t="s">
        <v>3439</v>
      </c>
      <c r="C67" s="3184" t="s">
        <v>3625</v>
      </c>
      <c r="D67" s="3182">
        <v>-1</v>
      </c>
      <c r="E67" s="3182">
        <v>3</v>
      </c>
      <c r="F67" s="3531">
        <v>56.3</v>
      </c>
      <c r="G67" s="1428">
        <f ca="1">典型户型修正!R88</f>
        <v>38837</v>
      </c>
      <c r="H67" s="3182">
        <f t="shared" ref="H67:H81" ca="1" si="14">ROUND(G67*F67/10000,2)</f>
        <v>218.65</v>
      </c>
      <c r="I67" s="3182">
        <v>232.21700200000001</v>
      </c>
      <c r="J67" s="3181">
        <v>9</v>
      </c>
      <c r="K67" s="3181">
        <f t="shared" ca="1" si="3"/>
        <v>-23.98</v>
      </c>
      <c r="L67" s="3182">
        <f t="shared" ca="1" si="4"/>
        <v>0</v>
      </c>
      <c r="M67" s="3182">
        <f t="shared" ref="M67:M82" ca="1" si="15">ROUND(IF(S67&lt;=0,0,IF(S67&gt;=200%,R67*60%-N67*35%,IF(S67&gt;=100%,R67*50%-N67*15%,IF(S67&gt;=50%,R67*40%-N67*5%,IF(S67&lt;50%,R67*30%,0))))),2)</f>
        <v>0</v>
      </c>
      <c r="N67" s="3182">
        <f t="shared" ca="1" si="6"/>
        <v>345.05</v>
      </c>
      <c r="O67" s="3182">
        <f t="shared" ref="O67:O82" si="16">ROUND(I67*J67*5%,2)</f>
        <v>104.5</v>
      </c>
      <c r="P67" s="3182">
        <f t="shared" si="7"/>
        <v>7.08</v>
      </c>
      <c r="Q67" s="3182">
        <f t="shared" ca="1" si="8"/>
        <v>1.25</v>
      </c>
      <c r="R67" s="3182">
        <f t="shared" ca="1" si="9"/>
        <v>-136.81</v>
      </c>
      <c r="S67" s="3183">
        <f t="shared" ca="1" si="10"/>
        <v>-0.39649326184610928</v>
      </c>
      <c r="T67" s="3182">
        <f t="shared" ca="1" si="11"/>
        <v>0.11</v>
      </c>
      <c r="U67" s="3182">
        <f t="shared" ca="1" si="12"/>
        <v>218.54</v>
      </c>
    </row>
    <row r="68" spans="1:21" ht="27">
      <c r="A68" s="3182">
        <v>66</v>
      </c>
      <c r="B68" s="3184" t="s">
        <v>3440</v>
      </c>
      <c r="C68" s="3184" t="s">
        <v>3626</v>
      </c>
      <c r="D68" s="3182">
        <v>-1</v>
      </c>
      <c r="E68" s="3182">
        <v>3</v>
      </c>
      <c r="F68" s="3531">
        <v>88.75</v>
      </c>
      <c r="G68" s="1428">
        <f ca="1">典型户型修正!R89</f>
        <v>38837</v>
      </c>
      <c r="H68" s="3182">
        <f t="shared" ca="1" si="14"/>
        <v>344.68</v>
      </c>
      <c r="I68" s="3182">
        <v>366.06138199999998</v>
      </c>
      <c r="J68" s="3181">
        <v>9</v>
      </c>
      <c r="K68" s="3181">
        <f t="shared" ref="K68:K82" ca="1" si="17">ROUND((H68/1.05-I68),2)</f>
        <v>-37.79</v>
      </c>
      <c r="L68" s="3182">
        <f t="shared" ref="L68:L82" ca="1" si="18">IF(K68&lt;=0,0,ROUND(K68*5.6%,2))</f>
        <v>0</v>
      </c>
      <c r="M68" s="3182">
        <f t="shared" ca="1" si="15"/>
        <v>0</v>
      </c>
      <c r="N68" s="3182">
        <f t="shared" ref="N68:N82" ca="1" si="19">ROUND(O68+P68+Q68+I68,2)</f>
        <v>543.91999999999996</v>
      </c>
      <c r="O68" s="3182">
        <f t="shared" si="16"/>
        <v>164.73</v>
      </c>
      <c r="P68" s="3182">
        <f t="shared" ref="P68:P82" si="20">ROUND(I68*3.05%,2)</f>
        <v>11.16</v>
      </c>
      <c r="Q68" s="3182">
        <f t="shared" ref="Q68:Q82" ca="1" si="21">ROUND(H68*0.6%/1.05,2)</f>
        <v>1.97</v>
      </c>
      <c r="R68" s="3182">
        <f t="shared" ref="R68:R82" ca="1" si="22">ROUND(H68/1.05-N68,2)</f>
        <v>-215.65</v>
      </c>
      <c r="S68" s="3183">
        <f t="shared" ref="S68:S82" ca="1" si="23">R68/N68</f>
        <v>-0.39647374613913816</v>
      </c>
      <c r="T68" s="3182">
        <f t="shared" ref="T68:T82" ca="1" si="24">ROUND(H68*0.05%,2)</f>
        <v>0.17</v>
      </c>
      <c r="U68" s="3182">
        <f t="shared" ref="U68:U82" ca="1" si="25">H68-L68-M68-T68</f>
        <v>344.51</v>
      </c>
    </row>
    <row r="69" spans="1:21" ht="27">
      <c r="A69" s="3182">
        <v>67</v>
      </c>
      <c r="B69" s="3184" t="s">
        <v>3441</v>
      </c>
      <c r="C69" s="3184" t="s">
        <v>3627</v>
      </c>
      <c r="D69" s="3182">
        <v>-1</v>
      </c>
      <c r="E69" s="3182">
        <v>3</v>
      </c>
      <c r="F69" s="3531">
        <v>196.28</v>
      </c>
      <c r="G69" s="1428">
        <f ca="1">典型户型修正!R90</f>
        <v>38076</v>
      </c>
      <c r="H69" s="3182">
        <f t="shared" ca="1" si="14"/>
        <v>747.36</v>
      </c>
      <c r="I69" s="3182">
        <v>809.58339899999999</v>
      </c>
      <c r="J69" s="3181">
        <v>9</v>
      </c>
      <c r="K69" s="3181">
        <f t="shared" ca="1" si="17"/>
        <v>-97.81</v>
      </c>
      <c r="L69" s="3182">
        <f t="shared" ca="1" si="18"/>
        <v>0</v>
      </c>
      <c r="M69" s="3182">
        <f t="shared" ca="1" si="15"/>
        <v>0</v>
      </c>
      <c r="N69" s="3182">
        <f t="shared" ca="1" si="19"/>
        <v>1202.8499999999999</v>
      </c>
      <c r="O69" s="3182">
        <f t="shared" si="16"/>
        <v>364.31</v>
      </c>
      <c r="P69" s="3182">
        <f t="shared" si="20"/>
        <v>24.69</v>
      </c>
      <c r="Q69" s="3182">
        <f t="shared" ca="1" si="21"/>
        <v>4.2699999999999996</v>
      </c>
      <c r="R69" s="3182">
        <f t="shared" ca="1" si="22"/>
        <v>-491.08</v>
      </c>
      <c r="S69" s="3183">
        <f t="shared" ca="1" si="23"/>
        <v>-0.40826370702913917</v>
      </c>
      <c r="T69" s="3182">
        <f t="shared" ca="1" si="24"/>
        <v>0.37</v>
      </c>
      <c r="U69" s="3182">
        <f t="shared" ca="1" si="25"/>
        <v>746.99</v>
      </c>
    </row>
    <row r="70" spans="1:21" ht="27">
      <c r="A70" s="3182">
        <v>68</v>
      </c>
      <c r="B70" s="3184" t="s">
        <v>3442</v>
      </c>
      <c r="C70" s="3184" t="s">
        <v>3628</v>
      </c>
      <c r="D70" s="3182">
        <v>-1</v>
      </c>
      <c r="E70" s="3182">
        <v>3</v>
      </c>
      <c r="F70" s="3531">
        <v>36.51</v>
      </c>
      <c r="G70" s="1428">
        <f ca="1">典型户型修正!R91</f>
        <v>39599</v>
      </c>
      <c r="H70" s="3182">
        <f t="shared" ca="1" si="14"/>
        <v>144.58000000000001</v>
      </c>
      <c r="I70" s="3182">
        <v>150.590429</v>
      </c>
      <c r="J70" s="3181">
        <v>9</v>
      </c>
      <c r="K70" s="3181">
        <f t="shared" ca="1" si="17"/>
        <v>-12.9</v>
      </c>
      <c r="L70" s="3182">
        <f t="shared" ca="1" si="18"/>
        <v>0</v>
      </c>
      <c r="M70" s="3182">
        <f t="shared" ca="1" si="15"/>
        <v>0</v>
      </c>
      <c r="N70" s="3182">
        <f t="shared" ca="1" si="19"/>
        <v>223.78</v>
      </c>
      <c r="O70" s="3182">
        <f t="shared" si="16"/>
        <v>67.77</v>
      </c>
      <c r="P70" s="3182">
        <f t="shared" si="20"/>
        <v>4.59</v>
      </c>
      <c r="Q70" s="3182">
        <f t="shared" ca="1" si="21"/>
        <v>0.83</v>
      </c>
      <c r="R70" s="3182">
        <f t="shared" ca="1" si="22"/>
        <v>-86.08</v>
      </c>
      <c r="S70" s="3183">
        <f t="shared" ca="1" si="23"/>
        <v>-0.38466350880328892</v>
      </c>
      <c r="T70" s="3182">
        <f t="shared" ca="1" si="24"/>
        <v>7.0000000000000007E-2</v>
      </c>
      <c r="U70" s="3182">
        <f t="shared" ca="1" si="25"/>
        <v>144.51000000000002</v>
      </c>
    </row>
    <row r="71" spans="1:21" ht="27">
      <c r="A71" s="3182">
        <v>69</v>
      </c>
      <c r="B71" s="3184" t="s">
        <v>3443</v>
      </c>
      <c r="C71" s="3184" t="s">
        <v>3629</v>
      </c>
      <c r="D71" s="3182">
        <v>-1</v>
      </c>
      <c r="E71" s="3182">
        <v>3</v>
      </c>
      <c r="F71" s="3531">
        <v>121.16</v>
      </c>
      <c r="G71" s="1428">
        <f ca="1">典型户型修正!R92</f>
        <v>38076</v>
      </c>
      <c r="H71" s="3182">
        <f t="shared" ca="1" si="14"/>
        <v>461.33</v>
      </c>
      <c r="I71" s="3182">
        <v>499.74075599999998</v>
      </c>
      <c r="J71" s="3181">
        <v>9</v>
      </c>
      <c r="K71" s="3181">
        <f t="shared" ca="1" si="17"/>
        <v>-60.38</v>
      </c>
      <c r="L71" s="3182">
        <f t="shared" ca="1" si="18"/>
        <v>0</v>
      </c>
      <c r="M71" s="3182">
        <f t="shared" ca="1" si="15"/>
        <v>0</v>
      </c>
      <c r="N71" s="3182">
        <f t="shared" ca="1" si="19"/>
        <v>742.5</v>
      </c>
      <c r="O71" s="3182">
        <f t="shared" si="16"/>
        <v>224.88</v>
      </c>
      <c r="P71" s="3182">
        <f t="shared" si="20"/>
        <v>15.24</v>
      </c>
      <c r="Q71" s="3182">
        <f t="shared" ca="1" si="21"/>
        <v>2.64</v>
      </c>
      <c r="R71" s="3182">
        <f t="shared" ca="1" si="22"/>
        <v>-303.14</v>
      </c>
      <c r="S71" s="3183">
        <f t="shared" ca="1" si="23"/>
        <v>-0.40826936026936023</v>
      </c>
      <c r="T71" s="3182">
        <f t="shared" ca="1" si="24"/>
        <v>0.23</v>
      </c>
      <c r="U71" s="3182">
        <f t="shared" ca="1" si="25"/>
        <v>461.09999999999997</v>
      </c>
    </row>
    <row r="72" spans="1:21" ht="27">
      <c r="A72" s="3182">
        <v>70</v>
      </c>
      <c r="B72" s="3184" t="s">
        <v>3444</v>
      </c>
      <c r="C72" s="3184" t="s">
        <v>3630</v>
      </c>
      <c r="D72" s="3182">
        <v>-1</v>
      </c>
      <c r="E72" s="3182">
        <v>3</v>
      </c>
      <c r="F72" s="3531">
        <v>103.66</v>
      </c>
      <c r="G72" s="1428">
        <f ca="1">典型户型修正!R93</f>
        <v>38076</v>
      </c>
      <c r="H72" s="3182">
        <f t="shared" ca="1" si="14"/>
        <v>394.7</v>
      </c>
      <c r="I72" s="3182">
        <v>427.55969500000003</v>
      </c>
      <c r="J72" s="3181">
        <v>9</v>
      </c>
      <c r="K72" s="3181">
        <f t="shared" ca="1" si="17"/>
        <v>-51.65</v>
      </c>
      <c r="L72" s="3182">
        <f t="shared" ca="1" si="18"/>
        <v>0</v>
      </c>
      <c r="M72" s="3182">
        <f t="shared" ca="1" si="15"/>
        <v>0</v>
      </c>
      <c r="N72" s="3182">
        <f t="shared" ca="1" si="19"/>
        <v>635.26</v>
      </c>
      <c r="O72" s="3182">
        <f t="shared" si="16"/>
        <v>192.4</v>
      </c>
      <c r="P72" s="3182">
        <f t="shared" si="20"/>
        <v>13.04</v>
      </c>
      <c r="Q72" s="3182">
        <f t="shared" ca="1" si="21"/>
        <v>2.2599999999999998</v>
      </c>
      <c r="R72" s="3182">
        <f t="shared" ca="1" si="22"/>
        <v>-259.36</v>
      </c>
      <c r="S72" s="3183">
        <f t="shared" ca="1" si="23"/>
        <v>-0.40827377766583761</v>
      </c>
      <c r="T72" s="3182">
        <f t="shared" ca="1" si="24"/>
        <v>0.2</v>
      </c>
      <c r="U72" s="3182">
        <f t="shared" ca="1" si="25"/>
        <v>394.5</v>
      </c>
    </row>
    <row r="73" spans="1:21" ht="27">
      <c r="A73" s="3182">
        <v>71</v>
      </c>
      <c r="B73" s="3184" t="s">
        <v>3445</v>
      </c>
      <c r="C73" s="3184" t="s">
        <v>3631</v>
      </c>
      <c r="D73" s="3182">
        <v>-1</v>
      </c>
      <c r="E73" s="3182">
        <v>3</v>
      </c>
      <c r="F73" s="3531">
        <v>122.01</v>
      </c>
      <c r="G73" s="1428">
        <f ca="1">典型户型修正!R94</f>
        <v>38076</v>
      </c>
      <c r="H73" s="3182">
        <f t="shared" ca="1" si="14"/>
        <v>464.57</v>
      </c>
      <c r="I73" s="3182">
        <v>503.24666999999999</v>
      </c>
      <c r="J73" s="3181">
        <v>9</v>
      </c>
      <c r="K73" s="3181">
        <f t="shared" ca="1" si="17"/>
        <v>-60.8</v>
      </c>
      <c r="L73" s="3182">
        <f t="shared" ca="1" si="18"/>
        <v>0</v>
      </c>
      <c r="M73" s="3182">
        <f t="shared" ca="1" si="15"/>
        <v>0</v>
      </c>
      <c r="N73" s="3182">
        <f t="shared" ca="1" si="19"/>
        <v>747.71</v>
      </c>
      <c r="O73" s="3182">
        <f t="shared" si="16"/>
        <v>226.46</v>
      </c>
      <c r="P73" s="3182">
        <f t="shared" si="20"/>
        <v>15.35</v>
      </c>
      <c r="Q73" s="3182">
        <f t="shared" ca="1" si="21"/>
        <v>2.65</v>
      </c>
      <c r="R73" s="3182">
        <f t="shared" ca="1" si="22"/>
        <v>-305.26</v>
      </c>
      <c r="S73" s="3183">
        <f t="shared" ca="1" si="23"/>
        <v>-0.40825988685452913</v>
      </c>
      <c r="T73" s="3182">
        <f t="shared" ca="1" si="24"/>
        <v>0.23</v>
      </c>
      <c r="U73" s="3182">
        <f t="shared" ca="1" si="25"/>
        <v>464.34</v>
      </c>
    </row>
    <row r="74" spans="1:21" ht="27">
      <c r="A74" s="3182">
        <v>72</v>
      </c>
      <c r="B74" s="3184" t="s">
        <v>3446</v>
      </c>
      <c r="C74" s="3184" t="s">
        <v>3632</v>
      </c>
      <c r="D74" s="3182">
        <v>-1</v>
      </c>
      <c r="E74" s="3182">
        <v>3</v>
      </c>
      <c r="F74" s="3531">
        <v>79.849999999999994</v>
      </c>
      <c r="G74" s="1428">
        <f ca="1">典型户型修正!R95</f>
        <v>38837</v>
      </c>
      <c r="H74" s="3182">
        <f t="shared" ca="1" si="14"/>
        <v>310.11</v>
      </c>
      <c r="I74" s="3182">
        <v>329.352079</v>
      </c>
      <c r="J74" s="3181">
        <v>9</v>
      </c>
      <c r="K74" s="3181">
        <f t="shared" ca="1" si="17"/>
        <v>-34.01</v>
      </c>
      <c r="L74" s="3182">
        <f t="shared" ca="1" si="18"/>
        <v>0</v>
      </c>
      <c r="M74" s="3182">
        <f t="shared" ca="1" si="15"/>
        <v>0</v>
      </c>
      <c r="N74" s="3182">
        <f t="shared" ca="1" si="19"/>
        <v>489.38</v>
      </c>
      <c r="O74" s="3182">
        <f t="shared" si="16"/>
        <v>148.21</v>
      </c>
      <c r="P74" s="3182">
        <f t="shared" si="20"/>
        <v>10.050000000000001</v>
      </c>
      <c r="Q74" s="3182">
        <f t="shared" ca="1" si="21"/>
        <v>1.77</v>
      </c>
      <c r="R74" s="3182">
        <f t="shared" ca="1" si="22"/>
        <v>-194.04</v>
      </c>
      <c r="S74" s="3183">
        <f t="shared" ca="1" si="23"/>
        <v>-0.39650169602353996</v>
      </c>
      <c r="T74" s="3182">
        <f t="shared" ca="1" si="24"/>
        <v>0.16</v>
      </c>
      <c r="U74" s="3182">
        <f t="shared" ca="1" si="25"/>
        <v>309.95</v>
      </c>
    </row>
    <row r="75" spans="1:21" ht="27">
      <c r="A75" s="3182">
        <v>73</v>
      </c>
      <c r="B75" s="3184" t="s">
        <v>3447</v>
      </c>
      <c r="C75" s="3184" t="s">
        <v>3633</v>
      </c>
      <c r="D75" s="3182">
        <v>-1</v>
      </c>
      <c r="E75" s="3182">
        <v>3</v>
      </c>
      <c r="F75" s="3531">
        <v>129.43</v>
      </c>
      <c r="G75" s="1428">
        <f ca="1">典型户型修正!R96</f>
        <v>38076</v>
      </c>
      <c r="H75" s="3182">
        <f t="shared" ca="1" si="14"/>
        <v>492.82</v>
      </c>
      <c r="I75" s="3182">
        <v>533.85147199999994</v>
      </c>
      <c r="J75" s="3181">
        <v>10</v>
      </c>
      <c r="K75" s="3181">
        <f t="shared" ca="1" si="17"/>
        <v>-64.5</v>
      </c>
      <c r="L75" s="3182">
        <f t="shared" ca="1" si="18"/>
        <v>0</v>
      </c>
      <c r="M75" s="3182">
        <f t="shared" ca="1" si="15"/>
        <v>0</v>
      </c>
      <c r="N75" s="3182">
        <f t="shared" ca="1" si="19"/>
        <v>819.88</v>
      </c>
      <c r="O75" s="3182">
        <f t="shared" si="16"/>
        <v>266.93</v>
      </c>
      <c r="P75" s="3182">
        <f t="shared" si="20"/>
        <v>16.28</v>
      </c>
      <c r="Q75" s="3182">
        <f t="shared" ca="1" si="21"/>
        <v>2.82</v>
      </c>
      <c r="R75" s="3182">
        <f t="shared" ca="1" si="22"/>
        <v>-350.53</v>
      </c>
      <c r="S75" s="3183">
        <f t="shared" ca="1" si="23"/>
        <v>-0.42753817631848562</v>
      </c>
      <c r="T75" s="3182">
        <f t="shared" ca="1" si="24"/>
        <v>0.25</v>
      </c>
      <c r="U75" s="3182">
        <f t="shared" ca="1" si="25"/>
        <v>492.57</v>
      </c>
    </row>
    <row r="76" spans="1:21" ht="27">
      <c r="A76" s="3182">
        <v>74</v>
      </c>
      <c r="B76" s="3184" t="s">
        <v>3448</v>
      </c>
      <c r="C76" s="3184" t="s">
        <v>3634</v>
      </c>
      <c r="D76" s="3182">
        <v>-1</v>
      </c>
      <c r="E76" s="3182">
        <v>3</v>
      </c>
      <c r="F76" s="3531">
        <v>62.3</v>
      </c>
      <c r="G76" s="1428">
        <f ca="1">典型户型修正!R97</f>
        <v>38837</v>
      </c>
      <c r="H76" s="3182">
        <f t="shared" ca="1" si="14"/>
        <v>241.95</v>
      </c>
      <c r="I76" s="3182">
        <v>256.96481199999999</v>
      </c>
      <c r="J76" s="3181">
        <v>9</v>
      </c>
      <c r="K76" s="3181">
        <f t="shared" ca="1" si="17"/>
        <v>-26.54</v>
      </c>
      <c r="L76" s="3182">
        <f t="shared" ca="1" si="18"/>
        <v>0</v>
      </c>
      <c r="M76" s="3182">
        <f t="shared" ca="1" si="15"/>
        <v>0</v>
      </c>
      <c r="N76" s="3182">
        <f t="shared" ca="1" si="19"/>
        <v>381.81</v>
      </c>
      <c r="O76" s="3182">
        <f t="shared" si="16"/>
        <v>115.63</v>
      </c>
      <c r="P76" s="3182">
        <f t="shared" si="20"/>
        <v>7.84</v>
      </c>
      <c r="Q76" s="3182">
        <f t="shared" ca="1" si="21"/>
        <v>1.38</v>
      </c>
      <c r="R76" s="3182">
        <f t="shared" ca="1" si="22"/>
        <v>-151.38</v>
      </c>
      <c r="S76" s="3183">
        <f t="shared" ca="1" si="23"/>
        <v>-0.39647992456981218</v>
      </c>
      <c r="T76" s="3182">
        <f t="shared" ca="1" si="24"/>
        <v>0.12</v>
      </c>
      <c r="U76" s="3182">
        <f t="shared" ca="1" si="25"/>
        <v>241.82999999999998</v>
      </c>
    </row>
    <row r="77" spans="1:21" ht="27">
      <c r="A77" s="3182">
        <v>75</v>
      </c>
      <c r="B77" s="3184" t="s">
        <v>3449</v>
      </c>
      <c r="C77" s="3184" t="s">
        <v>3635</v>
      </c>
      <c r="D77" s="3182">
        <v>-1</v>
      </c>
      <c r="E77" s="3182">
        <v>3</v>
      </c>
      <c r="F77" s="3531">
        <v>130.51</v>
      </c>
      <c r="G77" s="1428">
        <f ca="1">典型户型修正!R98</f>
        <v>38076</v>
      </c>
      <c r="H77" s="3182">
        <f t="shared" ca="1" si="14"/>
        <v>496.93</v>
      </c>
      <c r="I77" s="3182">
        <v>400.21329800000001</v>
      </c>
      <c r="J77" s="3181">
        <v>10</v>
      </c>
      <c r="K77" s="3181">
        <f t="shared" ca="1" si="17"/>
        <v>73.05</v>
      </c>
      <c r="L77" s="3182">
        <f t="shared" ca="1" si="18"/>
        <v>4.09</v>
      </c>
      <c r="M77" s="3182">
        <f ca="1">ROUND(IF(S77&lt;=0,0,IF(S77&gt;=200%,R77*60%-N77*35%,IF(S77&gt;=100%,R77*50%-N77*15%,IF(S77&gt;=50%,R77*40%-N77*5%,IF(S77&lt;50%,R77*30%,0))))),2)</f>
        <v>0</v>
      </c>
      <c r="N77" s="3182">
        <f t="shared" ca="1" si="19"/>
        <v>615.37</v>
      </c>
      <c r="O77" s="3182">
        <f t="shared" si="16"/>
        <v>200.11</v>
      </c>
      <c r="P77" s="3182">
        <f t="shared" si="20"/>
        <v>12.21</v>
      </c>
      <c r="Q77" s="3182">
        <f t="shared" ca="1" si="21"/>
        <v>2.84</v>
      </c>
      <c r="R77" s="3182">
        <f t="shared" ca="1" si="22"/>
        <v>-142.1</v>
      </c>
      <c r="S77" s="3183">
        <f t="shared" ca="1" si="23"/>
        <v>-0.23091798430212718</v>
      </c>
      <c r="T77" s="3182">
        <f t="shared" ca="1" si="24"/>
        <v>0.25</v>
      </c>
      <c r="U77" s="3182">
        <f t="shared" ca="1" si="25"/>
        <v>492.59000000000003</v>
      </c>
    </row>
    <row r="78" spans="1:21" ht="27">
      <c r="A78" s="3182">
        <v>76</v>
      </c>
      <c r="B78" s="3184" t="s">
        <v>3450</v>
      </c>
      <c r="C78" s="3184" t="s">
        <v>3636</v>
      </c>
      <c r="D78" s="3182">
        <v>-1</v>
      </c>
      <c r="E78" s="3182">
        <v>3</v>
      </c>
      <c r="F78" s="3531">
        <v>97.03</v>
      </c>
      <c r="G78" s="1428">
        <f ca="1">典型户型修正!R99</f>
        <v>38837</v>
      </c>
      <c r="H78" s="3182">
        <f t="shared" ca="1" si="14"/>
        <v>376.84</v>
      </c>
      <c r="I78" s="3182">
        <v>538.30611900000008</v>
      </c>
      <c r="J78" s="3181">
        <v>9</v>
      </c>
      <c r="K78" s="3181">
        <f t="shared" ca="1" si="17"/>
        <v>-179.41</v>
      </c>
      <c r="L78" s="3182">
        <f t="shared" ca="1" si="18"/>
        <v>0</v>
      </c>
      <c r="M78" s="3182">
        <f t="shared" ca="1" si="15"/>
        <v>0</v>
      </c>
      <c r="N78" s="3182">
        <f t="shared" ca="1" si="19"/>
        <v>799.12</v>
      </c>
      <c r="O78" s="3182">
        <f t="shared" si="16"/>
        <v>242.24</v>
      </c>
      <c r="P78" s="3182">
        <f t="shared" si="20"/>
        <v>16.420000000000002</v>
      </c>
      <c r="Q78" s="3182">
        <f t="shared" ca="1" si="21"/>
        <v>2.15</v>
      </c>
      <c r="R78" s="3182">
        <f t="shared" ca="1" si="22"/>
        <v>-440.22</v>
      </c>
      <c r="S78" s="3183">
        <f t="shared" ca="1" si="23"/>
        <v>-0.55088096906597261</v>
      </c>
      <c r="T78" s="3182">
        <f t="shared" ca="1" si="24"/>
        <v>0.19</v>
      </c>
      <c r="U78" s="3182">
        <f t="shared" ca="1" si="25"/>
        <v>376.65</v>
      </c>
    </row>
    <row r="79" spans="1:21" ht="27">
      <c r="A79" s="3182">
        <v>77</v>
      </c>
      <c r="B79" s="3184" t="s">
        <v>3451</v>
      </c>
      <c r="C79" s="3184" t="s">
        <v>3637</v>
      </c>
      <c r="D79" s="3182">
        <v>-1</v>
      </c>
      <c r="E79" s="3182">
        <v>3</v>
      </c>
      <c r="F79" s="3531">
        <v>105.34</v>
      </c>
      <c r="G79" s="1428">
        <f ca="1">典型户型修正!R100</f>
        <v>38076</v>
      </c>
      <c r="H79" s="3182">
        <f t="shared" ca="1" si="14"/>
        <v>401.09</v>
      </c>
      <c r="I79" s="3182">
        <v>434.48902000000004</v>
      </c>
      <c r="J79" s="3181">
        <v>9</v>
      </c>
      <c r="K79" s="3181">
        <f t="shared" ca="1" si="17"/>
        <v>-52.5</v>
      </c>
      <c r="L79" s="3182">
        <f t="shared" ca="1" si="18"/>
        <v>0</v>
      </c>
      <c r="M79" s="3182">
        <f t="shared" ca="1" si="15"/>
        <v>0</v>
      </c>
      <c r="N79" s="3182">
        <f t="shared" ca="1" si="19"/>
        <v>645.54999999999995</v>
      </c>
      <c r="O79" s="3182">
        <f t="shared" si="16"/>
        <v>195.52</v>
      </c>
      <c r="P79" s="3182">
        <f t="shared" si="20"/>
        <v>13.25</v>
      </c>
      <c r="Q79" s="3182">
        <f t="shared" ca="1" si="21"/>
        <v>2.29</v>
      </c>
      <c r="R79" s="3182">
        <f t="shared" ca="1" si="22"/>
        <v>-263.56</v>
      </c>
      <c r="S79" s="3183">
        <f t="shared" ca="1" si="23"/>
        <v>-0.40827201611029357</v>
      </c>
      <c r="T79" s="3182">
        <f t="shared" ca="1" si="24"/>
        <v>0.2</v>
      </c>
      <c r="U79" s="3182">
        <f t="shared" ca="1" si="25"/>
        <v>400.89</v>
      </c>
    </row>
    <row r="80" spans="1:21" ht="27">
      <c r="A80" s="3182">
        <v>78</v>
      </c>
      <c r="B80" s="3184" t="s">
        <v>3452</v>
      </c>
      <c r="C80" s="3184" t="s">
        <v>3638</v>
      </c>
      <c r="D80" s="3182">
        <v>-1</v>
      </c>
      <c r="E80" s="3182">
        <v>3</v>
      </c>
      <c r="F80" s="3531">
        <v>75.349999999999994</v>
      </c>
      <c r="G80" s="1428">
        <f ca="1">典型户型修正!R101</f>
        <v>38837</v>
      </c>
      <c r="H80" s="3182">
        <f t="shared" ca="1" si="14"/>
        <v>292.64</v>
      </c>
      <c r="I80" s="3182">
        <v>310.79127299999999</v>
      </c>
      <c r="J80" s="3181">
        <v>9</v>
      </c>
      <c r="K80" s="3181">
        <f t="shared" ca="1" si="17"/>
        <v>-32.090000000000003</v>
      </c>
      <c r="L80" s="3182">
        <f t="shared" ca="1" si="18"/>
        <v>0</v>
      </c>
      <c r="M80" s="3182">
        <f t="shared" ca="1" si="15"/>
        <v>0</v>
      </c>
      <c r="N80" s="3182">
        <f t="shared" ca="1" si="19"/>
        <v>461.8</v>
      </c>
      <c r="O80" s="3182">
        <f t="shared" si="16"/>
        <v>139.86000000000001</v>
      </c>
      <c r="P80" s="3182">
        <f t="shared" si="20"/>
        <v>9.48</v>
      </c>
      <c r="Q80" s="3182">
        <f t="shared" ca="1" si="21"/>
        <v>1.67</v>
      </c>
      <c r="R80" s="3182">
        <f t="shared" ca="1" si="22"/>
        <v>-183.1</v>
      </c>
      <c r="S80" s="3183">
        <f t="shared" ca="1" si="23"/>
        <v>-0.39649198787353829</v>
      </c>
      <c r="T80" s="3182">
        <f t="shared" ca="1" si="24"/>
        <v>0.15</v>
      </c>
      <c r="U80" s="3182">
        <f t="shared" ca="1" si="25"/>
        <v>292.49</v>
      </c>
    </row>
    <row r="81" spans="1:21" ht="27">
      <c r="A81" s="3182">
        <v>79</v>
      </c>
      <c r="B81" s="3184" t="s">
        <v>3453</v>
      </c>
      <c r="C81" s="3184" t="s">
        <v>3639</v>
      </c>
      <c r="D81" s="3182">
        <v>-1</v>
      </c>
      <c r="E81" s="3182">
        <v>3</v>
      </c>
      <c r="F81" s="3531">
        <v>100.99</v>
      </c>
      <c r="G81" s="1428">
        <f ca="1">典型户型修正!R102</f>
        <v>38076</v>
      </c>
      <c r="H81" s="3182">
        <f t="shared" ca="1" si="14"/>
        <v>384.53</v>
      </c>
      <c r="I81" s="3182">
        <v>416.54693500000002</v>
      </c>
      <c r="J81" s="3181">
        <v>9</v>
      </c>
      <c r="K81" s="3181">
        <f t="shared" ca="1" si="17"/>
        <v>-50.33</v>
      </c>
      <c r="L81" s="3182">
        <f t="shared" ca="1" si="18"/>
        <v>0</v>
      </c>
      <c r="M81" s="3182">
        <f t="shared" ca="1" si="15"/>
        <v>0</v>
      </c>
      <c r="N81" s="3182">
        <f t="shared" ca="1" si="19"/>
        <v>618.9</v>
      </c>
      <c r="O81" s="3182">
        <f t="shared" si="16"/>
        <v>187.45</v>
      </c>
      <c r="P81" s="3182">
        <f t="shared" si="20"/>
        <v>12.7</v>
      </c>
      <c r="Q81" s="3182">
        <f t="shared" ca="1" si="21"/>
        <v>2.2000000000000002</v>
      </c>
      <c r="R81" s="3182">
        <f t="shared" ca="1" si="22"/>
        <v>-252.68</v>
      </c>
      <c r="S81" s="3183">
        <f t="shared" ca="1" si="23"/>
        <v>-0.40827274196154473</v>
      </c>
      <c r="T81" s="3182">
        <f t="shared" ca="1" si="24"/>
        <v>0.19</v>
      </c>
      <c r="U81" s="3187">
        <f t="shared" ca="1" si="25"/>
        <v>384.34</v>
      </c>
    </row>
    <row r="82" spans="1:21" ht="27">
      <c r="A82" s="3182">
        <v>80</v>
      </c>
      <c r="B82" s="3184" t="s">
        <v>3454</v>
      </c>
      <c r="C82" s="3184" t="s">
        <v>3640</v>
      </c>
      <c r="D82" s="3182">
        <v>-1</v>
      </c>
      <c r="E82" s="3182">
        <v>3</v>
      </c>
      <c r="F82" s="3531">
        <v>265.23</v>
      </c>
      <c r="G82" s="1428">
        <f ca="1">典型户型修正!R103</f>
        <v>37314</v>
      </c>
      <c r="H82" s="3182">
        <f ca="1">ROUND(G82*F82/10000,2)</f>
        <v>989.68</v>
      </c>
      <c r="I82" s="3182">
        <v>1093.976905</v>
      </c>
      <c r="J82" s="3181">
        <v>9</v>
      </c>
      <c r="K82" s="3181">
        <f t="shared" ca="1" si="17"/>
        <v>-151.41999999999999</v>
      </c>
      <c r="L82" s="3182">
        <f t="shared" ca="1" si="18"/>
        <v>0</v>
      </c>
      <c r="M82" s="3182">
        <f t="shared" ca="1" si="15"/>
        <v>0</v>
      </c>
      <c r="N82" s="3182">
        <f t="shared" ca="1" si="19"/>
        <v>1625.3</v>
      </c>
      <c r="O82" s="3182">
        <f t="shared" si="16"/>
        <v>492.29</v>
      </c>
      <c r="P82" s="3182">
        <f t="shared" si="20"/>
        <v>33.369999999999997</v>
      </c>
      <c r="Q82" s="3182">
        <f t="shared" ca="1" si="21"/>
        <v>5.66</v>
      </c>
      <c r="R82" s="3182">
        <f t="shared" ca="1" si="22"/>
        <v>-682.75</v>
      </c>
      <c r="S82" s="3183">
        <f t="shared" ca="1" si="23"/>
        <v>-0.42007629360733406</v>
      </c>
      <c r="T82" s="3182">
        <f t="shared" ca="1" si="24"/>
        <v>0.49</v>
      </c>
      <c r="U82" s="3182">
        <f t="shared" ca="1" si="25"/>
        <v>989.18999999999994</v>
      </c>
    </row>
    <row r="83" spans="1:21">
      <c r="A83" s="3182"/>
      <c r="B83" s="3185"/>
      <c r="C83" s="3185"/>
      <c r="D83" s="3185"/>
      <c r="E83" s="3185"/>
      <c r="F83" s="3531">
        <f>SUM(F3:F82)</f>
        <v>6356.8800000000028</v>
      </c>
      <c r="G83" s="3531"/>
      <c r="H83" s="3533">
        <f ca="1">SUM(H3:H82)</f>
        <v>27659.59</v>
      </c>
      <c r="I83" s="3531">
        <f>SUM(I3:I82)</f>
        <v>19092.702016999989</v>
      </c>
      <c r="J83" s="3531"/>
      <c r="K83" s="3531"/>
      <c r="L83" s="3531">
        <f ca="1">SUM(L3:L82)</f>
        <v>462.76999999999992</v>
      </c>
      <c r="M83" s="3531">
        <f ca="1">SUM(M3:M82)</f>
        <v>605.34999999999991</v>
      </c>
      <c r="N83" s="3531"/>
      <c r="O83" s="3531"/>
      <c r="P83" s="3531"/>
      <c r="Q83" s="3531"/>
      <c r="R83" s="3531">
        <f ca="1">SUM(R3:R82)</f>
        <v>-2862.99</v>
      </c>
      <c r="S83" s="3531"/>
      <c r="T83" s="3531"/>
      <c r="U83" s="3531">
        <f ca="1">SUM(U3:U82)</f>
        <v>26577.639999999996</v>
      </c>
    </row>
    <row r="84" spans="1:21">
      <c r="G84" s="3156">
        <f ca="1">H83/F83</f>
        <v>4.3511266533267872</v>
      </c>
    </row>
    <row r="85" spans="1:21">
      <c r="F85" s="3532"/>
      <c r="H85" s="3534">
        <f ca="1">H83*10000</f>
        <v>276595900</v>
      </c>
      <c r="I85" s="3534"/>
      <c r="J85" s="3534"/>
      <c r="K85" s="3534"/>
      <c r="L85" s="3534"/>
      <c r="M85" s="3534"/>
      <c r="N85" s="3534"/>
      <c r="O85" s="3534"/>
      <c r="P85" s="3534"/>
      <c r="Q85" s="3534"/>
      <c r="R85" s="3534"/>
      <c r="S85" s="3534"/>
      <c r="T85" s="3534"/>
      <c r="U85" s="3534">
        <f t="shared" ref="I85:U85" ca="1" si="26">U83*10000</f>
        <v>265776399.99999997</v>
      </c>
    </row>
  </sheetData>
  <phoneticPr fontId="135"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
    <tabColor rgb="FFFFFF00"/>
    <pageSetUpPr fitToPage="1"/>
  </sheetPr>
  <dimension ref="A1:S33"/>
  <sheetViews>
    <sheetView view="pageBreakPreview" zoomScale="70" zoomScaleNormal="100" zoomScaleSheetLayoutView="70" workbookViewId="0">
      <selection activeCell="H29" sqref="H29"/>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72" t="s">
        <v>1131</v>
      </c>
      <c r="B2" s="3272"/>
      <c r="C2" s="3272"/>
      <c r="D2" s="747" t="s">
        <v>1107</v>
      </c>
      <c r="E2" s="1522" t="s">
        <v>1108</v>
      </c>
      <c r="F2" s="2435"/>
      <c r="G2" s="2428"/>
      <c r="H2" s="2429"/>
      <c r="I2" s="2144" t="s">
        <v>1132</v>
      </c>
      <c r="J2" s="2435"/>
      <c r="K2" s="2435"/>
      <c r="L2" s="2435"/>
      <c r="M2" s="2435"/>
      <c r="N2" s="2436"/>
      <c r="O2" s="2435"/>
      <c r="P2" s="2435"/>
    </row>
    <row r="3" spans="1:16" ht="15.75" thickBot="1">
      <c r="A3" s="3273" t="s">
        <v>1105</v>
      </c>
      <c r="B3" s="3273"/>
      <c r="C3" s="3273"/>
      <c r="D3" s="41">
        <f>'数据-基础表'!AY6</f>
        <v>0</v>
      </c>
      <c r="E3" s="41">
        <f>'数据-基础表'!AZ5</f>
        <v>6356.88</v>
      </c>
      <c r="F3" s="2435"/>
      <c r="G3" s="42"/>
      <c r="H3" s="43" t="s">
        <v>1106</v>
      </c>
      <c r="I3" s="801" t="e">
        <f>ROUND('数据-基础表'!B3/'数据-基础表'!A3,2)</f>
        <v>#DIV/0!</v>
      </c>
      <c r="J3" s="2435"/>
      <c r="K3" s="2435"/>
      <c r="L3" s="2435"/>
      <c r="M3" s="2435"/>
      <c r="N3" s="2436"/>
      <c r="O3" s="2435"/>
      <c r="P3" s="2435"/>
    </row>
    <row r="4" spans="1:16" ht="15">
      <c r="A4" s="3274"/>
      <c r="B4" s="3275"/>
      <c r="C4" s="3276"/>
      <c r="D4" s="1523" t="s">
        <v>1107</v>
      </c>
      <c r="E4" s="1524" t="s">
        <v>1108</v>
      </c>
      <c r="F4" s="2435"/>
      <c r="G4" s="2430" t="s">
        <v>1133</v>
      </c>
      <c r="H4" s="43" t="s">
        <v>1113</v>
      </c>
      <c r="I4" s="801" t="e">
        <f>ROUND(SUMIF('数据-基础表'!I9:AS9,"地上",'数据-基础表'!I5:AS5)/'数据-基础表'!A3,2)</f>
        <v>#DIV/0!</v>
      </c>
      <c r="J4" s="2435"/>
      <c r="K4" s="2435"/>
      <c r="L4" s="2435"/>
      <c r="M4" s="2435"/>
      <c r="N4" s="2436"/>
      <c r="O4" s="2435"/>
      <c r="P4" s="2435"/>
    </row>
    <row r="5" spans="1:16">
      <c r="A5" s="42" t="s">
        <v>1109</v>
      </c>
      <c r="B5" s="3277" t="s">
        <v>1110</v>
      </c>
      <c r="C5" s="3277"/>
      <c r="D5" s="43">
        <f>ROUND($D$3*E5/$E$3,2)</f>
        <v>0</v>
      </c>
      <c r="E5" s="44">
        <f>SUMIF('数据-基础表'!$11:$11,"住宅",'数据-基础表'!$5:$5)</f>
        <v>0</v>
      </c>
      <c r="F5" s="2435"/>
      <c r="G5" s="42"/>
      <c r="H5" s="43" t="s">
        <v>1106</v>
      </c>
      <c r="I5" s="801" t="e">
        <f>ROUND(E31/D31,2)</f>
        <v>#DIV/0!</v>
      </c>
      <c r="J5" s="2435"/>
      <c r="K5" s="2435"/>
      <c r="L5" s="2435"/>
      <c r="M5" s="2435"/>
      <c r="N5" s="2435"/>
      <c r="O5" s="2435"/>
      <c r="P5" s="2435"/>
    </row>
    <row r="6" spans="1:16" ht="15" thickBot="1">
      <c r="A6" s="1526"/>
      <c r="B6" s="3277" t="s">
        <v>1111</v>
      </c>
      <c r="C6" s="3277"/>
      <c r="D6" s="43">
        <f>ROUND($D$3*E6/$E$3,2)</f>
        <v>0</v>
      </c>
      <c r="E6" s="44">
        <f>E3-E5</f>
        <v>6356.88</v>
      </c>
      <c r="F6" s="2435"/>
      <c r="G6" s="1528" t="s">
        <v>1112</v>
      </c>
      <c r="H6" s="45" t="s">
        <v>1113</v>
      </c>
      <c r="I6" s="2431" t="e">
        <f>ROUND(F31/D31,2)</f>
        <v>#DIV/0!</v>
      </c>
      <c r="J6" s="2435"/>
      <c r="K6" s="2435"/>
      <c r="L6" s="2435"/>
      <c r="M6" s="2435"/>
      <c r="N6" s="2435"/>
      <c r="O6" s="2435"/>
      <c r="P6" s="2435"/>
    </row>
    <row r="7" spans="1:16" ht="15.75" thickBot="1">
      <c r="A7" s="3269"/>
      <c r="B7" s="3270"/>
      <c r="C7" s="3271"/>
      <c r="D7" s="1523" t="s">
        <v>1107</v>
      </c>
      <c r="E7" s="1527" t="s">
        <v>1114</v>
      </c>
      <c r="F7" s="2435"/>
      <c r="G7" s="2432" t="s">
        <v>1115</v>
      </c>
      <c r="H7" s="95"/>
      <c r="I7" s="2433">
        <v>3.97</v>
      </c>
      <c r="J7" s="2435"/>
      <c r="K7" s="2435"/>
      <c r="L7" s="2435"/>
      <c r="M7" s="2435"/>
      <c r="N7" s="2435"/>
      <c r="O7" s="2435"/>
      <c r="P7" s="2435"/>
    </row>
    <row r="8" spans="1:16">
      <c r="A8" s="42" t="s">
        <v>1116</v>
      </c>
      <c r="B8" s="45" t="s">
        <v>1117</v>
      </c>
      <c r="C8" s="43" t="s">
        <v>1118</v>
      </c>
      <c r="D8" s="43">
        <f t="shared" ref="D8:D15" si="0">ROUND($D$3*E8/$E$3,2)</f>
        <v>0</v>
      </c>
      <c r="E8" s="46">
        <f>SUMIF('数据-基础表'!BB10:BK10,"地上",'数据-基础表'!BB5:BK5)</f>
        <v>4430.01</v>
      </c>
      <c r="F8" s="2435"/>
      <c r="G8" s="2435"/>
      <c r="H8" s="2435"/>
      <c r="I8" s="2435"/>
      <c r="J8" s="2435"/>
      <c r="K8" s="2435"/>
      <c r="L8" s="2435"/>
      <c r="M8" s="2435"/>
      <c r="N8" s="2435"/>
      <c r="O8" s="2435"/>
      <c r="P8" s="2435"/>
    </row>
    <row r="9" spans="1:16">
      <c r="A9" s="1528"/>
      <c r="B9" s="1529"/>
      <c r="C9" s="43" t="s">
        <v>1119</v>
      </c>
      <c r="D9" s="43">
        <f t="shared" si="0"/>
        <v>0</v>
      </c>
      <c r="E9" s="47">
        <v>0</v>
      </c>
      <c r="F9" s="2435"/>
      <c r="G9" s="2435"/>
      <c r="H9" s="2435"/>
      <c r="I9" s="2435"/>
      <c r="J9" s="2435"/>
      <c r="K9" s="2435"/>
      <c r="L9" s="2435"/>
      <c r="M9" s="2435"/>
      <c r="N9" s="2435"/>
      <c r="O9" s="2435"/>
      <c r="P9" s="2435"/>
    </row>
    <row r="10" spans="1:16">
      <c r="A10" s="1528"/>
      <c r="B10" s="1529"/>
      <c r="C10" s="43" t="s">
        <v>1128</v>
      </c>
      <c r="D10" s="43">
        <f t="shared" si="0"/>
        <v>0</v>
      </c>
      <c r="E10" s="46">
        <f>SUMPRODUCT(('数据-基础表'!BB10:BK10="地下")*('数据-基础表'!BB11:BK11="商业")*('数据-基础表'!BB5:BK5))</f>
        <v>1926.8699999999997</v>
      </c>
      <c r="F10" s="2435"/>
      <c r="G10" s="2435"/>
      <c r="H10" s="2435"/>
      <c r="I10" s="2435"/>
      <c r="J10" s="2435"/>
      <c r="K10" s="2435"/>
      <c r="L10" s="2435"/>
      <c r="M10" s="2435"/>
      <c r="N10" s="2435"/>
      <c r="O10" s="2435"/>
      <c r="P10" s="2435"/>
    </row>
    <row r="11" spans="1:16">
      <c r="A11" s="1528"/>
      <c r="B11" s="1529"/>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c r="A12" s="1528"/>
      <c r="B12" s="1529"/>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c r="A13" s="1528"/>
      <c r="B13" s="1529"/>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c r="A14" s="1528"/>
      <c r="B14" s="1529"/>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8"/>
      <c r="B15" s="1529"/>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75" thickBot="1">
      <c r="A16" s="1526"/>
      <c r="B16" s="1529"/>
      <c r="C16" s="45" t="s">
        <v>1123</v>
      </c>
      <c r="D16" s="45">
        <f>SUM(D8:D15)</f>
        <v>0</v>
      </c>
      <c r="E16" s="48">
        <f>SUM(E8:E15)</f>
        <v>6356.88</v>
      </c>
      <c r="F16" s="2435"/>
      <c r="G16" s="2435"/>
      <c r="H16" s="1530" t="s">
        <v>1135</v>
      </c>
      <c r="I16" s="1531"/>
      <c r="J16" s="1070"/>
      <c r="K16" s="3266" t="s">
        <v>1135</v>
      </c>
      <c r="L16" s="3267"/>
      <c r="M16" s="3267"/>
      <c r="N16" s="3267"/>
      <c r="O16" s="3267"/>
      <c r="P16" s="3268"/>
    </row>
    <row r="17" spans="1:19" ht="15">
      <c r="A17" s="1532" t="s">
        <v>1136</v>
      </c>
      <c r="B17" s="1533" t="s">
        <v>1137</v>
      </c>
      <c r="C17" s="1534" t="s">
        <v>1138</v>
      </c>
      <c r="D17" s="1535" t="s">
        <v>1126</v>
      </c>
      <c r="E17" s="1536" t="s">
        <v>1127</v>
      </c>
      <c r="F17" s="1537"/>
      <c r="G17" s="1538"/>
      <c r="H17" s="1539" t="s">
        <v>1139</v>
      </c>
      <c r="I17" s="1540" t="s">
        <v>1124</v>
      </c>
      <c r="J17" s="1070"/>
      <c r="K17" s="3263" t="s">
        <v>1140</v>
      </c>
      <c r="L17" s="3264"/>
      <c r="M17" s="3265"/>
      <c r="N17" s="3263" t="s">
        <v>1141</v>
      </c>
      <c r="O17" s="3264"/>
      <c r="P17" s="3265"/>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2" t="s">
        <v>3650</v>
      </c>
      <c r="D19" s="43">
        <f>ROUND($D$3*E19/$E$3,2)</f>
        <v>0</v>
      </c>
      <c r="E19" s="51">
        <f t="shared" ref="E19:E26" si="1">SUM(F19:G19)</f>
        <v>113.41</v>
      </c>
      <c r="F19" s="2554">
        <f>面积!F2</f>
        <v>113.41</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113.41</v>
      </c>
    </row>
    <row r="20" spans="1:19">
      <c r="A20" s="1548"/>
      <c r="B20" s="45" t="s">
        <v>1153</v>
      </c>
      <c r="C20" s="3112" t="s">
        <v>3648</v>
      </c>
      <c r="D20" s="43">
        <f t="shared" ref="D20:D26" si="6">ROUND($D$3*E20/$E$3,2)</f>
        <v>0</v>
      </c>
      <c r="E20" s="51">
        <f t="shared" si="1"/>
        <v>6243.47</v>
      </c>
      <c r="F20" s="2554">
        <f>'数据-基础表'!I13-'数据-汇总表'!F19</f>
        <v>4316.6000000000004</v>
      </c>
      <c r="G20" s="1242">
        <f>'数据-基础表'!K13</f>
        <v>1926.8699999999997</v>
      </c>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6243.47</v>
      </c>
    </row>
    <row r="21" spans="1:19">
      <c r="A21" s="1548"/>
      <c r="B21" s="45" t="s">
        <v>1153</v>
      </c>
      <c r="C21" s="3112"/>
      <c r="D21" s="43">
        <f t="shared" si="6"/>
        <v>0</v>
      </c>
      <c r="E21" s="51">
        <f t="shared" si="1"/>
        <v>0</v>
      </c>
      <c r="F21" s="2554"/>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3"/>
      <c r="D22" s="43">
        <f t="shared" si="6"/>
        <v>0</v>
      </c>
      <c r="E22" s="51">
        <f t="shared" si="1"/>
        <v>0</v>
      </c>
      <c r="F22" s="2555"/>
      <c r="G22" s="2556"/>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3"/>
      <c r="D23" s="43">
        <f>ROUND($D$3*E23/$E$3,2)</f>
        <v>0</v>
      </c>
      <c r="E23" s="51">
        <f>SUM(F23:G23)</f>
        <v>0</v>
      </c>
      <c r="F23" s="2555"/>
      <c r="G23" s="2556"/>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3"/>
      <c r="D24" s="43">
        <f>ROUND($D$3*E24/$E$3,2)</f>
        <v>0</v>
      </c>
      <c r="E24" s="51">
        <f>SUM(F24:G24)</f>
        <v>0</v>
      </c>
      <c r="F24" s="2555"/>
      <c r="G24" s="2556"/>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3"/>
      <c r="D25" s="43">
        <f t="shared" si="6"/>
        <v>0</v>
      </c>
      <c r="E25" s="51">
        <f t="shared" si="1"/>
        <v>0</v>
      </c>
      <c r="F25" s="2555"/>
      <c r="G25" s="2556"/>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5"/>
      <c r="G26" s="2556"/>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6356.88</v>
      </c>
      <c r="F27" s="1071">
        <f>IF(SUM(F19:F26)=E8,SUM(F19:F26),"地上面积有误")</f>
        <v>4430.01</v>
      </c>
      <c r="G27" s="1073">
        <f>SUM(G19:G26)</f>
        <v>1926.8699999999997</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6356.88</v>
      </c>
    </row>
    <row r="28" spans="1:19">
      <c r="A28" s="1548"/>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c r="A29" s="1548"/>
      <c r="B29" s="45" t="s">
        <v>1155</v>
      </c>
      <c r="C29" s="1554"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5">
      <c r="A30" s="1548"/>
      <c r="B30" s="45"/>
      <c r="C30" s="1555" t="s">
        <v>1154</v>
      </c>
      <c r="D30" s="1071">
        <f>SUM(D28:D29)</f>
        <v>0</v>
      </c>
      <c r="E30" s="1071">
        <f>SUM(E28:E29)</f>
        <v>0</v>
      </c>
      <c r="F30" s="1071">
        <f>SUM(F28:F29)</f>
        <v>0</v>
      </c>
      <c r="G30" s="1073">
        <f>SUM(G28:G29)</f>
        <v>0</v>
      </c>
      <c r="H30" s="2435"/>
      <c r="I30" s="2435"/>
      <c r="J30" s="2435"/>
      <c r="K30" s="2435"/>
      <c r="L30" s="2435"/>
      <c r="M30" s="2435"/>
      <c r="N30" s="2435"/>
      <c r="O30" s="2435"/>
      <c r="P30" s="2435"/>
    </row>
    <row r="31" spans="1:19" ht="15.75" thickBot="1">
      <c r="A31" s="1556"/>
      <c r="B31" s="96"/>
      <c r="C31" s="784" t="s">
        <v>1158</v>
      </c>
      <c r="D31" s="642">
        <f>D27+D30</f>
        <v>0</v>
      </c>
      <c r="E31" s="642">
        <f>E27+E30</f>
        <v>6356.88</v>
      </c>
      <c r="F31" s="643">
        <f>F27+F30</f>
        <v>4430.01</v>
      </c>
      <c r="G31" s="644">
        <f>G27+G30</f>
        <v>1926.8699999999997</v>
      </c>
      <c r="H31" s="2435"/>
      <c r="I31" s="2435"/>
      <c r="J31" s="2435"/>
      <c r="K31" s="2435"/>
      <c r="L31" s="2435"/>
      <c r="M31" s="2435"/>
      <c r="N31" s="2435"/>
      <c r="O31" s="2435"/>
      <c r="P31" s="2435"/>
    </row>
    <row r="32" spans="1:19">
      <c r="A32" s="1525"/>
      <c r="B32" s="1525" t="s">
        <v>1159</v>
      </c>
      <c r="C32" s="1525"/>
      <c r="D32" s="1525"/>
      <c r="E32" s="989">
        <f>SUMIF(C19:C26,"*住宅*",E19:E26)</f>
        <v>0</v>
      </c>
      <c r="F32" s="1525"/>
      <c r="G32" s="1525"/>
      <c r="H32" s="2435"/>
      <c r="I32" s="2435"/>
      <c r="J32" s="2435"/>
      <c r="K32" s="2435"/>
      <c r="L32" s="2435"/>
      <c r="M32" s="2435"/>
      <c r="N32" s="2435"/>
      <c r="O32" s="2435"/>
      <c r="P32" s="2435"/>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1100-000000000000}">
      <formula1>类别</formula1>
    </dataValidation>
    <dataValidation type="list" allowBlank="1" showInputMessage="1" showErrorMessage="1" sqref="I17" xr:uid="{00000000-0002-0000-11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L21" sqref="L21"/>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50" customFormat="1" ht="15.75" thickBot="1">
      <c r="A2" s="1561" t="s">
        <v>1161</v>
      </c>
      <c r="B2" s="983">
        <f>项目基本情况!D3</f>
        <v>45022</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5"/>
      <c r="AO2" s="2435"/>
      <c r="AP2" s="2435"/>
      <c r="AQ2" s="2435"/>
      <c r="AR2" s="2435"/>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5"/>
      <c r="AO3" s="2435"/>
      <c r="AP3" s="2435"/>
      <c r="AQ3" s="2435"/>
      <c r="AR3" s="2435"/>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4"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5"/>
      <c r="AO4" s="2435"/>
      <c r="AP4" s="2435"/>
      <c r="AQ4" s="2435"/>
      <c r="AR4" s="2435"/>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3536</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25">
      <c r="A6" s="1585" t="str">
        <f>'数据-汇总表'!C19</f>
        <v>1层001号商业</v>
      </c>
      <c r="B6" s="1586" t="str">
        <f>IF(A6=0,"","经营性")</f>
        <v>经营性</v>
      </c>
      <c r="C6" s="1587" t="s">
        <v>673</v>
      </c>
      <c r="D6" s="804">
        <f>SUMIF(项目基本情况!C$12:I$12,C6,项目基本情况!C$14:I$14)</f>
        <v>40</v>
      </c>
      <c r="E6" s="803">
        <f>IF(B6="","",SUMIF(项目基本情况!C$12:I$12,C6,项目基本情况!C$13:I$13))</f>
        <v>63198</v>
      </c>
      <c r="F6" s="61">
        <f>SUMIF(项目基本情况!C$12:I$12,C6,项目基本情况!C$15:I$15)</f>
        <v>40</v>
      </c>
      <c r="G6" s="62">
        <f>IF(ISERROR(ROUND(POWER(1+H6,D6-F6)*(POWER(1+H6,F6)-1)/(POWER(1+H6,D6)-1),3)),0,ROUND(POWER(1+H6,D6-F6)*(POWER(1+H6,F6)-1)/(POWER(1+H6,D6)-1),3))</f>
        <v>1</v>
      </c>
      <c r="H6" s="690">
        <v>0.05</v>
      </c>
      <c r="I6" s="690">
        <v>0.06</v>
      </c>
      <c r="J6" s="63"/>
      <c r="K6" s="969">
        <f>SUMIF('数据-汇总表'!C$19:C$33,A6,'数据-汇总表'!E$19:E$33)</f>
        <v>113.41</v>
      </c>
      <c r="L6" s="691">
        <v>3000</v>
      </c>
      <c r="M6" s="64">
        <f t="shared" ref="M6:M14" si="0">ROUND(K6*L6/10000,0)</f>
        <v>34</v>
      </c>
      <c r="N6" s="689">
        <v>0.8</v>
      </c>
      <c r="O6" s="64" t="str">
        <f>IF($N$5="成新度","——",ROUND(M6*N6,0))</f>
        <v>——</v>
      </c>
      <c r="P6" s="65" t="str">
        <f>IF($N$5="成新度","——",M6-O6)</f>
        <v>——</v>
      </c>
      <c r="Q6" s="692">
        <v>0.2</v>
      </c>
      <c r="R6" s="66">
        <f ca="1">SUMIF('数据-汇总表'!C$19:C$33,A6,'数据-汇总表'!R$19:R$27)</f>
        <v>0</v>
      </c>
      <c r="S6" s="49">
        <f>IF('数据-汇总表'!$I$17="按面积比例",SUMIF('数据-汇总表'!C$19:C$33,A6,'数据-汇总表'!K$19:K$33),SUMIF('数据-汇总表'!C$19:C$33,A6,'数据-汇总表'!N$19:N$33))</f>
        <v>0</v>
      </c>
      <c r="T6" s="1091">
        <f>ROUND($L$14*S6/10000,0)</f>
        <v>0</v>
      </c>
      <c r="U6" s="3123">
        <v>12</v>
      </c>
      <c r="V6" s="67">
        <v>0.02</v>
      </c>
      <c r="W6" s="67">
        <v>0.1</v>
      </c>
      <c r="X6" s="978"/>
      <c r="Y6" s="68">
        <f>N6</f>
        <v>0.8</v>
      </c>
      <c r="Z6" s="69"/>
      <c r="AA6" s="63"/>
      <c r="AB6" s="63"/>
      <c r="AC6" s="978"/>
      <c r="AD6" s="70"/>
      <c r="AE6" s="979">
        <f ca="1">IF(AN6="",0,SUMIF(INDIRECT("'"&amp;AN6&amp;"'"&amp;"!E:E"),$AE$5,INDIRECT("'"&amp;AN6&amp;"'"&amp;"!F:F")))</f>
        <v>40</v>
      </c>
      <c r="AF6" s="74"/>
      <c r="AG6" s="130">
        <f>IF(AF6="",0,AE6-AF6)</f>
        <v>0</v>
      </c>
      <c r="AH6" s="71"/>
      <c r="AI6" s="73">
        <v>365</v>
      </c>
      <c r="AJ6" s="74"/>
      <c r="AK6" s="75">
        <v>1.4999999999999999E-2</v>
      </c>
      <c r="AL6" s="76">
        <v>1.5E-3</v>
      </c>
      <c r="AM6" s="77">
        <v>0.02</v>
      </c>
      <c r="AN6" s="1588" t="s">
        <v>3652</v>
      </c>
      <c r="AO6" s="50">
        <f ca="1">SUMIF(INDIRECT("'"&amp;AN6&amp;"'"&amp;"!A:A"),"总价",INDIRECT("'"&amp;AN6&amp;"'"&amp;"!B:B"))</f>
        <v>697.60239999999999</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t="str">
        <f>'数据-汇总表'!C20</f>
        <v>其他商业</v>
      </c>
      <c r="B7" s="1586" t="str">
        <f t="shared" ref="B7:B13" si="1">IF(A7=0,"","经营性")</f>
        <v>经营性</v>
      </c>
      <c r="C7" s="1587"/>
      <c r="D7" s="804">
        <f>SUMIF(项目基本情况!C$12:I$12,C7,项目基本情况!C$14:I$14)</f>
        <v>0</v>
      </c>
      <c r="E7" s="803">
        <f>IF(B7="","",SUMIF(项目基本情况!C$12:I$12,C7,项目基本情况!C$13:I$13))</f>
        <v>0</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6243.47</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3"/>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4"/>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3"/>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3"/>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3"/>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3"/>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5"/>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5"/>
      <c r="AO14" s="2435"/>
      <c r="AP14" s="2435"/>
      <c r="AQ14" s="2435"/>
      <c r="AR14" s="2435"/>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5"/>
      <c r="AO15" s="2435"/>
      <c r="AP15" s="2435"/>
      <c r="AQ15" s="2435"/>
      <c r="AR15" s="2435"/>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1</v>
      </c>
      <c r="H16" s="84">
        <f>ROUND(SUMPRODUCT(H6:H13,K6:K13)/SUMPRODUCT((H6:H13&gt;0)*(K6:K13)),3)</f>
        <v>0.05</v>
      </c>
      <c r="I16" s="85"/>
      <c r="J16" s="85"/>
      <c r="K16" s="86">
        <f>SUM(K6:K15)</f>
        <v>6356.88</v>
      </c>
      <c r="L16" s="87">
        <f>ROUND(M16*10000/SUM(K6:K14),0)</f>
        <v>53</v>
      </c>
      <c r="M16" s="87">
        <f>SUM(M6:M14)</f>
        <v>34</v>
      </c>
      <c r="N16" s="88">
        <f>ROUND(SUMPRODUCT(M6:M14,N6:N14)/M16,3)</f>
        <v>0.8</v>
      </c>
      <c r="O16" s="87">
        <f>SUM(O6:O14)</f>
        <v>0</v>
      </c>
      <c r="P16" s="87">
        <f>SUM(P6:P14)</f>
        <v>0</v>
      </c>
      <c r="Q16" s="89">
        <f>ROUND(SUMPRODUCT(Q6:Q13,K6:K13)/SUMPRODUCT((Q6:Q13&gt;0)*(K6:K13)),2)</f>
        <v>0.2</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5"/>
      <c r="AP16" s="2435"/>
      <c r="AQ16" s="2435"/>
      <c r="AR16" s="2435"/>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5"/>
      <c r="D18" s="2448"/>
      <c r="E18" s="2435"/>
      <c r="F18" s="2435"/>
      <c r="G18" s="2435"/>
      <c r="H18" s="2435"/>
      <c r="I18" s="2435"/>
      <c r="J18" s="2435"/>
      <c r="K18" s="2446"/>
      <c r="L18" s="2446"/>
      <c r="M18" s="2445"/>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25">
      <c r="A19" s="1595" t="s">
        <v>1211</v>
      </c>
      <c r="B19" s="97">
        <v>0</v>
      </c>
      <c r="C19" s="2557" t="s">
        <v>2289</v>
      </c>
      <c r="D19" s="2448"/>
      <c r="E19" s="2435"/>
      <c r="F19" s="2435"/>
      <c r="G19" s="2435"/>
      <c r="H19" s="2435"/>
      <c r="I19" s="2435"/>
      <c r="J19" s="2435"/>
      <c r="K19" s="2446"/>
      <c r="L19" s="2446"/>
      <c r="M19" s="2445"/>
      <c r="N19" s="2445">
        <f>2023-2011</f>
        <v>12</v>
      </c>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25">
      <c r="A20" s="1596" t="s">
        <v>1212</v>
      </c>
      <c r="B20" s="98">
        <v>2</v>
      </c>
      <c r="C20" s="2558" t="s">
        <v>2287</v>
      </c>
      <c r="D20" s="2448"/>
      <c r="E20" s="2435"/>
      <c r="F20" s="2435"/>
      <c r="G20" s="2435"/>
      <c r="H20" s="2435"/>
      <c r="I20" s="2435"/>
      <c r="J20" s="2435"/>
      <c r="K20" s="2446"/>
      <c r="L20" s="3188"/>
      <c r="M20" s="2445"/>
      <c r="N20" s="2445">
        <f>48/60</f>
        <v>0.8</v>
      </c>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25">
      <c r="A21" s="1597" t="s">
        <v>1213</v>
      </c>
      <c r="B21" s="98">
        <v>2</v>
      </c>
      <c r="C21" s="2435"/>
      <c r="D21" s="2448"/>
      <c r="E21" s="2435"/>
      <c r="F21" s="2435"/>
      <c r="G21" s="2435"/>
      <c r="H21" s="2435"/>
      <c r="I21" s="2435"/>
      <c r="J21" s="2435"/>
      <c r="K21" s="2446"/>
      <c r="L21" s="2446"/>
      <c r="M21" s="2445"/>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25">
      <c r="A22" s="1596" t="s">
        <v>1214</v>
      </c>
      <c r="B22" s="99">
        <f>B19+B20</f>
        <v>2</v>
      </c>
      <c r="C22" s="2435"/>
      <c r="D22" s="2448"/>
      <c r="E22" s="2435"/>
      <c r="F22" s="2435"/>
      <c r="G22" s="2435"/>
      <c r="H22" s="2435"/>
      <c r="I22" s="2435"/>
      <c r="J22" s="2435"/>
      <c r="K22" s="2446"/>
      <c r="L22" s="244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25">
      <c r="A23" s="1597" t="s">
        <v>1215</v>
      </c>
      <c r="B23" s="99">
        <f>B19+B21</f>
        <v>2</v>
      </c>
      <c r="C23" s="2435"/>
      <c r="D23" s="2448"/>
      <c r="E23" s="2435"/>
      <c r="F23" s="2435"/>
      <c r="G23" s="2435"/>
      <c r="H23" s="2435"/>
      <c r="I23" s="2435"/>
      <c r="J23" s="2435"/>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8" t="s">
        <v>1216</v>
      </c>
      <c r="B24" s="100">
        <f>B20-B21</f>
        <v>0</v>
      </c>
      <c r="C24" s="2435"/>
      <c r="D24" s="2448"/>
      <c r="E24" s="2435"/>
      <c r="F24" s="2435"/>
      <c r="G24" s="2435"/>
      <c r="H24" s="2435"/>
      <c r="I24" s="2435"/>
      <c r="J24" s="2435"/>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5" thickBot="1">
      <c r="A25" s="1448"/>
      <c r="B25" s="1541"/>
      <c r="C25" s="2435"/>
      <c r="D25" s="2448"/>
      <c r="E25" s="2435"/>
      <c r="F25" s="2435"/>
      <c r="G25" s="2435"/>
      <c r="H25" s="2435"/>
      <c r="I25" s="2435"/>
      <c r="J25" s="2435"/>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1" t="s">
        <v>1217</v>
      </c>
      <c r="B26" s="1599" t="s">
        <v>1218</v>
      </c>
      <c r="C26" s="2449" t="s">
        <v>1219</v>
      </c>
      <c r="D26" s="2448"/>
      <c r="E26" s="2435"/>
      <c r="F26" s="2435"/>
      <c r="G26" s="2435"/>
      <c r="H26" s="2435"/>
      <c r="I26" s="2435"/>
      <c r="J26" s="2435"/>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7.75">
      <c r="A27" s="1600" t="s">
        <v>1220</v>
      </c>
      <c r="B27" s="101">
        <v>160</v>
      </c>
      <c r="C27" s="2559" t="s">
        <v>2291</v>
      </c>
      <c r="D27" s="2451"/>
      <c r="E27" s="2436"/>
      <c r="F27" s="2436"/>
      <c r="G27" s="2435"/>
      <c r="H27" s="2435"/>
      <c r="I27" s="2435"/>
      <c r="J27" s="2435"/>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7.75">
      <c r="A28" s="1601" t="s">
        <v>1221</v>
      </c>
      <c r="B28" s="103">
        <v>200</v>
      </c>
      <c r="C28" s="2452"/>
      <c r="D28" s="2451"/>
      <c r="E28" s="2436"/>
      <c r="F28" s="2436"/>
      <c r="G28" s="2435"/>
      <c r="H28" s="2435"/>
      <c r="I28" s="2435"/>
      <c r="J28" s="2435"/>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8.5" thickBot="1">
      <c r="A29" s="1602" t="s">
        <v>1222</v>
      </c>
      <c r="B29" s="105">
        <f ca="1">成本法!C10</f>
        <v>127</v>
      </c>
      <c r="C29" s="2560" t="s">
        <v>2278</v>
      </c>
      <c r="D29" s="2451"/>
      <c r="E29" s="2436"/>
      <c r="F29" s="2436"/>
      <c r="G29" s="2435"/>
      <c r="H29" s="2435"/>
      <c r="I29" s="2435"/>
      <c r="J29" s="2435"/>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7">
      <c r="A30" s="1603" t="s">
        <v>1223</v>
      </c>
      <c r="B30" s="637">
        <v>200</v>
      </c>
      <c r="C30" s="2452"/>
      <c r="D30" s="2451"/>
      <c r="E30" s="2436"/>
      <c r="F30" s="2436"/>
      <c r="G30" s="2435"/>
      <c r="H30" s="2435"/>
      <c r="I30" s="2435"/>
      <c r="J30" s="2435"/>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7">
      <c r="A31" s="1601" t="s">
        <v>1224</v>
      </c>
      <c r="B31" s="104">
        <f>B30-B32</f>
        <v>200</v>
      </c>
      <c r="C31" s="2450"/>
      <c r="D31" s="2451"/>
      <c r="E31" s="2436"/>
      <c r="F31" s="2436"/>
      <c r="G31" s="2435"/>
      <c r="H31" s="2435"/>
      <c r="I31" s="2435"/>
      <c r="J31" s="2435"/>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7.75" thickBot="1">
      <c r="A32" s="1604" t="s">
        <v>1225</v>
      </c>
      <c r="B32" s="638">
        <v>0</v>
      </c>
      <c r="C32" s="2452"/>
      <c r="D32" s="2448"/>
      <c r="E32" s="2435"/>
      <c r="F32" s="2435"/>
      <c r="G32" s="2435"/>
      <c r="H32" s="2435"/>
      <c r="I32" s="2435"/>
      <c r="J32" s="2435"/>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25">
      <c r="A33" s="1600" t="s">
        <v>1226</v>
      </c>
      <c r="B33" s="639">
        <v>0.03</v>
      </c>
      <c r="C33" s="2561" t="s">
        <v>2279</v>
      </c>
      <c r="D33" s="2448"/>
      <c r="E33" s="2435"/>
      <c r="F33" s="2435"/>
      <c r="G33" s="2435"/>
      <c r="H33" s="2435"/>
      <c r="I33" s="2435"/>
      <c r="J33" s="2435"/>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25">
      <c r="A34" s="1601" t="s">
        <v>1227</v>
      </c>
      <c r="B34" s="106">
        <v>0</v>
      </c>
      <c r="C34" s="2561" t="s">
        <v>2280</v>
      </c>
      <c r="D34" s="2456" t="s">
        <v>2288</v>
      </c>
      <c r="E34" s="2454"/>
      <c r="F34" s="2435"/>
      <c r="G34" s="2435"/>
      <c r="H34" s="2435"/>
      <c r="I34" s="2435"/>
      <c r="J34" s="2435"/>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25">
      <c r="A35" s="1601" t="s">
        <v>1228</v>
      </c>
      <c r="B35" s="103">
        <v>200</v>
      </c>
      <c r="C35" s="2561" t="s">
        <v>2281</v>
      </c>
      <c r="D35" s="2451"/>
      <c r="E35" s="2436"/>
      <c r="F35" s="2436"/>
      <c r="G35" s="2435"/>
      <c r="H35" s="2435"/>
      <c r="I35" s="2435"/>
      <c r="J35" s="2435"/>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2" t="s">
        <v>1229</v>
      </c>
      <c r="B36" s="107">
        <v>1.4999999999999999E-2</v>
      </c>
      <c r="C36" s="2561" t="s">
        <v>2282</v>
      </c>
      <c r="D36" s="2448"/>
      <c r="E36" s="2435"/>
      <c r="F36" s="2435"/>
      <c r="G36" s="2435"/>
      <c r="H36" s="2435"/>
      <c r="I36" s="2435"/>
      <c r="J36" s="2435"/>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25">
      <c r="A37" s="1603" t="s">
        <v>1230</v>
      </c>
      <c r="B37" s="108">
        <v>0.02</v>
      </c>
      <c r="C37" s="2561" t="s">
        <v>2283</v>
      </c>
      <c r="D37" s="2448"/>
      <c r="E37" s="2435"/>
      <c r="F37" s="2435"/>
      <c r="G37" s="2435"/>
      <c r="H37" s="2435"/>
      <c r="I37" s="2435"/>
      <c r="J37" s="2435"/>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25">
      <c r="A38" s="1601" t="s">
        <v>1231</v>
      </c>
      <c r="B38" s="106">
        <v>0.02</v>
      </c>
      <c r="C38" s="2561" t="s">
        <v>2283</v>
      </c>
      <c r="D38" s="2448"/>
      <c r="E38" s="2435"/>
      <c r="F38" s="2435"/>
      <c r="G38" s="2435"/>
      <c r="H38" s="2435"/>
      <c r="I38" s="2435"/>
      <c r="J38" s="2435"/>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25">
      <c r="A39" s="1604" t="s">
        <v>1232</v>
      </c>
      <c r="B39" s="308">
        <f ca="1">存贷款利率!I1</f>
        <v>1.4999999999999999E-2</v>
      </c>
      <c r="C39" s="2453"/>
      <c r="D39" s="2448"/>
      <c r="E39" s="2435"/>
      <c r="F39" s="2435"/>
      <c r="G39" s="2435"/>
      <c r="H39" s="2435"/>
      <c r="I39" s="2435"/>
      <c r="J39" s="2435"/>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29.25" thickBot="1">
      <c r="A40" s="2570" t="s">
        <v>3537</v>
      </c>
      <c r="B40" s="1014">
        <f ca="1">IF(A40="利息：取LPR",存贷款利率!G1,存贷款利率!G1+C40)</f>
        <v>4.1499999999999995E-2</v>
      </c>
      <c r="C40" s="2569">
        <v>5.0000000000000001E-3</v>
      </c>
      <c r="D40" s="2445"/>
      <c r="E40" s="2448"/>
      <c r="F40" s="2435"/>
      <c r="G40" s="2435"/>
      <c r="H40" s="2435"/>
      <c r="I40" s="2435"/>
      <c r="J40" s="2435"/>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25">
      <c r="A41" s="1600" t="s">
        <v>1233</v>
      </c>
      <c r="B41" s="109">
        <f>B42+B43</f>
        <v>5.6000000000000001E-2</v>
      </c>
      <c r="C41" s="2450"/>
      <c r="D41" s="2445"/>
      <c r="E41" s="2448"/>
      <c r="F41" s="2435"/>
      <c r="G41" s="2435"/>
      <c r="H41" s="2435"/>
      <c r="I41" s="2435"/>
      <c r="J41" s="2435"/>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25">
      <c r="A42" s="1605" t="s">
        <v>1234</v>
      </c>
      <c r="B42" s="110">
        <v>0.05</v>
      </c>
      <c r="C42" s="2455">
        <f>IF(B2&lt;DATE(2016,5,1),0,B42)</f>
        <v>0.05</v>
      </c>
      <c r="D42" s="2448"/>
      <c r="E42" s="2435"/>
      <c r="F42" s="2435"/>
      <c r="G42" s="2435"/>
      <c r="H42" s="2435"/>
      <c r="I42" s="2435"/>
      <c r="J42" s="2435"/>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25">
      <c r="A43" s="1605" t="s">
        <v>1235</v>
      </c>
      <c r="B43" s="111">
        <f>B42*(B44+B45+B46)+B47</f>
        <v>6.000000000000001E-3</v>
      </c>
      <c r="C43" s="2450"/>
      <c r="D43" s="2448"/>
      <c r="E43" s="2435"/>
      <c r="F43" s="2435"/>
      <c r="G43" s="2435"/>
      <c r="H43" s="2435"/>
      <c r="I43" s="2435"/>
      <c r="J43" s="2435"/>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25">
      <c r="A44" s="1606" t="s">
        <v>1236</v>
      </c>
      <c r="B44" s="112">
        <v>7.0000000000000007E-2</v>
      </c>
      <c r="C44" s="2561" t="s">
        <v>2292</v>
      </c>
      <c r="D44" s="2448"/>
      <c r="E44" s="2435"/>
      <c r="F44" s="2435"/>
      <c r="G44" s="2435"/>
      <c r="H44" s="2435"/>
      <c r="I44" s="2435"/>
      <c r="J44" s="2435"/>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25">
      <c r="A45" s="1606" t="s">
        <v>1237</v>
      </c>
      <c r="B45" s="110">
        <v>0.03</v>
      </c>
      <c r="C45" s="2560" t="s">
        <v>2284</v>
      </c>
      <c r="D45" s="2448"/>
      <c r="E45" s="2435"/>
      <c r="F45" s="2435"/>
      <c r="G45" s="2435"/>
      <c r="H45" s="2435"/>
      <c r="I45" s="2435"/>
      <c r="J45" s="2435"/>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25">
      <c r="A46" s="1606" t="s">
        <v>1238</v>
      </c>
      <c r="B46" s="110">
        <v>0.02</v>
      </c>
      <c r="C46" s="2560" t="s">
        <v>2285</v>
      </c>
      <c r="D46" s="2448"/>
      <c r="E46" s="2435"/>
      <c r="F46" s="2435"/>
      <c r="G46" s="2435"/>
      <c r="H46" s="2435"/>
      <c r="I46" s="2435"/>
      <c r="J46" s="2435"/>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7" t="s">
        <v>1239</v>
      </c>
      <c r="B47" s="113"/>
      <c r="C47" s="2563" t="s">
        <v>2293</v>
      </c>
      <c r="D47" s="2448"/>
      <c r="E47" s="2435"/>
      <c r="F47" s="2435"/>
      <c r="G47" s="2435"/>
      <c r="H47" s="2435"/>
      <c r="I47" s="2435"/>
      <c r="J47" s="2435"/>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25">
      <c r="A48" s="1608" t="s">
        <v>1240</v>
      </c>
      <c r="B48" s="114">
        <v>0.03</v>
      </c>
      <c r="C48" s="2560" t="s">
        <v>2284</v>
      </c>
      <c r="D48" s="2448"/>
      <c r="E48" s="2435"/>
      <c r="F48" s="2435"/>
      <c r="G48" s="2435"/>
      <c r="H48" s="2435"/>
      <c r="I48" s="2435"/>
      <c r="J48" s="2435"/>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4" t="s">
        <v>1241</v>
      </c>
      <c r="B49" s="110">
        <v>5.0000000000000001E-4</v>
      </c>
      <c r="C49" s="2560" t="s">
        <v>2286</v>
      </c>
      <c r="D49" s="2448"/>
      <c r="E49" s="2435"/>
      <c r="F49" s="2435"/>
      <c r="G49" s="2435"/>
      <c r="H49" s="2435"/>
      <c r="I49" s="2435"/>
      <c r="J49" s="2435"/>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25">
      <c r="A50" s="1609" t="s">
        <v>1242</v>
      </c>
      <c r="B50" s="115">
        <v>1.2E-2</v>
      </c>
      <c r="C50" s="2436"/>
      <c r="D50" s="2448"/>
      <c r="E50" s="2435"/>
      <c r="F50" s="2435"/>
      <c r="G50" s="2435"/>
      <c r="H50" s="2435"/>
      <c r="I50" s="2435"/>
      <c r="J50" s="2435"/>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2" t="s">
        <v>1243</v>
      </c>
      <c r="B51" s="116">
        <v>0.12</v>
      </c>
      <c r="C51" s="2436"/>
      <c r="D51" s="2448"/>
      <c r="E51" s="2435"/>
      <c r="F51" s="2435"/>
      <c r="G51" s="2435"/>
      <c r="H51" s="2435"/>
      <c r="I51" s="2435"/>
      <c r="J51" s="2435"/>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25">
      <c r="A52" s="1609" t="s">
        <v>1244</v>
      </c>
      <c r="B52" s="117">
        <f>SUMIF(A54:A63,B53,B54:B63)</f>
        <v>30</v>
      </c>
      <c r="C52" s="2436"/>
      <c r="D52" s="2448"/>
      <c r="E52" s="2435"/>
      <c r="F52" s="2435"/>
      <c r="G52" s="2435"/>
      <c r="H52" s="2435"/>
      <c r="I52" s="2435"/>
      <c r="J52" s="2435"/>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7">
      <c r="A53" s="1601" t="s">
        <v>1245</v>
      </c>
      <c r="B53" s="1610" t="s">
        <v>144</v>
      </c>
      <c r="C53" s="2436" t="s">
        <v>1246</v>
      </c>
      <c r="D53" s="2562" t="s">
        <v>2290</v>
      </c>
      <c r="E53" s="2435"/>
      <c r="F53" s="2435"/>
      <c r="G53" s="2435"/>
      <c r="H53" s="2435"/>
      <c r="I53" s="2435"/>
      <c r="J53" s="2435"/>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25">
      <c r="A54" s="1611" t="s">
        <v>1247</v>
      </c>
      <c r="B54" s="72">
        <v>30</v>
      </c>
      <c r="C54" s="2436">
        <v>30</v>
      </c>
      <c r="D54" s="2448"/>
      <c r="E54" s="2435"/>
      <c r="F54" s="2435"/>
      <c r="G54" s="2435"/>
      <c r="H54" s="2435"/>
      <c r="I54" s="2435"/>
      <c r="J54" s="2435"/>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25">
      <c r="A55" s="1611" t="s">
        <v>1248</v>
      </c>
      <c r="B55" s="72">
        <v>24</v>
      </c>
      <c r="C55" s="2436">
        <v>24</v>
      </c>
      <c r="D55" s="2448"/>
      <c r="E55" s="2435"/>
      <c r="F55" s="2435"/>
      <c r="G55" s="2435"/>
      <c r="H55" s="2435"/>
      <c r="I55" s="2435"/>
      <c r="J55" s="2435"/>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25">
      <c r="A56" s="1611" t="s">
        <v>1249</v>
      </c>
      <c r="B56" s="72"/>
      <c r="C56" s="2436">
        <v>18</v>
      </c>
      <c r="D56" s="2448"/>
      <c r="E56" s="2435"/>
      <c r="F56" s="2435"/>
      <c r="G56" s="2435"/>
      <c r="H56" s="2435"/>
      <c r="I56" s="2435"/>
      <c r="J56" s="2435"/>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25">
      <c r="A57" s="1611" t="s">
        <v>1250</v>
      </c>
      <c r="B57" s="72"/>
      <c r="C57" s="2436">
        <v>12</v>
      </c>
      <c r="D57" s="2448"/>
      <c r="E57" s="2435"/>
      <c r="F57" s="2435"/>
      <c r="G57" s="2435"/>
      <c r="H57" s="2435"/>
      <c r="I57" s="2435"/>
      <c r="J57" s="2435"/>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25">
      <c r="A58" s="1611" t="s">
        <v>1251</v>
      </c>
      <c r="B58" s="72"/>
      <c r="C58" s="2436">
        <v>3</v>
      </c>
      <c r="D58" s="2448"/>
      <c r="E58" s="2435"/>
      <c r="F58" s="2435"/>
      <c r="G58" s="2435"/>
      <c r="H58" s="2435"/>
      <c r="I58" s="2435"/>
      <c r="J58" s="2435"/>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25">
      <c r="A59" s="1611" t="s">
        <v>1252</v>
      </c>
      <c r="B59" s="72"/>
      <c r="C59" s="2436">
        <v>1.5</v>
      </c>
      <c r="D59" s="2448"/>
      <c r="E59" s="2435"/>
      <c r="F59" s="2435"/>
      <c r="G59" s="2435"/>
      <c r="H59" s="2435"/>
      <c r="I59" s="2435"/>
      <c r="J59" s="2435"/>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25">
      <c r="A60" s="1611" t="s">
        <v>1253</v>
      </c>
      <c r="B60" s="72"/>
      <c r="C60" s="2435"/>
      <c r="D60" s="2448"/>
      <c r="E60" s="2435"/>
      <c r="F60" s="2435"/>
      <c r="G60" s="2435"/>
      <c r="H60" s="2435"/>
      <c r="I60" s="2435"/>
      <c r="J60" s="2435"/>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25">
      <c r="A61" s="1611" t="s">
        <v>1254</v>
      </c>
      <c r="B61" s="72"/>
      <c r="C61" s="2435"/>
      <c r="D61" s="2448"/>
      <c r="E61" s="2435"/>
      <c r="F61" s="2435"/>
      <c r="G61" s="2435"/>
      <c r="H61" s="2435"/>
      <c r="I61" s="2435"/>
      <c r="J61" s="2435"/>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25">
      <c r="A62" s="1611" t="s">
        <v>1255</v>
      </c>
      <c r="B62" s="72"/>
      <c r="C62" s="2435"/>
      <c r="D62" s="2448"/>
      <c r="E62" s="2435"/>
      <c r="F62" s="2435"/>
      <c r="G62" s="2435"/>
      <c r="H62" s="2435"/>
      <c r="I62" s="2435"/>
      <c r="J62" s="2435"/>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2" t="s">
        <v>1256</v>
      </c>
      <c r="B63" s="118"/>
      <c r="C63" s="2435"/>
      <c r="D63" s="2448"/>
      <c r="E63" s="2435"/>
      <c r="F63" s="2435"/>
      <c r="G63" s="2435"/>
      <c r="H63" s="2435"/>
      <c r="I63" s="2435"/>
      <c r="J63" s="2435"/>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3" customFormat="1">
      <c r="A64" s="2438"/>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3" customFormat="1">
      <c r="A65" s="2438"/>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3" customFormat="1">
      <c r="A66" s="2438"/>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3" customFormat="1">
      <c r="A67" s="2438"/>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3" customFormat="1">
      <c r="A68" s="2438"/>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4" type="noConversion"/>
  <dataValidations count="8">
    <dataValidation type="list" allowBlank="1" showInputMessage="1" showErrorMessage="1" sqref="B44" xr:uid="{00000000-0002-0000-1200-000000000000}">
      <formula1>"7%,5%,1%"</formula1>
    </dataValidation>
    <dataValidation type="list" allowBlank="1" showInputMessage="1" showErrorMessage="1" sqref="B53" xr:uid="{00000000-0002-0000-1200-000001000000}">
      <formula1>城镇土地纳税等级分级范围</formula1>
    </dataValidation>
    <dataValidation type="list" allowBlank="1" showInputMessage="1" showErrorMessage="1" sqref="N5" xr:uid="{00000000-0002-0000-1200-000002000000}">
      <formula1>"工程进度,成新度,工程进度/成新度"</formula1>
    </dataValidation>
    <dataValidation type="list" allowBlank="1" showInputMessage="1" showErrorMessage="1" sqref="C6:C15" xr:uid="{00000000-0002-0000-1200-000003000000}">
      <formula1>地类判定</formula1>
    </dataValidation>
    <dataValidation type="list" showInputMessage="1" showErrorMessage="1" sqref="AI6:AI13" xr:uid="{00000000-0002-0000-1200-000004000000}">
      <formula1>"365,12,1"</formula1>
    </dataValidation>
    <dataValidation type="list" allowBlank="1" showInputMessage="1" showErrorMessage="1" sqref="B14:B15" xr:uid="{00000000-0002-0000-1200-000005000000}">
      <formula1>类别</formula1>
    </dataValidation>
    <dataValidation type="list" allowBlank="1" showInputMessage="1" showErrorMessage="1" sqref="AN6:AN13" xr:uid="{00000000-0002-0000-1200-000006000000}">
      <formula1>估价方法</formula1>
    </dataValidation>
    <dataValidation type="list" allowBlank="1" showInputMessage="1" showErrorMessage="1" sqref="A40" xr:uid="{00000000-0002-0000-12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89" t="str">
        <f>项目基本情况!B1</f>
        <v>北京市房地产抵押价值预评估</v>
      </c>
      <c r="C37" s="3189"/>
      <c r="D37" s="3189"/>
      <c r="E37" s="3189"/>
      <c r="F37" s="3189"/>
      <c r="G37" s="3189"/>
      <c r="H37" s="3189"/>
      <c r="I37" s="3189"/>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ColWidth="9" defaultRowHeight="14.25"/>
  <cols>
    <col min="1" max="1" width="9.5" style="1521" customWidth="1"/>
    <col min="2" max="3" width="24.5" style="507" customWidth="1"/>
    <col min="4" max="4" width="2.625" style="507" customWidth="1"/>
    <col min="5" max="5" width="5.875" style="507" customWidth="1"/>
    <col min="6" max="7" width="27" style="507"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0" customWidth="1"/>
    <col min="19" max="29" width="9" style="750"/>
    <col min="30" max="16384" width="9" style="1521"/>
  </cols>
  <sheetData>
    <row r="1" spans="1:29" s="2257" customFormat="1" ht="18.75" thickBot="1">
      <c r="A1" s="3278" t="s">
        <v>2270</v>
      </c>
      <c r="B1" s="3279"/>
      <c r="C1" s="3279"/>
      <c r="D1" s="3279"/>
      <c r="E1" s="3279"/>
      <c r="F1" s="3279"/>
      <c r="G1" s="3279"/>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2267</v>
      </c>
      <c r="D2" s="1594"/>
      <c r="E2" s="2258"/>
      <c r="F2" s="2261"/>
      <c r="G2" s="2260" t="s">
        <v>2268</v>
      </c>
      <c r="H2" s="750"/>
      <c r="I2" s="750"/>
      <c r="J2" s="750"/>
      <c r="K2" s="750"/>
      <c r="L2" s="750"/>
      <c r="M2" s="750"/>
      <c r="N2" s="750"/>
      <c r="O2" s="750"/>
      <c r="P2" s="750"/>
      <c r="Q2" s="750"/>
    </row>
    <row r="3" spans="1:29" ht="24">
      <c r="A3" s="2245" t="s">
        <v>2269</v>
      </c>
      <c r="B3" s="2262" t="s">
        <v>2245</v>
      </c>
      <c r="C3" s="2263"/>
      <c r="D3" s="2264"/>
      <c r="E3" s="2246" t="s">
        <v>2269</v>
      </c>
      <c r="F3" s="2265" t="s">
        <v>2246</v>
      </c>
      <c r="G3" s="2266"/>
      <c r="H3" s="750"/>
      <c r="I3" s="750"/>
      <c r="J3" s="750"/>
      <c r="K3" s="750"/>
      <c r="L3" s="750"/>
      <c r="M3" s="750"/>
      <c r="N3" s="750"/>
      <c r="O3" s="750"/>
      <c r="P3" s="750"/>
      <c r="Q3" s="750"/>
    </row>
    <row r="4" spans="1:29">
      <c r="A4" s="2246"/>
      <c r="B4" s="314" t="s">
        <v>2247</v>
      </c>
      <c r="C4" s="3169" t="s">
        <v>3691</v>
      </c>
      <c r="D4" s="2264"/>
      <c r="E4" s="2268"/>
      <c r="F4" s="1280" t="s">
        <v>2248</v>
      </c>
      <c r="G4" s="2269"/>
      <c r="H4" s="750"/>
      <c r="I4" s="750"/>
      <c r="J4" s="750"/>
      <c r="K4" s="750"/>
      <c r="L4" s="750"/>
      <c r="M4" s="750"/>
      <c r="N4" s="750"/>
      <c r="O4" s="750"/>
      <c r="P4" s="750"/>
      <c r="Q4" s="750"/>
    </row>
    <row r="5" spans="1:29">
      <c r="A5" s="2246"/>
      <c r="B5" s="314" t="s">
        <v>2249</v>
      </c>
      <c r="C5" s="2267"/>
      <c r="D5" s="2264"/>
      <c r="E5" s="2268"/>
      <c r="F5" s="314" t="s">
        <v>2250</v>
      </c>
      <c r="G5" s="2269"/>
      <c r="H5" s="750"/>
      <c r="I5" s="750"/>
      <c r="J5" s="750"/>
      <c r="K5" s="750"/>
      <c r="L5" s="750"/>
      <c r="M5" s="750"/>
      <c r="N5" s="750"/>
      <c r="O5" s="750"/>
      <c r="P5" s="750"/>
      <c r="Q5" s="750"/>
    </row>
    <row r="6" spans="1:29">
      <c r="A6" s="2246"/>
      <c r="B6" s="314" t="s">
        <v>2251</v>
      </c>
      <c r="C6" s="3170" t="s">
        <v>3692</v>
      </c>
      <c r="D6" s="2264"/>
      <c r="E6" s="2268"/>
      <c r="F6" s="314" t="s">
        <v>2252</v>
      </c>
      <c r="G6" s="2269"/>
      <c r="H6" s="750"/>
      <c r="I6" s="750"/>
      <c r="J6" s="750"/>
      <c r="K6" s="750"/>
      <c r="L6" s="750"/>
      <c r="M6" s="750"/>
      <c r="N6" s="750"/>
      <c r="O6" s="750"/>
      <c r="P6" s="750"/>
      <c r="Q6" s="750"/>
    </row>
    <row r="7" spans="1:29" ht="15" thickBot="1">
      <c r="A7" s="2246"/>
      <c r="B7" s="314" t="s">
        <v>2250</v>
      </c>
      <c r="C7" s="3170" t="s">
        <v>3691</v>
      </c>
      <c r="D7" s="2243"/>
      <c r="E7" s="2270"/>
      <c r="F7" s="2271" t="s">
        <v>2253</v>
      </c>
      <c r="G7" s="2272"/>
      <c r="H7" s="750"/>
      <c r="I7" s="750"/>
      <c r="J7" s="750"/>
      <c r="K7" s="750"/>
      <c r="L7" s="750"/>
      <c r="M7" s="750"/>
      <c r="N7" s="750"/>
      <c r="O7" s="750"/>
      <c r="P7" s="750"/>
      <c r="Q7" s="750"/>
    </row>
    <row r="8" spans="1:29">
      <c r="A8" s="2246"/>
      <c r="B8" s="314" t="s">
        <v>2252</v>
      </c>
      <c r="C8" s="3170" t="s">
        <v>3693</v>
      </c>
      <c r="D8" s="2243"/>
      <c r="E8" s="2243"/>
      <c r="F8" s="121"/>
      <c r="G8" s="121"/>
      <c r="H8" s="750"/>
      <c r="I8" s="750"/>
      <c r="J8" s="750"/>
      <c r="K8" s="750"/>
      <c r="L8" s="750"/>
      <c r="M8" s="750"/>
      <c r="N8" s="750"/>
      <c r="O8" s="750"/>
      <c r="P8" s="750"/>
      <c r="Q8" s="750"/>
    </row>
    <row r="9" spans="1:29">
      <c r="A9" s="2246"/>
      <c r="B9" s="314" t="s">
        <v>2254</v>
      </c>
      <c r="C9" s="3169" t="s">
        <v>3692</v>
      </c>
      <c r="D9" s="2264"/>
      <c r="E9" s="2243"/>
      <c r="F9" s="121"/>
      <c r="G9" s="121"/>
      <c r="H9" s="750"/>
      <c r="I9" s="750"/>
      <c r="J9" s="750"/>
      <c r="K9" s="750"/>
      <c r="L9" s="750"/>
      <c r="M9" s="750"/>
      <c r="N9" s="750"/>
      <c r="O9" s="750"/>
      <c r="P9" s="750"/>
      <c r="Q9" s="750"/>
    </row>
    <row r="10" spans="1:29" ht="15" thickBot="1">
      <c r="A10" s="2247"/>
      <c r="B10" s="2273" t="s">
        <v>2255</v>
      </c>
      <c r="C10" s="3171" t="s">
        <v>3694</v>
      </c>
      <c r="D10" s="2264"/>
      <c r="E10" s="2264"/>
      <c r="F10" s="121"/>
      <c r="G10" s="121"/>
      <c r="J10" s="2275"/>
      <c r="M10" s="2275"/>
      <c r="P10" s="2275"/>
      <c r="R10" s="2274"/>
    </row>
    <row r="11" spans="1:29">
      <c r="A11" s="2276"/>
      <c r="B11" s="2243"/>
      <c r="C11" s="2264"/>
      <c r="D11" s="2264"/>
      <c r="E11" s="2264"/>
      <c r="F11" s="2243"/>
      <c r="G11" s="2243"/>
      <c r="J11" s="2275"/>
      <c r="M11" s="2275"/>
      <c r="P11" s="2275"/>
      <c r="R11" s="2274"/>
    </row>
    <row r="12" spans="1:29" s="2257" customFormat="1" ht="18">
      <c r="A12" s="2276"/>
      <c r="B12" s="2243"/>
      <c r="C12" s="2264"/>
      <c r="D12" s="2277"/>
      <c r="E12" s="2264"/>
      <c r="F12" s="2243"/>
      <c r="G12" s="2243"/>
      <c r="H12" s="2278"/>
      <c r="I12" s="2278"/>
      <c r="J12" s="2278"/>
      <c r="K12" s="2278"/>
      <c r="L12" s="2279"/>
      <c r="M12" s="2278"/>
      <c r="N12" s="2280"/>
      <c r="O12" s="2280"/>
      <c r="P12" s="2280"/>
      <c r="Q12" s="2280"/>
      <c r="R12" s="2256"/>
      <c r="S12" s="2256"/>
      <c r="T12" s="2256"/>
      <c r="U12" s="2256"/>
      <c r="V12" s="2256"/>
      <c r="W12" s="2256"/>
      <c r="X12" s="2256"/>
      <c r="Y12" s="2256"/>
      <c r="Z12" s="2256"/>
      <c r="AA12" s="2256"/>
      <c r="AB12" s="2256"/>
      <c r="AC12" s="2256"/>
    </row>
    <row r="13" spans="1:29" ht="15.75" thickBot="1">
      <c r="A13" s="2281" t="s">
        <v>2271</v>
      </c>
      <c r="B13" s="2277"/>
      <c r="C13" s="2277"/>
      <c r="D13" s="2276"/>
      <c r="E13" s="2277"/>
      <c r="F13" s="2277"/>
      <c r="G13" s="2277"/>
    </row>
    <row r="14" spans="1:29" ht="15" thickBot="1">
      <c r="A14" s="2282"/>
      <c r="B14" s="2282"/>
      <c r="C14" s="2283" t="s">
        <v>2256</v>
      </c>
      <c r="D14" s="2264"/>
      <c r="E14" s="2284"/>
      <c r="F14" s="2284"/>
      <c r="G14" s="2260" t="s">
        <v>2257</v>
      </c>
    </row>
    <row r="15" spans="1:29" ht="24">
      <c r="A15" s="2248" t="s">
        <v>2258</v>
      </c>
      <c r="B15" s="2285" t="s">
        <v>2245</v>
      </c>
      <c r="C15" s="2286">
        <f>C3</f>
        <v>0</v>
      </c>
      <c r="D15" s="2264"/>
      <c r="E15" s="2249" t="s">
        <v>2259</v>
      </c>
      <c r="F15" s="2285" t="s">
        <v>2260</v>
      </c>
      <c r="G15" s="2287">
        <f>G3</f>
        <v>0</v>
      </c>
    </row>
    <row r="16" spans="1:29">
      <c r="A16" s="2250"/>
      <c r="B16" s="2288" t="s">
        <v>2247</v>
      </c>
      <c r="C16" s="2289" t="str">
        <f>C4</f>
        <v>好</v>
      </c>
      <c r="D16" s="2264"/>
      <c r="E16" s="2251"/>
      <c r="F16" s="2290" t="s">
        <v>2248</v>
      </c>
      <c r="G16" s="2291">
        <f>G4</f>
        <v>0</v>
      </c>
    </row>
    <row r="17" spans="1:17">
      <c r="A17" s="2250"/>
      <c r="B17" s="2288" t="s">
        <v>2249</v>
      </c>
      <c r="C17" s="2289">
        <f>C5</f>
        <v>0</v>
      </c>
      <c r="D17" s="2243"/>
      <c r="E17" s="2251"/>
      <c r="F17" s="2290" t="s">
        <v>2261</v>
      </c>
      <c r="G17" s="2292"/>
    </row>
    <row r="18" spans="1:17">
      <c r="A18" s="2250"/>
      <c r="B18" s="2290" t="s">
        <v>2251</v>
      </c>
      <c r="C18" s="2291" t="str">
        <f>C6</f>
        <v>较好</v>
      </c>
      <c r="D18" s="2243"/>
      <c r="E18" s="2251"/>
      <c r="F18" s="2290" t="s">
        <v>2253</v>
      </c>
      <c r="G18" s="2291">
        <f>G7</f>
        <v>0</v>
      </c>
    </row>
    <row r="19" spans="1:17">
      <c r="A19" s="2250"/>
      <c r="B19" s="2290" t="s">
        <v>2262</v>
      </c>
      <c r="C19" s="2292"/>
      <c r="D19" s="2264"/>
      <c r="E19" s="2251"/>
      <c r="F19" s="314" t="s">
        <v>2250</v>
      </c>
      <c r="G19" s="2291">
        <f>G5</f>
        <v>0</v>
      </c>
    </row>
    <row r="20" spans="1:17">
      <c r="A20" s="2250"/>
      <c r="B20" s="2290" t="s">
        <v>2263</v>
      </c>
      <c r="C20" s="2289" t="str">
        <f>C9</f>
        <v>较好</v>
      </c>
      <c r="D20" s="2243"/>
      <c r="E20" s="2251"/>
      <c r="F20" s="314" t="s">
        <v>2252</v>
      </c>
      <c r="G20" s="2291">
        <f>G6</f>
        <v>0</v>
      </c>
    </row>
    <row r="21" spans="1:17">
      <c r="A21" s="2250"/>
      <c r="B21" s="314" t="s">
        <v>2250</v>
      </c>
      <c r="C21" s="2291" t="str">
        <f>C7</f>
        <v>好</v>
      </c>
      <c r="D21" s="2264"/>
      <c r="E21" s="2251"/>
      <c r="F21" s="2290" t="s">
        <v>2264</v>
      </c>
      <c r="G21" s="2293"/>
    </row>
    <row r="22" spans="1:17" ht="13.5" customHeight="1">
      <c r="A22" s="2250"/>
      <c r="B22" s="314" t="s">
        <v>2252</v>
      </c>
      <c r="C22" s="2291" t="str">
        <f>C8</f>
        <v>七通</v>
      </c>
      <c r="D22" s="2264"/>
      <c r="E22" s="2251"/>
      <c r="F22" s="2290" t="s">
        <v>2255</v>
      </c>
      <c r="G22" s="2292"/>
    </row>
    <row r="23" spans="1:17" s="750" customFormat="1" ht="15" thickBot="1">
      <c r="A23" s="2250"/>
      <c r="B23" s="2290" t="s">
        <v>2264</v>
      </c>
      <c r="C23" s="2293"/>
      <c r="D23" s="1613"/>
      <c r="E23" s="2252"/>
      <c r="F23" s="2294" t="s">
        <v>2265</v>
      </c>
      <c r="G23" s="2295"/>
      <c r="H23" s="2274"/>
      <c r="I23" s="2274"/>
      <c r="J23" s="2274"/>
      <c r="K23" s="2274"/>
      <c r="L23" s="2274"/>
      <c r="M23" s="2274"/>
      <c r="N23" s="2274"/>
      <c r="O23" s="2274"/>
      <c r="P23" s="2274"/>
      <c r="Q23" s="2274"/>
    </row>
    <row r="24" spans="1:17" s="750" customFormat="1" ht="15" thickBot="1">
      <c r="A24" s="2253"/>
      <c r="B24" s="2294" t="s">
        <v>2266</v>
      </c>
      <c r="C24" s="2296" t="str">
        <f>C10</f>
        <v>次干道</v>
      </c>
      <c r="D24" s="1613"/>
      <c r="E24" s="2243"/>
      <c r="F24" s="2243"/>
      <c r="G24" s="2243"/>
      <c r="H24" s="2274"/>
      <c r="I24" s="2274"/>
      <c r="J24" s="2274"/>
      <c r="K24" s="2274"/>
      <c r="L24" s="2274"/>
      <c r="M24" s="2274"/>
      <c r="N24" s="2274"/>
      <c r="O24" s="2274"/>
      <c r="P24" s="2274"/>
      <c r="Q24" s="2274"/>
    </row>
    <row r="25" spans="1:17" s="750" customFormat="1">
      <c r="B25" s="2274"/>
      <c r="C25" s="2274"/>
      <c r="D25" s="2274"/>
      <c r="H25" s="2274"/>
      <c r="I25" s="2274"/>
      <c r="J25" s="2274"/>
      <c r="K25" s="2274"/>
      <c r="L25" s="2274"/>
      <c r="M25" s="2274"/>
      <c r="N25" s="2274"/>
      <c r="O25" s="2274"/>
      <c r="P25" s="2274"/>
      <c r="Q25" s="2274"/>
    </row>
    <row r="26" spans="1:17" s="750" customFormat="1">
      <c r="B26" s="2274"/>
      <c r="C26" s="2274"/>
      <c r="D26" s="2274"/>
      <c r="H26" s="2274"/>
      <c r="I26" s="2274"/>
      <c r="J26" s="2274"/>
      <c r="K26" s="2274"/>
      <c r="L26" s="2274"/>
      <c r="M26" s="2274"/>
      <c r="N26" s="2274"/>
      <c r="O26" s="2274"/>
      <c r="P26" s="2274"/>
      <c r="Q26" s="2274"/>
    </row>
    <row r="27" spans="1:17" s="750" customFormat="1">
      <c r="B27" s="2274"/>
      <c r="C27" s="2274"/>
      <c r="D27" s="2274"/>
      <c r="H27" s="2274"/>
      <c r="I27" s="2274"/>
      <c r="J27" s="2274"/>
      <c r="K27" s="2274"/>
      <c r="L27" s="2274"/>
      <c r="M27" s="2274"/>
      <c r="N27" s="2274"/>
      <c r="O27" s="2274"/>
      <c r="P27" s="2274"/>
      <c r="Q27" s="2274"/>
    </row>
    <row r="28" spans="1:17" s="750" customFormat="1">
      <c r="B28" s="2274"/>
      <c r="C28" s="2274"/>
      <c r="D28" s="2274"/>
      <c r="H28" s="2274"/>
      <c r="I28" s="2274"/>
      <c r="J28" s="2274"/>
      <c r="K28" s="2274"/>
      <c r="L28" s="2274"/>
      <c r="M28" s="2274"/>
      <c r="N28" s="2274"/>
      <c r="O28" s="2274"/>
      <c r="P28" s="2274"/>
      <c r="Q28" s="2274"/>
    </row>
    <row r="29" spans="1:17" s="750" customFormat="1">
      <c r="B29" s="2274"/>
      <c r="C29" s="2274"/>
      <c r="D29" s="2274"/>
      <c r="H29" s="2274"/>
      <c r="I29" s="2274"/>
      <c r="J29" s="2274"/>
      <c r="K29" s="2274"/>
      <c r="L29" s="2274"/>
      <c r="M29" s="2274"/>
      <c r="N29" s="2274"/>
      <c r="O29" s="2274"/>
      <c r="P29" s="2274"/>
      <c r="Q29" s="2274"/>
    </row>
    <row r="30" spans="1:17" s="750" customFormat="1">
      <c r="B30" s="2274"/>
      <c r="C30" s="2274"/>
      <c r="D30" s="2274"/>
      <c r="H30" s="2274"/>
      <c r="I30" s="2274"/>
      <c r="J30" s="2274"/>
      <c r="K30" s="2274"/>
      <c r="L30" s="2274"/>
      <c r="M30" s="2274"/>
      <c r="N30" s="2274"/>
      <c r="O30" s="2274"/>
      <c r="P30" s="2274"/>
      <c r="Q30" s="2274"/>
    </row>
    <row r="31" spans="1:17" s="750" customFormat="1">
      <c r="B31" s="2274"/>
      <c r="C31" s="2274"/>
      <c r="D31" s="2274"/>
      <c r="H31" s="2274"/>
      <c r="I31" s="2274"/>
      <c r="J31" s="2274"/>
      <c r="K31" s="2274"/>
      <c r="L31" s="2274"/>
      <c r="M31" s="2274"/>
      <c r="N31" s="2274"/>
      <c r="O31" s="2274"/>
      <c r="P31" s="2274"/>
      <c r="Q31" s="2274"/>
    </row>
    <row r="32" spans="1:17" s="750" customFormat="1">
      <c r="B32" s="2274"/>
      <c r="C32" s="2274"/>
      <c r="D32" s="2274"/>
      <c r="H32" s="2274"/>
      <c r="I32" s="2274"/>
      <c r="J32" s="2274"/>
      <c r="K32" s="2274"/>
      <c r="L32" s="2274"/>
      <c r="M32" s="2274"/>
      <c r="N32" s="2274"/>
      <c r="O32" s="2274"/>
      <c r="P32" s="2274"/>
      <c r="Q32" s="2274"/>
    </row>
    <row r="33" spans="2:17" s="750" customFormat="1">
      <c r="B33" s="2274"/>
      <c r="C33" s="2274"/>
      <c r="D33" s="2274"/>
      <c r="H33" s="2274"/>
      <c r="I33" s="2274"/>
      <c r="J33" s="2274"/>
      <c r="K33" s="2274"/>
      <c r="L33" s="2274"/>
      <c r="M33" s="2274"/>
      <c r="N33" s="2274"/>
      <c r="O33" s="2274"/>
      <c r="P33" s="2274"/>
      <c r="Q33" s="2274"/>
    </row>
    <row r="34" spans="2:17" s="750" customFormat="1">
      <c r="B34" s="2274"/>
      <c r="C34" s="2274"/>
      <c r="D34" s="2274"/>
      <c r="H34" s="2274"/>
      <c r="I34" s="2274"/>
      <c r="J34" s="2274"/>
      <c r="K34" s="2274"/>
      <c r="L34" s="2274"/>
      <c r="M34" s="2274"/>
      <c r="N34" s="2274"/>
      <c r="O34" s="2274"/>
      <c r="P34" s="2274"/>
      <c r="Q34" s="2274"/>
    </row>
    <row r="35" spans="2:17" s="750" customFormat="1">
      <c r="B35" s="2274"/>
      <c r="C35" s="2274"/>
      <c r="D35" s="2274"/>
      <c r="H35" s="2274"/>
      <c r="I35" s="2274"/>
      <c r="J35" s="2274"/>
      <c r="K35" s="2274"/>
      <c r="L35" s="2274"/>
      <c r="M35" s="2274"/>
      <c r="N35" s="2274"/>
      <c r="O35" s="2274"/>
      <c r="P35" s="2274"/>
      <c r="Q35" s="2274"/>
    </row>
    <row r="36" spans="2:17" s="750" customFormat="1">
      <c r="B36" s="2274"/>
      <c r="C36" s="2274"/>
      <c r="D36" s="2274"/>
      <c r="H36" s="2274"/>
      <c r="I36" s="2274"/>
      <c r="J36" s="2274"/>
      <c r="K36" s="2274"/>
      <c r="L36" s="2274"/>
      <c r="M36" s="2274"/>
      <c r="N36" s="2274"/>
      <c r="O36" s="2274"/>
      <c r="P36" s="2274"/>
      <c r="Q36" s="2274"/>
    </row>
    <row r="37" spans="2:17" s="750" customFormat="1">
      <c r="B37" s="2274"/>
      <c r="C37" s="2274"/>
      <c r="D37" s="2274"/>
      <c r="H37" s="2274"/>
      <c r="I37" s="2274"/>
      <c r="J37" s="2274"/>
      <c r="K37" s="2274"/>
      <c r="L37" s="2274"/>
      <c r="M37" s="2274"/>
      <c r="N37" s="2274"/>
      <c r="O37" s="2274"/>
      <c r="P37" s="2274"/>
      <c r="Q37" s="2274"/>
    </row>
    <row r="38" spans="2:17" s="750" customFormat="1">
      <c r="B38" s="2274"/>
      <c r="C38" s="2274"/>
      <c r="D38" s="2274"/>
      <c r="E38" s="2274"/>
      <c r="F38" s="2274"/>
      <c r="G38" s="2274"/>
      <c r="H38" s="2274"/>
      <c r="I38" s="2274"/>
      <c r="J38" s="2274"/>
      <c r="K38" s="2274"/>
      <c r="L38" s="2274"/>
      <c r="M38" s="2274"/>
      <c r="N38" s="2274"/>
      <c r="O38" s="2274"/>
      <c r="P38" s="2274"/>
      <c r="Q38" s="2274"/>
    </row>
    <row r="39" spans="2:17" s="750" customFormat="1">
      <c r="B39" s="2274"/>
      <c r="C39" s="2274"/>
      <c r="D39" s="2274"/>
      <c r="E39" s="2274"/>
      <c r="F39" s="2274"/>
      <c r="G39" s="2274"/>
      <c r="H39" s="2274"/>
      <c r="I39" s="2274"/>
      <c r="J39" s="2274"/>
      <c r="K39" s="2274"/>
      <c r="L39" s="2274"/>
      <c r="M39" s="2274"/>
      <c r="N39" s="2274"/>
      <c r="O39" s="2274"/>
      <c r="P39" s="2274"/>
      <c r="Q39" s="2274"/>
    </row>
    <row r="40" spans="2:17" s="750" customFormat="1">
      <c r="B40" s="2274"/>
      <c r="C40" s="2274"/>
      <c r="D40" s="2274"/>
      <c r="E40" s="2274"/>
      <c r="F40" s="2274"/>
      <c r="G40" s="2274"/>
      <c r="H40" s="2274"/>
      <c r="I40" s="2274"/>
      <c r="J40" s="2274"/>
      <c r="K40" s="2274"/>
      <c r="L40" s="2274"/>
      <c r="M40" s="2274"/>
      <c r="N40" s="2274"/>
      <c r="O40" s="2274"/>
      <c r="P40" s="2274"/>
      <c r="Q40" s="2274"/>
    </row>
    <row r="41" spans="2:17" s="750" customFormat="1">
      <c r="B41" s="2274"/>
      <c r="C41" s="2274"/>
      <c r="D41" s="2274"/>
      <c r="E41" s="2274"/>
      <c r="F41" s="2274"/>
      <c r="G41" s="2274"/>
      <c r="H41" s="2274"/>
      <c r="I41" s="2274"/>
      <c r="J41" s="2274"/>
      <c r="K41" s="2274"/>
      <c r="L41" s="2274"/>
      <c r="M41" s="2274"/>
      <c r="N41" s="2274"/>
      <c r="O41" s="2274"/>
      <c r="P41" s="2274"/>
      <c r="Q41" s="2274"/>
    </row>
    <row r="42" spans="2:17" s="750" customFormat="1">
      <c r="B42" s="2274"/>
      <c r="C42" s="2274"/>
      <c r="D42" s="2274"/>
      <c r="E42" s="2274"/>
      <c r="F42" s="2274"/>
      <c r="G42" s="2274"/>
      <c r="H42" s="2274"/>
      <c r="I42" s="2274"/>
      <c r="J42" s="2274"/>
      <c r="K42" s="2274"/>
      <c r="L42" s="2274"/>
      <c r="M42" s="2274"/>
      <c r="N42" s="2274"/>
      <c r="O42" s="2274"/>
      <c r="P42" s="2274"/>
      <c r="Q42" s="2274"/>
    </row>
    <row r="43" spans="2:17" s="750" customFormat="1">
      <c r="B43" s="2274"/>
      <c r="C43" s="2274"/>
      <c r="D43" s="2274"/>
      <c r="E43" s="2274"/>
      <c r="F43" s="2274"/>
      <c r="G43" s="2274"/>
      <c r="H43" s="2274"/>
      <c r="I43" s="2274"/>
      <c r="J43" s="2274"/>
      <c r="K43" s="2274"/>
      <c r="L43" s="2274"/>
      <c r="M43" s="2274"/>
      <c r="N43" s="2274"/>
      <c r="O43" s="2274"/>
      <c r="P43" s="2274"/>
      <c r="Q43" s="2274"/>
    </row>
    <row r="44" spans="2:17" s="750" customFormat="1">
      <c r="B44" s="2274"/>
      <c r="C44" s="2274"/>
      <c r="D44" s="2274"/>
      <c r="E44" s="2274"/>
      <c r="F44" s="2274"/>
      <c r="G44" s="2274"/>
      <c r="H44" s="2274"/>
      <c r="I44" s="2274"/>
      <c r="J44" s="2274"/>
      <c r="K44" s="2274"/>
      <c r="L44" s="2274"/>
      <c r="M44" s="2274"/>
      <c r="N44" s="2274"/>
      <c r="O44" s="2274"/>
      <c r="P44" s="2274"/>
      <c r="Q44" s="2274"/>
    </row>
    <row r="45" spans="2:17" s="750" customFormat="1">
      <c r="B45" s="2274"/>
      <c r="C45" s="2274"/>
      <c r="D45" s="2274"/>
      <c r="E45" s="2274"/>
      <c r="F45" s="2274"/>
      <c r="G45" s="2274"/>
      <c r="H45" s="2274"/>
      <c r="I45" s="2274"/>
      <c r="J45" s="2274"/>
      <c r="K45" s="2274"/>
      <c r="L45" s="2274"/>
      <c r="M45" s="2274"/>
      <c r="N45" s="2274"/>
      <c r="O45" s="2274"/>
      <c r="P45" s="2274"/>
      <c r="Q45" s="2274"/>
    </row>
    <row r="46" spans="2:17" s="750" customFormat="1">
      <c r="B46" s="2274"/>
      <c r="C46" s="2274"/>
      <c r="D46" s="2274"/>
      <c r="E46" s="2274"/>
      <c r="F46" s="2274"/>
      <c r="G46" s="2274"/>
      <c r="H46" s="2274"/>
      <c r="I46" s="2274"/>
      <c r="J46" s="2274"/>
      <c r="K46" s="2274"/>
      <c r="L46" s="2274"/>
      <c r="M46" s="2274"/>
      <c r="N46" s="2274"/>
      <c r="O46" s="2274"/>
      <c r="P46" s="2274"/>
      <c r="Q46" s="2274"/>
    </row>
    <row r="47" spans="2:17" s="750" customFormat="1">
      <c r="B47" s="2274"/>
      <c r="C47" s="2274"/>
      <c r="D47" s="2274"/>
      <c r="E47" s="2274"/>
      <c r="F47" s="2274"/>
      <c r="G47" s="2274"/>
      <c r="H47" s="2274"/>
      <c r="I47" s="2274"/>
      <c r="J47" s="2274"/>
      <c r="K47" s="2274"/>
      <c r="L47" s="2274"/>
      <c r="M47" s="2274"/>
      <c r="N47" s="2274"/>
      <c r="O47" s="2274"/>
      <c r="P47" s="2274"/>
      <c r="Q47" s="2274"/>
    </row>
    <row r="48" spans="2:17" s="750" customFormat="1">
      <c r="B48" s="2274"/>
      <c r="C48" s="2274"/>
      <c r="D48" s="2274"/>
      <c r="E48" s="2274"/>
      <c r="F48" s="2274"/>
      <c r="G48" s="2274"/>
      <c r="H48" s="2274"/>
      <c r="I48" s="2274"/>
      <c r="J48" s="2274"/>
      <c r="K48" s="2274"/>
      <c r="L48" s="2274"/>
      <c r="M48" s="2274"/>
      <c r="N48" s="2274"/>
      <c r="O48" s="2274"/>
      <c r="P48" s="2274"/>
      <c r="Q48" s="2274"/>
    </row>
    <row r="49" spans="2:17" s="750" customFormat="1">
      <c r="B49" s="2274"/>
      <c r="C49" s="2274"/>
      <c r="D49" s="2274"/>
      <c r="E49" s="2274"/>
      <c r="F49" s="2274"/>
      <c r="G49" s="2274"/>
      <c r="H49" s="2274"/>
      <c r="I49" s="2274"/>
      <c r="J49" s="2274"/>
      <c r="K49" s="2274"/>
      <c r="L49" s="2274"/>
      <c r="M49" s="2274"/>
      <c r="N49" s="2274"/>
      <c r="O49" s="2274"/>
      <c r="P49" s="2274"/>
      <c r="Q49" s="2274"/>
    </row>
    <row r="50" spans="2:17" s="750" customFormat="1">
      <c r="B50" s="2274"/>
      <c r="C50" s="2274"/>
      <c r="D50" s="2274"/>
      <c r="E50" s="2274"/>
      <c r="F50" s="2274"/>
      <c r="G50" s="2274"/>
      <c r="H50" s="2274"/>
      <c r="I50" s="2274"/>
      <c r="J50" s="2274"/>
      <c r="K50" s="2274"/>
      <c r="L50" s="2274"/>
      <c r="M50" s="2274"/>
      <c r="N50" s="2274"/>
      <c r="O50" s="2274"/>
      <c r="P50" s="2274"/>
      <c r="Q50" s="2274"/>
    </row>
    <row r="51" spans="2:17" s="750" customFormat="1">
      <c r="B51" s="2274"/>
      <c r="C51" s="2274"/>
      <c r="D51" s="2274"/>
      <c r="E51" s="2274"/>
      <c r="F51" s="2274"/>
      <c r="G51" s="2274"/>
      <c r="H51" s="2274"/>
      <c r="I51" s="2274"/>
      <c r="J51" s="2274"/>
      <c r="K51" s="2274"/>
      <c r="L51" s="2274"/>
      <c r="M51" s="2274"/>
      <c r="N51" s="2274"/>
      <c r="O51" s="2274"/>
      <c r="P51" s="2274"/>
      <c r="Q51" s="2274"/>
    </row>
    <row r="52" spans="2:17" s="750" customFormat="1">
      <c r="B52" s="2274"/>
      <c r="C52" s="2274"/>
      <c r="D52" s="2274"/>
      <c r="E52" s="2274"/>
      <c r="F52" s="2274"/>
      <c r="G52" s="2274"/>
      <c r="H52" s="2274"/>
      <c r="I52" s="2274"/>
      <c r="J52" s="2274"/>
      <c r="K52" s="2274"/>
      <c r="L52" s="2274"/>
      <c r="M52" s="2274"/>
      <c r="N52" s="2274"/>
      <c r="O52" s="2274"/>
      <c r="P52" s="2274"/>
      <c r="Q52" s="2274"/>
    </row>
    <row r="53" spans="2:17" s="750" customFormat="1">
      <c r="B53" s="2274"/>
      <c r="C53" s="2274"/>
      <c r="D53" s="2274"/>
      <c r="E53" s="2274"/>
      <c r="F53" s="2274"/>
      <c r="G53" s="2274"/>
      <c r="H53" s="2274"/>
      <c r="I53" s="2274"/>
      <c r="J53" s="2274"/>
      <c r="K53" s="2274"/>
      <c r="L53" s="2274"/>
      <c r="M53" s="2274"/>
      <c r="N53" s="2274"/>
      <c r="O53" s="2274"/>
      <c r="P53" s="2274"/>
      <c r="Q53" s="2274"/>
    </row>
    <row r="54" spans="2:17" s="750" customFormat="1">
      <c r="B54" s="2274"/>
      <c r="C54" s="2274"/>
      <c r="D54" s="2274"/>
      <c r="E54" s="2274"/>
      <c r="F54" s="2274"/>
      <c r="G54" s="2274"/>
      <c r="H54" s="2274"/>
      <c r="I54" s="2274"/>
      <c r="J54" s="2274"/>
      <c r="K54" s="2274"/>
      <c r="L54" s="2274"/>
      <c r="M54" s="2274"/>
      <c r="N54" s="2274"/>
      <c r="O54" s="2274"/>
      <c r="P54" s="2274"/>
      <c r="Q54" s="2274"/>
    </row>
    <row r="55" spans="2:17" s="750" customFormat="1">
      <c r="B55" s="2274"/>
      <c r="C55" s="2274"/>
      <c r="D55" s="2274"/>
      <c r="E55" s="2274"/>
      <c r="F55" s="2274"/>
      <c r="G55" s="2274"/>
      <c r="H55" s="2274"/>
      <c r="I55" s="2274"/>
      <c r="J55" s="2274"/>
      <c r="K55" s="2274"/>
      <c r="L55" s="2274"/>
      <c r="M55" s="2274"/>
      <c r="N55" s="2274"/>
      <c r="O55" s="2274"/>
      <c r="P55" s="2274"/>
      <c r="Q55" s="2274"/>
    </row>
    <row r="56" spans="2:17" s="750" customFormat="1">
      <c r="B56" s="2274"/>
      <c r="C56" s="2274"/>
      <c r="D56" s="2274"/>
      <c r="E56" s="2274"/>
      <c r="F56" s="2274"/>
      <c r="G56" s="2274"/>
      <c r="H56" s="2274"/>
      <c r="I56" s="2274"/>
      <c r="J56" s="2274"/>
      <c r="K56" s="2274"/>
      <c r="L56" s="2274"/>
      <c r="M56" s="2274"/>
      <c r="N56" s="2274"/>
      <c r="O56" s="2274"/>
      <c r="P56" s="2274"/>
      <c r="Q56" s="2274"/>
    </row>
    <row r="57" spans="2:17" s="750" customFormat="1">
      <c r="B57" s="2274"/>
      <c r="C57" s="2274"/>
      <c r="D57" s="2274"/>
      <c r="E57" s="2274"/>
      <c r="F57" s="2274"/>
      <c r="G57" s="2274"/>
      <c r="H57" s="2274"/>
      <c r="I57" s="2274"/>
      <c r="J57" s="2274"/>
      <c r="K57" s="2274"/>
      <c r="L57" s="2274"/>
      <c r="M57" s="2274"/>
      <c r="N57" s="2274"/>
      <c r="O57" s="2274"/>
      <c r="P57" s="2274"/>
      <c r="Q57" s="2274"/>
    </row>
    <row r="58" spans="2:17" s="750" customFormat="1">
      <c r="B58" s="2274"/>
      <c r="C58" s="2274"/>
      <c r="D58" s="2274"/>
      <c r="E58" s="2274"/>
      <c r="F58" s="2274"/>
      <c r="G58" s="2274"/>
      <c r="H58" s="2274"/>
      <c r="I58" s="2274"/>
      <c r="J58" s="2274"/>
      <c r="K58" s="2274"/>
      <c r="L58" s="2274"/>
      <c r="M58" s="2274"/>
      <c r="N58" s="2274"/>
      <c r="O58" s="2274"/>
      <c r="P58" s="2274"/>
      <c r="Q58" s="2274"/>
    </row>
    <row r="59" spans="2:17" s="750" customFormat="1">
      <c r="B59" s="2274"/>
      <c r="C59" s="2274"/>
      <c r="D59" s="2274"/>
      <c r="E59" s="2274"/>
      <c r="F59" s="2274"/>
      <c r="G59" s="2274"/>
      <c r="H59" s="2274"/>
      <c r="I59" s="2274"/>
      <c r="J59" s="2274"/>
      <c r="K59" s="2274"/>
      <c r="L59" s="2274"/>
      <c r="M59" s="2274"/>
      <c r="N59" s="2274"/>
      <c r="O59" s="2274"/>
      <c r="P59" s="2274"/>
      <c r="Q59" s="2274"/>
    </row>
    <row r="60" spans="2:17" s="750" customFormat="1">
      <c r="B60" s="2274"/>
      <c r="C60" s="2274"/>
      <c r="D60" s="2274"/>
      <c r="E60" s="2274"/>
      <c r="F60" s="2274"/>
      <c r="G60" s="2274"/>
      <c r="H60" s="2274"/>
      <c r="I60" s="2274"/>
      <c r="J60" s="2274"/>
      <c r="K60" s="2274"/>
      <c r="L60" s="2274"/>
      <c r="M60" s="2274"/>
      <c r="N60" s="2274"/>
      <c r="O60" s="2274"/>
      <c r="P60" s="2274"/>
      <c r="Q60" s="2274"/>
    </row>
    <row r="61" spans="2:17" s="750" customFormat="1">
      <c r="B61" s="2274"/>
      <c r="C61" s="2274"/>
      <c r="D61" s="2274"/>
      <c r="E61" s="2274"/>
      <c r="F61" s="2274"/>
      <c r="G61" s="2274"/>
      <c r="H61" s="2274"/>
      <c r="I61" s="2274"/>
      <c r="J61" s="2274"/>
      <c r="K61" s="2274"/>
      <c r="L61" s="2274"/>
      <c r="M61" s="2274"/>
      <c r="N61" s="2274"/>
      <c r="O61" s="2274"/>
      <c r="P61" s="2274"/>
      <c r="Q61" s="2274"/>
    </row>
    <row r="62" spans="2:17" s="750" customFormat="1">
      <c r="B62" s="2274"/>
      <c r="C62" s="2274"/>
      <c r="D62" s="2274"/>
      <c r="E62" s="2274"/>
      <c r="F62" s="2274"/>
      <c r="G62" s="2274"/>
      <c r="H62" s="2274"/>
      <c r="I62" s="2274"/>
      <c r="J62" s="2274"/>
      <c r="K62" s="2274"/>
      <c r="L62" s="2274"/>
      <c r="M62" s="2274"/>
      <c r="N62" s="2274"/>
      <c r="O62" s="2274"/>
      <c r="P62" s="2274"/>
      <c r="Q62" s="2274"/>
    </row>
    <row r="63" spans="2:17" s="750" customFormat="1">
      <c r="B63" s="2274"/>
      <c r="C63" s="2274"/>
      <c r="D63" s="2274"/>
      <c r="E63" s="2274"/>
      <c r="F63" s="2274"/>
      <c r="G63" s="2274"/>
      <c r="H63" s="2274"/>
      <c r="I63" s="2274"/>
      <c r="J63" s="2274"/>
      <c r="K63" s="2274"/>
      <c r="L63" s="2274"/>
      <c r="M63" s="2274"/>
      <c r="N63" s="2274"/>
      <c r="O63" s="2274"/>
      <c r="P63" s="2274"/>
      <c r="Q63" s="2274"/>
    </row>
    <row r="64" spans="2:17" s="750" customFormat="1">
      <c r="B64" s="2274"/>
      <c r="C64" s="2274"/>
      <c r="D64" s="2274"/>
      <c r="E64" s="2274"/>
      <c r="F64" s="2274"/>
      <c r="G64" s="2274"/>
      <c r="H64" s="2274"/>
      <c r="I64" s="2274"/>
      <c r="J64" s="2274"/>
      <c r="K64" s="2274"/>
      <c r="L64" s="2274"/>
      <c r="M64" s="2274"/>
      <c r="N64" s="2274"/>
      <c r="O64" s="2274"/>
      <c r="P64" s="2274"/>
      <c r="Q64" s="2274"/>
    </row>
    <row r="65" spans="2:17" s="750" customFormat="1">
      <c r="B65" s="2274"/>
      <c r="C65" s="2274"/>
      <c r="D65" s="2274"/>
      <c r="E65" s="2274"/>
      <c r="F65" s="2274"/>
      <c r="G65" s="2274"/>
      <c r="H65" s="2274"/>
      <c r="I65" s="2274"/>
      <c r="J65" s="2274"/>
      <c r="K65" s="2274"/>
      <c r="L65" s="2274"/>
      <c r="M65" s="2274"/>
      <c r="N65" s="2274"/>
      <c r="O65" s="2274"/>
      <c r="P65" s="2274"/>
      <c r="Q65" s="2274"/>
    </row>
    <row r="66" spans="2:17" s="750" customFormat="1">
      <c r="B66" s="2274"/>
      <c r="C66" s="2274"/>
      <c r="D66" s="2274"/>
      <c r="E66" s="2274"/>
      <c r="F66" s="2274"/>
      <c r="G66" s="2274"/>
      <c r="H66" s="2274"/>
      <c r="I66" s="2274"/>
      <c r="J66" s="2274"/>
      <c r="K66" s="2274"/>
      <c r="L66" s="2274"/>
      <c r="M66" s="2274"/>
      <c r="N66" s="2274"/>
      <c r="O66" s="2274"/>
      <c r="P66" s="2274"/>
      <c r="Q66" s="2274"/>
    </row>
    <row r="67" spans="2:17" s="750" customFormat="1">
      <c r="B67" s="2274"/>
      <c r="C67" s="2274"/>
      <c r="D67" s="2274"/>
      <c r="E67" s="2274"/>
      <c r="F67" s="2274"/>
      <c r="G67" s="2274"/>
      <c r="H67" s="2274"/>
      <c r="I67" s="2274"/>
      <c r="J67" s="2274"/>
      <c r="K67" s="2274"/>
      <c r="L67" s="2274"/>
      <c r="M67" s="2274"/>
      <c r="N67" s="2274"/>
      <c r="O67" s="2274"/>
      <c r="P67" s="2274"/>
      <c r="Q67" s="2274"/>
    </row>
    <row r="68" spans="2:17" s="750" customFormat="1">
      <c r="B68" s="2274"/>
      <c r="C68" s="2274"/>
      <c r="D68" s="2274"/>
      <c r="E68" s="2274"/>
      <c r="F68" s="2274"/>
      <c r="G68" s="2274"/>
      <c r="H68" s="2274"/>
      <c r="I68" s="2274"/>
      <c r="J68" s="2274"/>
      <c r="K68" s="2274"/>
      <c r="L68" s="2274"/>
      <c r="M68" s="2274"/>
      <c r="N68" s="2274"/>
      <c r="O68" s="2274"/>
      <c r="P68" s="2274"/>
      <c r="Q68" s="2274"/>
    </row>
    <row r="69" spans="2:17" s="750" customFormat="1">
      <c r="B69" s="2274"/>
      <c r="C69" s="2274"/>
      <c r="D69" s="2274"/>
      <c r="E69" s="2274"/>
      <c r="F69" s="2274"/>
      <c r="G69" s="2274"/>
      <c r="H69" s="2274"/>
      <c r="I69" s="2274"/>
      <c r="J69" s="2274"/>
      <c r="K69" s="2274"/>
      <c r="L69" s="2274"/>
      <c r="M69" s="2274"/>
      <c r="N69" s="2274"/>
      <c r="O69" s="2274"/>
      <c r="P69" s="2274"/>
      <c r="Q69" s="2274"/>
    </row>
    <row r="70" spans="2:17" s="750" customFormat="1">
      <c r="B70" s="2274"/>
      <c r="C70" s="2274"/>
      <c r="D70" s="2274"/>
      <c r="E70" s="2274"/>
      <c r="F70" s="2274"/>
      <c r="G70" s="2274"/>
      <c r="H70" s="2274"/>
      <c r="I70" s="2274"/>
      <c r="J70" s="2274"/>
      <c r="K70" s="2274"/>
      <c r="L70" s="2274"/>
      <c r="M70" s="2274"/>
      <c r="N70" s="2274"/>
      <c r="O70" s="2274"/>
      <c r="P70" s="2274"/>
      <c r="Q70" s="2274"/>
    </row>
    <row r="71" spans="2:17" s="750" customFormat="1">
      <c r="B71" s="2274"/>
      <c r="C71" s="2274"/>
      <c r="D71" s="2274"/>
      <c r="E71" s="2274"/>
      <c r="F71" s="2274"/>
      <c r="G71" s="2274"/>
      <c r="H71" s="2274"/>
      <c r="I71" s="2274"/>
      <c r="J71" s="2274"/>
      <c r="K71" s="2274"/>
      <c r="L71" s="2274"/>
      <c r="M71" s="2274"/>
      <c r="N71" s="2274"/>
      <c r="O71" s="2274"/>
      <c r="P71" s="2274"/>
      <c r="Q71" s="2274"/>
    </row>
    <row r="72" spans="2:17" s="750" customFormat="1">
      <c r="B72" s="2274"/>
      <c r="C72" s="2274"/>
      <c r="D72" s="2274"/>
      <c r="E72" s="2274"/>
      <c r="F72" s="2274"/>
      <c r="G72" s="2274"/>
      <c r="H72" s="2274"/>
      <c r="I72" s="2274"/>
      <c r="J72" s="2274"/>
      <c r="K72" s="2274"/>
      <c r="L72" s="2274"/>
      <c r="M72" s="2274"/>
      <c r="N72" s="2274"/>
      <c r="O72" s="2274"/>
      <c r="P72" s="2274"/>
      <c r="Q72" s="2274"/>
    </row>
    <row r="73" spans="2:17" s="750" customFormat="1">
      <c r="B73" s="2274"/>
      <c r="C73" s="2274"/>
      <c r="D73" s="2274"/>
      <c r="E73" s="2274"/>
      <c r="F73" s="2274"/>
      <c r="G73" s="2274"/>
      <c r="H73" s="2274"/>
      <c r="I73" s="2274"/>
      <c r="J73" s="2274"/>
      <c r="K73" s="2274"/>
      <c r="L73" s="2274"/>
      <c r="M73" s="2274"/>
      <c r="N73" s="2274"/>
      <c r="O73" s="2274"/>
      <c r="P73" s="2274"/>
      <c r="Q73" s="2274"/>
    </row>
    <row r="74" spans="2:17" s="750" customFormat="1">
      <c r="B74" s="2274"/>
      <c r="C74" s="2274"/>
      <c r="D74" s="2274"/>
      <c r="E74" s="2274"/>
      <c r="F74" s="2274"/>
      <c r="G74" s="2274"/>
      <c r="H74" s="2274"/>
      <c r="I74" s="2274"/>
      <c r="J74" s="2274"/>
      <c r="K74" s="2274"/>
      <c r="L74" s="2274"/>
      <c r="M74" s="2274"/>
      <c r="N74" s="2274"/>
      <c r="O74" s="2274"/>
      <c r="P74" s="2274"/>
      <c r="Q74" s="2274"/>
    </row>
    <row r="75" spans="2:17" s="750" customFormat="1">
      <c r="B75" s="2274"/>
      <c r="C75" s="2274"/>
      <c r="D75" s="2274"/>
      <c r="E75" s="2274"/>
      <c r="F75" s="2274"/>
      <c r="G75" s="2274"/>
      <c r="H75" s="2274"/>
      <c r="I75" s="2274"/>
      <c r="J75" s="2274"/>
      <c r="K75" s="2274"/>
      <c r="L75" s="2274"/>
      <c r="M75" s="2274"/>
      <c r="N75" s="2274"/>
      <c r="O75" s="2274"/>
      <c r="P75" s="2274"/>
      <c r="Q75" s="2274"/>
    </row>
    <row r="76" spans="2:17" s="750" customFormat="1">
      <c r="B76" s="2274"/>
      <c r="C76" s="2274"/>
      <c r="D76" s="2274"/>
      <c r="E76" s="2274"/>
      <c r="F76" s="2274"/>
      <c r="G76" s="2274"/>
      <c r="H76" s="2274"/>
      <c r="I76" s="2274"/>
      <c r="J76" s="2274"/>
      <c r="K76" s="2274"/>
      <c r="L76" s="2274"/>
      <c r="M76" s="2274"/>
      <c r="N76" s="2274"/>
      <c r="O76" s="2274"/>
      <c r="P76" s="2274"/>
      <c r="Q76" s="2274"/>
    </row>
    <row r="77" spans="2:17" s="750" customFormat="1">
      <c r="B77" s="2274"/>
      <c r="C77" s="2274"/>
      <c r="D77" s="2274"/>
      <c r="E77" s="2274"/>
      <c r="F77" s="2274"/>
      <c r="G77" s="2274"/>
      <c r="H77" s="2274"/>
      <c r="I77" s="2274"/>
      <c r="J77" s="2274"/>
      <c r="K77" s="2274"/>
      <c r="L77" s="2274"/>
      <c r="M77" s="2274"/>
      <c r="N77" s="2274"/>
      <c r="O77" s="2274"/>
      <c r="P77" s="2274"/>
      <c r="Q77" s="2274"/>
    </row>
    <row r="78" spans="2:17" s="750" customFormat="1">
      <c r="B78" s="2274"/>
      <c r="C78" s="2274"/>
      <c r="D78" s="2274"/>
      <c r="E78" s="2274"/>
      <c r="F78" s="2274"/>
      <c r="G78" s="2274"/>
      <c r="H78" s="2274"/>
      <c r="I78" s="2274"/>
      <c r="J78" s="2274"/>
      <c r="K78" s="2274"/>
      <c r="L78" s="2274"/>
      <c r="M78" s="2274"/>
      <c r="N78" s="2274"/>
      <c r="O78" s="2274"/>
      <c r="P78" s="2274"/>
      <c r="Q78" s="2274"/>
    </row>
    <row r="79" spans="2:17" s="750" customFormat="1">
      <c r="B79" s="2274"/>
      <c r="C79" s="2274"/>
      <c r="D79" s="2274"/>
      <c r="E79" s="2274"/>
      <c r="F79" s="2274"/>
      <c r="G79" s="2274"/>
      <c r="H79" s="2274"/>
      <c r="I79" s="2274"/>
      <c r="J79" s="2274"/>
      <c r="K79" s="2274"/>
      <c r="L79" s="2274"/>
      <c r="M79" s="2274"/>
      <c r="N79" s="2274"/>
      <c r="O79" s="2274"/>
      <c r="P79" s="2274"/>
      <c r="Q79" s="2274"/>
    </row>
    <row r="80" spans="2:17" s="750" customFormat="1">
      <c r="B80" s="2274"/>
      <c r="C80" s="2274"/>
      <c r="D80" s="2274"/>
      <c r="E80" s="2274"/>
      <c r="F80" s="2274"/>
      <c r="G80" s="2274"/>
      <c r="H80" s="2274"/>
      <c r="I80" s="2274"/>
      <c r="J80" s="2274"/>
      <c r="K80" s="2274"/>
      <c r="L80" s="2274"/>
      <c r="M80" s="2274"/>
      <c r="N80" s="2274"/>
      <c r="O80" s="2274"/>
      <c r="P80" s="2274"/>
      <c r="Q80" s="2274"/>
    </row>
    <row r="81" spans="2:17" s="750" customFormat="1">
      <c r="B81" s="2274"/>
      <c r="C81" s="2274"/>
      <c r="D81" s="2274"/>
      <c r="E81" s="2274"/>
      <c r="F81" s="2274"/>
      <c r="G81" s="2274"/>
      <c r="H81" s="2274"/>
      <c r="I81" s="2274"/>
      <c r="J81" s="2274"/>
      <c r="K81" s="2274"/>
      <c r="L81" s="2274"/>
      <c r="M81" s="2274"/>
      <c r="N81" s="2274"/>
      <c r="O81" s="2274"/>
      <c r="P81" s="2274"/>
      <c r="Q81" s="2274"/>
    </row>
    <row r="82" spans="2:17" s="750" customFormat="1">
      <c r="B82" s="2274"/>
      <c r="C82" s="2274"/>
      <c r="D82" s="2274"/>
      <c r="E82" s="2274"/>
      <c r="F82" s="2274"/>
      <c r="G82" s="2274"/>
      <c r="H82" s="2274"/>
      <c r="I82" s="2274"/>
      <c r="J82" s="2274"/>
      <c r="K82" s="2274"/>
      <c r="L82" s="2274"/>
      <c r="M82" s="2274"/>
      <c r="N82" s="2274"/>
      <c r="O82" s="2274"/>
      <c r="P82" s="2274"/>
      <c r="Q82" s="2274"/>
    </row>
    <row r="83" spans="2:17" s="750" customFormat="1">
      <c r="B83" s="2274"/>
      <c r="C83" s="2274"/>
      <c r="D83" s="2274"/>
      <c r="E83" s="2274"/>
      <c r="F83" s="2274"/>
      <c r="G83" s="2274"/>
      <c r="H83" s="2274"/>
      <c r="I83" s="2274"/>
      <c r="J83" s="2274"/>
      <c r="K83" s="2274"/>
      <c r="L83" s="2274"/>
      <c r="M83" s="2274"/>
      <c r="N83" s="2274"/>
      <c r="O83" s="2274"/>
      <c r="P83" s="2274"/>
      <c r="Q83" s="2274"/>
    </row>
    <row r="84" spans="2:17" s="750" customFormat="1">
      <c r="B84" s="2274"/>
      <c r="C84" s="2274"/>
      <c r="D84" s="2274"/>
      <c r="E84" s="2274"/>
      <c r="F84" s="2274"/>
      <c r="G84" s="2274"/>
      <c r="H84" s="2274"/>
      <c r="I84" s="2274"/>
      <c r="J84" s="2274"/>
      <c r="K84" s="2274"/>
      <c r="L84" s="2274"/>
      <c r="M84" s="2274"/>
      <c r="N84" s="2274"/>
      <c r="O84" s="2274"/>
      <c r="P84" s="2274"/>
      <c r="Q84" s="2274"/>
    </row>
    <row r="85" spans="2:17" s="750" customFormat="1">
      <c r="B85" s="2274"/>
      <c r="C85" s="2274"/>
      <c r="D85" s="2274"/>
      <c r="E85" s="2274"/>
      <c r="F85" s="2274"/>
      <c r="G85" s="2274"/>
      <c r="H85" s="2274"/>
      <c r="I85" s="2274"/>
      <c r="J85" s="2274"/>
      <c r="K85" s="2274"/>
      <c r="L85" s="2274"/>
      <c r="M85" s="2274"/>
      <c r="N85" s="2274"/>
      <c r="O85" s="2274"/>
      <c r="P85" s="2274"/>
      <c r="Q85" s="2274"/>
    </row>
    <row r="86" spans="2:17" s="750" customFormat="1">
      <c r="B86" s="2274"/>
      <c r="C86" s="2274"/>
      <c r="D86" s="2274"/>
      <c r="E86" s="2274"/>
      <c r="F86" s="2274"/>
      <c r="G86" s="2274"/>
      <c r="H86" s="2274"/>
      <c r="I86" s="2274"/>
      <c r="J86" s="2274"/>
      <c r="K86" s="2274"/>
      <c r="L86" s="2274"/>
      <c r="M86" s="2274"/>
      <c r="N86" s="2274"/>
      <c r="O86" s="2274"/>
      <c r="P86" s="2274"/>
      <c r="Q86" s="2274"/>
    </row>
    <row r="87" spans="2:17" s="750" customFormat="1">
      <c r="B87" s="2274"/>
      <c r="C87" s="2274"/>
      <c r="D87" s="2274"/>
      <c r="E87" s="2274"/>
      <c r="F87" s="2274"/>
      <c r="G87" s="2274"/>
      <c r="H87" s="2274"/>
      <c r="I87" s="2274"/>
      <c r="J87" s="2274"/>
      <c r="K87" s="2274"/>
      <c r="L87" s="2274"/>
      <c r="M87" s="2274"/>
      <c r="N87" s="2274"/>
      <c r="O87" s="2274"/>
      <c r="P87" s="2274"/>
      <c r="Q87" s="2274"/>
    </row>
    <row r="88" spans="2:17" s="750" customFormat="1">
      <c r="B88" s="2274"/>
      <c r="C88" s="2274"/>
      <c r="D88" s="2274"/>
      <c r="E88" s="2274"/>
      <c r="F88" s="2274"/>
      <c r="G88" s="2274"/>
      <c r="H88" s="2274"/>
      <c r="I88" s="2274"/>
      <c r="J88" s="2274"/>
      <c r="K88" s="2274"/>
      <c r="L88" s="2274"/>
      <c r="M88" s="2274"/>
      <c r="N88" s="2274"/>
      <c r="O88" s="2274"/>
      <c r="P88" s="2274"/>
      <c r="Q88" s="2274"/>
    </row>
    <row r="89" spans="2:17" s="750" customFormat="1">
      <c r="B89" s="2274"/>
      <c r="C89" s="2274"/>
      <c r="D89" s="2274"/>
      <c r="E89" s="2274"/>
      <c r="F89" s="2274"/>
      <c r="G89" s="2274"/>
      <c r="H89" s="2274"/>
      <c r="I89" s="2274"/>
      <c r="J89" s="2274"/>
      <c r="K89" s="2274"/>
      <c r="L89" s="2274"/>
      <c r="M89" s="2274"/>
      <c r="N89" s="2274"/>
      <c r="O89" s="2274"/>
      <c r="P89" s="2274"/>
      <c r="Q89" s="2274"/>
    </row>
    <row r="90" spans="2:17" s="750" customFormat="1">
      <c r="B90" s="2274"/>
      <c r="C90" s="2274"/>
      <c r="D90" s="2274"/>
      <c r="E90" s="2274"/>
      <c r="F90" s="2274"/>
      <c r="G90" s="2274"/>
      <c r="H90" s="2274"/>
      <c r="I90" s="2274"/>
      <c r="J90" s="2274"/>
      <c r="K90" s="2274"/>
      <c r="L90" s="2274"/>
      <c r="M90" s="2274"/>
      <c r="N90" s="2274"/>
      <c r="O90" s="2274"/>
      <c r="P90" s="2274"/>
      <c r="Q90" s="2274"/>
    </row>
    <row r="91" spans="2:17" s="750" customFormat="1">
      <c r="B91" s="2274"/>
      <c r="C91" s="2274"/>
      <c r="D91" s="2274"/>
      <c r="E91" s="2274"/>
      <c r="F91" s="2274"/>
      <c r="G91" s="2274"/>
      <c r="H91" s="2274"/>
      <c r="I91" s="2274"/>
      <c r="J91" s="2274"/>
      <c r="K91" s="2274"/>
      <c r="L91" s="2274"/>
      <c r="M91" s="2274"/>
      <c r="N91" s="2274"/>
      <c r="O91" s="2274"/>
      <c r="P91" s="2274"/>
      <c r="Q91" s="2274"/>
    </row>
    <row r="92" spans="2:17" s="750" customFormat="1">
      <c r="B92" s="2274"/>
      <c r="C92" s="2274"/>
      <c r="D92" s="2274"/>
      <c r="E92" s="2274"/>
      <c r="F92" s="2274"/>
      <c r="G92" s="2274"/>
      <c r="H92" s="2274"/>
      <c r="I92" s="2274"/>
      <c r="J92" s="2274"/>
      <c r="K92" s="2274"/>
      <c r="L92" s="2274"/>
      <c r="M92" s="2274"/>
      <c r="N92" s="2274"/>
      <c r="O92" s="2274"/>
      <c r="P92" s="2274"/>
      <c r="Q92" s="2274"/>
    </row>
    <row r="93" spans="2:17" s="750" customFormat="1">
      <c r="B93" s="2274"/>
      <c r="C93" s="2274"/>
      <c r="D93" s="2274"/>
      <c r="E93" s="2274"/>
      <c r="F93" s="2274"/>
      <c r="G93" s="2274"/>
      <c r="H93" s="2274"/>
      <c r="I93" s="2274"/>
      <c r="J93" s="2274"/>
      <c r="K93" s="2274"/>
      <c r="L93" s="2274"/>
      <c r="M93" s="2274"/>
      <c r="N93" s="2274"/>
      <c r="O93" s="2274"/>
      <c r="P93" s="2274"/>
      <c r="Q93" s="2274"/>
    </row>
    <row r="94" spans="2:17" s="750" customFormat="1">
      <c r="B94" s="2274"/>
      <c r="C94" s="2274"/>
      <c r="D94" s="2274"/>
      <c r="E94" s="2274"/>
      <c r="F94" s="2274"/>
      <c r="G94" s="2274"/>
      <c r="H94" s="2274"/>
      <c r="I94" s="2274"/>
      <c r="J94" s="2274"/>
      <c r="K94" s="2274"/>
      <c r="L94" s="2274"/>
      <c r="M94" s="2274"/>
      <c r="N94" s="2274"/>
      <c r="O94" s="2274"/>
      <c r="P94" s="2274"/>
      <c r="Q94" s="2274"/>
    </row>
    <row r="95" spans="2:17" s="750" customFormat="1">
      <c r="B95" s="2274"/>
      <c r="C95" s="2274"/>
      <c r="D95" s="2274"/>
      <c r="E95" s="2274"/>
      <c r="F95" s="2274"/>
      <c r="G95" s="2274"/>
      <c r="H95" s="2274"/>
      <c r="I95" s="2274"/>
      <c r="J95" s="2274"/>
      <c r="K95" s="2274"/>
      <c r="L95" s="2274"/>
      <c r="M95" s="2274"/>
      <c r="N95" s="2274"/>
      <c r="O95" s="2274"/>
      <c r="P95" s="2274"/>
      <c r="Q95" s="2274"/>
    </row>
    <row r="96" spans="2:17" s="750" customFormat="1">
      <c r="B96" s="2274"/>
      <c r="C96" s="2274"/>
      <c r="D96" s="2274"/>
      <c r="E96" s="2274"/>
      <c r="F96" s="2274"/>
      <c r="G96" s="2274"/>
      <c r="H96" s="2274"/>
      <c r="I96" s="2274"/>
      <c r="J96" s="2274"/>
      <c r="K96" s="2274"/>
      <c r="L96" s="2274"/>
      <c r="M96" s="2274"/>
      <c r="N96" s="2274"/>
      <c r="O96" s="2274"/>
      <c r="P96" s="2274"/>
      <c r="Q96" s="2274"/>
    </row>
    <row r="97" spans="2:17" s="750" customFormat="1">
      <c r="B97" s="2274"/>
      <c r="C97" s="2274"/>
      <c r="D97" s="2274"/>
      <c r="E97" s="2274"/>
      <c r="F97" s="2274"/>
      <c r="G97" s="2274"/>
      <c r="H97" s="2274"/>
      <c r="I97" s="2274"/>
      <c r="J97" s="2274"/>
      <c r="K97" s="2274"/>
      <c r="L97" s="2274"/>
      <c r="M97" s="2274"/>
      <c r="N97" s="2274"/>
      <c r="O97" s="2274"/>
      <c r="P97" s="2274"/>
      <c r="Q97" s="2274"/>
    </row>
    <row r="98" spans="2:17" s="750" customFormat="1">
      <c r="B98" s="2274"/>
      <c r="C98" s="2274"/>
      <c r="D98" s="2274"/>
      <c r="E98" s="2274"/>
      <c r="F98" s="2274"/>
      <c r="G98" s="2274"/>
      <c r="H98" s="2274"/>
      <c r="I98" s="2274"/>
      <c r="J98" s="2274"/>
      <c r="K98" s="2274"/>
      <c r="L98" s="2274"/>
      <c r="M98" s="2274"/>
      <c r="N98" s="2274"/>
      <c r="O98" s="2274"/>
      <c r="P98" s="2274"/>
      <c r="Q98" s="2274"/>
    </row>
    <row r="99" spans="2:17" s="750" customFormat="1">
      <c r="B99" s="2274"/>
      <c r="C99" s="2274"/>
      <c r="D99" s="2274"/>
      <c r="E99" s="2274"/>
      <c r="F99" s="2274"/>
      <c r="G99" s="2274"/>
      <c r="H99" s="2274"/>
      <c r="I99" s="2274"/>
      <c r="J99" s="2274"/>
      <c r="K99" s="2274"/>
      <c r="L99" s="2274"/>
      <c r="M99" s="2274"/>
      <c r="N99" s="2274"/>
      <c r="O99" s="2274"/>
      <c r="P99" s="2274"/>
      <c r="Q99" s="2274"/>
    </row>
    <row r="100" spans="2:17" s="750" customFormat="1">
      <c r="B100" s="2274"/>
      <c r="C100" s="2274"/>
      <c r="D100" s="2274"/>
      <c r="E100" s="2274"/>
      <c r="F100" s="2274"/>
      <c r="G100" s="2274"/>
      <c r="H100" s="2274"/>
      <c r="I100" s="2274"/>
      <c r="J100" s="2274"/>
      <c r="K100" s="2274"/>
      <c r="L100" s="2274"/>
      <c r="M100" s="2274"/>
      <c r="N100" s="2274"/>
      <c r="O100" s="2274"/>
      <c r="P100" s="2274"/>
      <c r="Q100" s="2274"/>
    </row>
    <row r="101" spans="2:17" s="750" customFormat="1">
      <c r="B101" s="2274"/>
      <c r="C101" s="2274"/>
      <c r="D101" s="2274"/>
      <c r="E101" s="2274"/>
      <c r="F101" s="2274"/>
      <c r="G101" s="2274"/>
      <c r="H101" s="2274"/>
      <c r="I101" s="2274"/>
      <c r="J101" s="2274"/>
      <c r="K101" s="2274"/>
      <c r="L101" s="2274"/>
      <c r="M101" s="2274"/>
      <c r="N101" s="2274"/>
      <c r="O101" s="2274"/>
      <c r="P101" s="2274"/>
      <c r="Q101" s="2274"/>
    </row>
    <row r="102" spans="2:17" s="750" customFormat="1">
      <c r="B102" s="2274"/>
      <c r="C102" s="2274"/>
      <c r="D102" s="2274"/>
      <c r="E102" s="2274"/>
      <c r="F102" s="2274"/>
      <c r="G102" s="2274"/>
      <c r="H102" s="2274"/>
      <c r="I102" s="2274"/>
      <c r="J102" s="2274"/>
      <c r="K102" s="2274"/>
      <c r="L102" s="2274"/>
      <c r="M102" s="2274"/>
      <c r="N102" s="2274"/>
      <c r="O102" s="2274"/>
      <c r="P102" s="2274"/>
      <c r="Q102" s="2274"/>
    </row>
    <row r="103" spans="2:17" s="750" customFormat="1">
      <c r="B103" s="2274"/>
      <c r="C103" s="2274"/>
      <c r="D103" s="2274"/>
      <c r="E103" s="2274"/>
      <c r="F103" s="2274"/>
      <c r="G103" s="2274"/>
      <c r="H103" s="2274"/>
      <c r="I103" s="2274"/>
      <c r="J103" s="2274"/>
      <c r="K103" s="2274"/>
      <c r="L103" s="2274"/>
      <c r="M103" s="2274"/>
      <c r="N103" s="2274"/>
      <c r="O103" s="2274"/>
      <c r="P103" s="2274"/>
      <c r="Q103" s="2274"/>
    </row>
    <row r="104" spans="2:17" s="750" customFormat="1">
      <c r="B104" s="2274"/>
      <c r="C104" s="2274"/>
      <c r="D104" s="2274"/>
      <c r="E104" s="2274"/>
      <c r="F104" s="2274"/>
      <c r="G104" s="2274"/>
      <c r="H104" s="2274"/>
      <c r="I104" s="2274"/>
      <c r="J104" s="2274"/>
      <c r="K104" s="2274"/>
      <c r="L104" s="2274"/>
      <c r="M104" s="2274"/>
      <c r="N104" s="2274"/>
      <c r="O104" s="2274"/>
      <c r="P104" s="2274"/>
      <c r="Q104" s="2274"/>
    </row>
    <row r="105" spans="2:17" s="750" customFormat="1">
      <c r="B105" s="2274"/>
      <c r="C105" s="2274"/>
      <c r="D105" s="2274"/>
      <c r="E105" s="2274"/>
      <c r="F105" s="2274"/>
      <c r="G105" s="2274"/>
      <c r="H105" s="2274"/>
      <c r="I105" s="2274"/>
      <c r="J105" s="2274"/>
      <c r="K105" s="2274"/>
      <c r="L105" s="2274"/>
      <c r="M105" s="2274"/>
      <c r="N105" s="2274"/>
      <c r="O105" s="2274"/>
      <c r="P105" s="2274"/>
      <c r="Q105" s="2274"/>
    </row>
    <row r="106" spans="2:17" s="750" customFormat="1">
      <c r="B106" s="2274"/>
      <c r="C106" s="2274"/>
      <c r="D106" s="2274"/>
      <c r="E106" s="2274"/>
      <c r="F106" s="2274"/>
      <c r="G106" s="2274"/>
      <c r="H106" s="2274"/>
      <c r="I106" s="2274"/>
      <c r="J106" s="2274"/>
      <c r="K106" s="2274"/>
      <c r="L106" s="2274"/>
      <c r="M106" s="2274"/>
      <c r="N106" s="2274"/>
      <c r="O106" s="2274"/>
      <c r="P106" s="2274"/>
      <c r="Q106" s="2274"/>
    </row>
    <row r="107" spans="2:17" s="750" customFormat="1">
      <c r="B107" s="2274"/>
      <c r="C107" s="2274"/>
      <c r="D107" s="2274"/>
      <c r="E107" s="2274"/>
      <c r="F107" s="2274"/>
      <c r="G107" s="2274"/>
      <c r="H107" s="2274"/>
      <c r="I107" s="2274"/>
      <c r="J107" s="2274"/>
      <c r="K107" s="2274"/>
      <c r="L107" s="2274"/>
      <c r="M107" s="2274"/>
      <c r="N107" s="2274"/>
      <c r="O107" s="2274"/>
      <c r="P107" s="2274"/>
      <c r="Q107" s="2274"/>
    </row>
    <row r="108" spans="2:17" s="750" customFormat="1">
      <c r="B108" s="2274"/>
      <c r="C108" s="2274"/>
      <c r="D108" s="2274"/>
      <c r="E108" s="2274"/>
      <c r="F108" s="2274"/>
      <c r="G108" s="2274"/>
      <c r="H108" s="2274"/>
      <c r="I108" s="2274"/>
      <c r="J108" s="2274"/>
      <c r="K108" s="2274"/>
      <c r="L108" s="2274"/>
      <c r="M108" s="2274"/>
      <c r="N108" s="2274"/>
      <c r="O108" s="2274"/>
      <c r="P108" s="2274"/>
      <c r="Q108" s="2274"/>
    </row>
    <row r="109" spans="2:17" s="750" customFormat="1">
      <c r="B109" s="2274"/>
      <c r="C109" s="2274"/>
      <c r="D109" s="2274"/>
      <c r="E109" s="2274"/>
      <c r="F109" s="2274"/>
      <c r="G109" s="2274"/>
      <c r="H109" s="2274"/>
      <c r="I109" s="2274"/>
      <c r="J109" s="2274"/>
      <c r="K109" s="2274"/>
      <c r="L109" s="2274"/>
      <c r="M109" s="2274"/>
      <c r="N109" s="2274"/>
      <c r="O109" s="2274"/>
      <c r="P109" s="2274"/>
      <c r="Q109" s="2274"/>
    </row>
    <row r="110" spans="2:17" s="750" customFormat="1">
      <c r="B110" s="2274"/>
      <c r="C110" s="2274"/>
      <c r="D110" s="2274"/>
      <c r="E110" s="2274"/>
      <c r="F110" s="2274"/>
      <c r="G110" s="2274"/>
      <c r="H110" s="2274"/>
      <c r="I110" s="2274"/>
      <c r="J110" s="2274"/>
      <c r="K110" s="2274"/>
      <c r="L110" s="2274"/>
      <c r="M110" s="2274"/>
      <c r="N110" s="2274"/>
      <c r="O110" s="2274"/>
      <c r="P110" s="2274"/>
      <c r="Q110" s="2274"/>
    </row>
    <row r="111" spans="2:17" s="750" customFormat="1">
      <c r="B111" s="2274"/>
      <c r="C111" s="2274"/>
      <c r="D111" s="2274"/>
      <c r="E111" s="2274"/>
      <c r="F111" s="2274"/>
      <c r="G111" s="2274"/>
      <c r="H111" s="2274"/>
      <c r="I111" s="2274"/>
      <c r="J111" s="2274"/>
      <c r="K111" s="2274"/>
      <c r="L111" s="2274"/>
      <c r="M111" s="2274"/>
      <c r="N111" s="2274"/>
      <c r="O111" s="2274"/>
      <c r="P111" s="2274"/>
      <c r="Q111" s="2274"/>
    </row>
    <row r="112" spans="2:17" s="750" customFormat="1">
      <c r="B112" s="2274"/>
      <c r="C112" s="2274"/>
      <c r="D112" s="2274"/>
      <c r="E112" s="2274"/>
      <c r="F112" s="2274"/>
      <c r="G112" s="2274"/>
      <c r="H112" s="2274"/>
      <c r="I112" s="2274"/>
      <c r="J112" s="2274"/>
      <c r="K112" s="2274"/>
      <c r="L112" s="2274"/>
      <c r="M112" s="2274"/>
      <c r="N112" s="2274"/>
      <c r="O112" s="2274"/>
      <c r="P112" s="2274"/>
      <c r="Q112" s="2274"/>
    </row>
    <row r="113" spans="2:17" s="750" customFormat="1">
      <c r="B113" s="2274"/>
      <c r="C113" s="2274"/>
      <c r="D113" s="2274"/>
      <c r="E113" s="2274"/>
      <c r="F113" s="2274"/>
      <c r="G113" s="2274"/>
      <c r="H113" s="2274"/>
      <c r="I113" s="2274"/>
      <c r="J113" s="2274"/>
      <c r="K113" s="2274"/>
      <c r="L113" s="2274"/>
      <c r="M113" s="2274"/>
      <c r="N113" s="2274"/>
      <c r="O113" s="2274"/>
      <c r="P113" s="2274"/>
      <c r="Q113" s="2274"/>
    </row>
    <row r="114" spans="2:17" s="750" customFormat="1">
      <c r="B114" s="2274"/>
      <c r="C114" s="2274"/>
      <c r="D114" s="2274"/>
      <c r="E114" s="2274"/>
      <c r="F114" s="2274"/>
      <c r="G114" s="2274"/>
      <c r="H114" s="2274"/>
      <c r="I114" s="2274"/>
      <c r="J114" s="2274"/>
      <c r="K114" s="2274"/>
      <c r="L114" s="2274"/>
      <c r="M114" s="2274"/>
      <c r="N114" s="2274"/>
      <c r="O114" s="2274"/>
      <c r="P114" s="2274"/>
      <c r="Q114" s="2274"/>
    </row>
    <row r="115" spans="2:17" s="750" customFormat="1">
      <c r="B115" s="2274"/>
      <c r="C115" s="2274"/>
      <c r="D115" s="2274"/>
      <c r="E115" s="2274"/>
      <c r="F115" s="2274"/>
      <c r="G115" s="2274"/>
      <c r="H115" s="2274"/>
      <c r="I115" s="2274"/>
      <c r="J115" s="2274"/>
      <c r="K115" s="2274"/>
      <c r="L115" s="2274"/>
      <c r="M115" s="2274"/>
      <c r="N115" s="2274"/>
      <c r="O115" s="2274"/>
      <c r="P115" s="2274"/>
      <c r="Q115" s="2274"/>
    </row>
    <row r="116" spans="2:17" s="750" customFormat="1">
      <c r="B116" s="2274"/>
      <c r="C116" s="2274"/>
      <c r="D116" s="2274"/>
      <c r="E116" s="2274"/>
      <c r="F116" s="2274"/>
      <c r="G116" s="2274"/>
      <c r="H116" s="2274"/>
      <c r="I116" s="2274"/>
      <c r="J116" s="2274"/>
      <c r="K116" s="2274"/>
      <c r="L116" s="2274"/>
      <c r="M116" s="2274"/>
      <c r="N116" s="2274"/>
      <c r="O116" s="2274"/>
      <c r="P116" s="2274"/>
      <c r="Q116" s="2274"/>
    </row>
    <row r="117" spans="2:17" s="750" customFormat="1">
      <c r="B117" s="2274"/>
      <c r="C117" s="2274"/>
      <c r="D117" s="2274"/>
      <c r="E117" s="2274"/>
      <c r="F117" s="2274"/>
      <c r="G117" s="2274"/>
      <c r="H117" s="2274"/>
      <c r="I117" s="2274"/>
      <c r="J117" s="2274"/>
      <c r="K117" s="2274"/>
      <c r="L117" s="2274"/>
      <c r="M117" s="2274"/>
      <c r="N117" s="2274"/>
      <c r="O117" s="2274"/>
      <c r="P117" s="2274"/>
      <c r="Q117" s="2274"/>
    </row>
    <row r="118" spans="2:17" s="750" customFormat="1">
      <c r="B118" s="2274"/>
      <c r="C118" s="2274"/>
      <c r="D118" s="2274"/>
      <c r="E118" s="2274"/>
      <c r="F118" s="2274"/>
      <c r="G118" s="2274"/>
      <c r="H118" s="2274"/>
      <c r="I118" s="2274"/>
      <c r="J118" s="2274"/>
      <c r="K118" s="2274"/>
      <c r="L118" s="2274"/>
      <c r="M118" s="2274"/>
      <c r="N118" s="2274"/>
      <c r="O118" s="2274"/>
      <c r="P118" s="2274"/>
      <c r="Q118" s="2274"/>
    </row>
    <row r="119" spans="2:17" s="750" customFormat="1">
      <c r="B119" s="2274"/>
      <c r="C119" s="2274"/>
      <c r="D119" s="2274"/>
      <c r="E119" s="2274"/>
      <c r="F119" s="2274"/>
      <c r="G119" s="2274"/>
      <c r="H119" s="2274"/>
      <c r="I119" s="2274"/>
      <c r="J119" s="2274"/>
      <c r="K119" s="2274"/>
      <c r="L119" s="2274"/>
      <c r="M119" s="2274"/>
      <c r="N119" s="2274"/>
      <c r="O119" s="2274"/>
      <c r="P119" s="2274"/>
      <c r="Q119" s="2274"/>
    </row>
    <row r="120" spans="2:17" s="750" customFormat="1">
      <c r="B120" s="2274"/>
      <c r="C120" s="2274"/>
      <c r="D120" s="2274"/>
      <c r="E120" s="2274"/>
      <c r="F120" s="2274"/>
      <c r="G120" s="2274"/>
      <c r="H120" s="2274"/>
      <c r="I120" s="2274"/>
      <c r="J120" s="2274"/>
      <c r="K120" s="2274"/>
      <c r="L120" s="2274"/>
      <c r="M120" s="2274"/>
      <c r="N120" s="2274"/>
      <c r="O120" s="2274"/>
      <c r="P120" s="2274"/>
      <c r="Q120" s="2274"/>
    </row>
    <row r="121" spans="2:17" s="750" customFormat="1">
      <c r="B121" s="2274"/>
      <c r="C121" s="2274"/>
      <c r="D121" s="2274"/>
      <c r="E121" s="2274"/>
      <c r="F121" s="2274"/>
      <c r="G121" s="2274"/>
      <c r="H121" s="2274"/>
      <c r="I121" s="2274"/>
      <c r="J121" s="2274"/>
      <c r="K121" s="2274"/>
      <c r="L121" s="2274"/>
      <c r="M121" s="2274"/>
      <c r="N121" s="2274"/>
      <c r="O121" s="2274"/>
      <c r="P121" s="2274"/>
      <c r="Q121" s="2274"/>
    </row>
    <row r="122" spans="2:17" s="750" customFormat="1">
      <c r="B122" s="2274"/>
      <c r="C122" s="2274"/>
      <c r="D122" s="2274"/>
      <c r="E122" s="2274"/>
      <c r="F122" s="2274"/>
      <c r="G122" s="2274"/>
      <c r="H122" s="2274"/>
      <c r="I122" s="2274"/>
      <c r="J122" s="2274"/>
      <c r="K122" s="2274"/>
      <c r="L122" s="2274"/>
      <c r="M122" s="2274"/>
      <c r="N122" s="2274"/>
      <c r="O122" s="2274"/>
      <c r="P122" s="2274"/>
      <c r="Q122" s="2274"/>
    </row>
    <row r="123" spans="2:17" s="750" customFormat="1">
      <c r="B123" s="2274"/>
      <c r="C123" s="2274"/>
      <c r="D123" s="2274"/>
      <c r="E123" s="2274"/>
      <c r="F123" s="2274"/>
      <c r="G123" s="2274"/>
      <c r="H123" s="2274"/>
      <c r="I123" s="2274"/>
      <c r="J123" s="2274"/>
      <c r="K123" s="2274"/>
      <c r="L123" s="2274"/>
      <c r="M123" s="2274"/>
      <c r="N123" s="2274"/>
      <c r="O123" s="2274"/>
      <c r="P123" s="2274"/>
      <c r="Q123" s="2274"/>
    </row>
    <row r="124" spans="2:17" s="750" customFormat="1">
      <c r="B124" s="2274"/>
      <c r="C124" s="2274"/>
      <c r="D124" s="2274"/>
      <c r="E124" s="2274"/>
      <c r="F124" s="2274"/>
      <c r="G124" s="2274"/>
      <c r="H124" s="2274"/>
      <c r="I124" s="2274"/>
      <c r="J124" s="2274"/>
      <c r="K124" s="2274"/>
      <c r="L124" s="2274"/>
      <c r="M124" s="2274"/>
      <c r="N124" s="2274"/>
      <c r="O124" s="2274"/>
      <c r="P124" s="2274"/>
      <c r="Q124" s="2274"/>
    </row>
    <row r="125" spans="2:17" s="750" customFormat="1">
      <c r="B125" s="2274"/>
      <c r="C125" s="2274"/>
      <c r="D125" s="2274"/>
      <c r="E125" s="2274"/>
      <c r="F125" s="2274"/>
      <c r="G125" s="2274"/>
      <c r="H125" s="2274"/>
      <c r="I125" s="2274"/>
      <c r="J125" s="2274"/>
      <c r="K125" s="2274"/>
      <c r="L125" s="2274"/>
      <c r="M125" s="2274"/>
      <c r="N125" s="2274"/>
      <c r="O125" s="2274"/>
      <c r="P125" s="2274"/>
      <c r="Q125" s="2274"/>
    </row>
    <row r="126" spans="2:17" s="750" customFormat="1">
      <c r="B126" s="2274"/>
      <c r="C126" s="2274"/>
      <c r="D126" s="2274"/>
      <c r="E126" s="2274"/>
      <c r="F126" s="2274"/>
      <c r="G126" s="2274"/>
      <c r="H126" s="2274"/>
      <c r="I126" s="2274"/>
      <c r="J126" s="2274"/>
      <c r="K126" s="2274"/>
      <c r="L126" s="2274"/>
      <c r="M126" s="2274"/>
      <c r="N126" s="2274"/>
      <c r="O126" s="2274"/>
      <c r="P126" s="2274"/>
      <c r="Q126" s="2274"/>
    </row>
    <row r="127" spans="2:17" s="750" customFormat="1">
      <c r="B127" s="2274"/>
      <c r="C127" s="2274"/>
      <c r="D127" s="2274"/>
      <c r="E127" s="2274"/>
      <c r="F127" s="2274"/>
      <c r="G127" s="2274"/>
      <c r="H127" s="2274"/>
      <c r="I127" s="2274"/>
      <c r="J127" s="2274"/>
      <c r="K127" s="2274"/>
      <c r="L127" s="2274"/>
      <c r="M127" s="2274"/>
      <c r="N127" s="2274"/>
      <c r="O127" s="2274"/>
      <c r="P127" s="2274"/>
      <c r="Q127" s="2274"/>
    </row>
    <row r="128" spans="2:17" s="750" customFormat="1">
      <c r="B128" s="2274"/>
      <c r="C128" s="2274"/>
      <c r="D128" s="2274"/>
      <c r="E128" s="2274"/>
      <c r="F128" s="2274"/>
      <c r="G128" s="2274"/>
      <c r="H128" s="2274"/>
      <c r="I128" s="2274"/>
      <c r="J128" s="2274"/>
      <c r="K128" s="2274"/>
      <c r="L128" s="2274"/>
      <c r="M128" s="2274"/>
      <c r="N128" s="2274"/>
      <c r="O128" s="2274"/>
      <c r="P128" s="2274"/>
      <c r="Q128" s="2274"/>
    </row>
    <row r="129" spans="2:17" s="750" customFormat="1">
      <c r="B129" s="2274"/>
      <c r="C129" s="2274"/>
      <c r="D129" s="2274"/>
      <c r="E129" s="2274"/>
      <c r="F129" s="2274"/>
      <c r="G129" s="2274"/>
      <c r="H129" s="2274"/>
      <c r="I129" s="2274"/>
      <c r="J129" s="2274"/>
      <c r="K129" s="2274"/>
      <c r="L129" s="2274"/>
      <c r="M129" s="2274"/>
      <c r="N129" s="2274"/>
      <c r="O129" s="2274"/>
      <c r="P129" s="2274"/>
      <c r="Q129" s="2274"/>
    </row>
    <row r="130" spans="2:17" s="750" customFormat="1">
      <c r="B130" s="2274"/>
      <c r="C130" s="2274"/>
      <c r="D130" s="2274"/>
      <c r="E130" s="2274"/>
      <c r="F130" s="2274"/>
      <c r="G130" s="2274"/>
      <c r="H130" s="2274"/>
      <c r="I130" s="2274"/>
      <c r="J130" s="2274"/>
      <c r="K130" s="2274"/>
      <c r="L130" s="2274"/>
      <c r="M130" s="2274"/>
      <c r="N130" s="2274"/>
      <c r="O130" s="2274"/>
      <c r="P130" s="2274"/>
      <c r="Q130" s="2274"/>
    </row>
    <row r="131" spans="2:17" s="750" customFormat="1">
      <c r="B131" s="2274"/>
      <c r="C131" s="2274"/>
      <c r="D131" s="2274"/>
      <c r="E131" s="2274"/>
      <c r="F131" s="2274"/>
      <c r="G131" s="2274"/>
      <c r="H131" s="2274"/>
      <c r="I131" s="2274"/>
      <c r="J131" s="2274"/>
      <c r="K131" s="2274"/>
      <c r="L131" s="2274"/>
      <c r="M131" s="2274"/>
      <c r="N131" s="2274"/>
      <c r="O131" s="2274"/>
      <c r="P131" s="2274"/>
      <c r="Q131" s="2274"/>
    </row>
    <row r="132" spans="2:17" s="750" customFormat="1">
      <c r="B132" s="2274"/>
      <c r="C132" s="2274"/>
      <c r="D132" s="2274"/>
      <c r="E132" s="2274"/>
      <c r="F132" s="2274"/>
      <c r="G132" s="2274"/>
      <c r="H132" s="2274"/>
      <c r="I132" s="2274"/>
      <c r="J132" s="2274"/>
      <c r="K132" s="2274"/>
      <c r="L132" s="2274"/>
      <c r="M132" s="2274"/>
      <c r="N132" s="2274"/>
      <c r="O132" s="2274"/>
      <c r="P132" s="2274"/>
      <c r="Q132" s="2274"/>
    </row>
    <row r="133" spans="2:17" s="750" customFormat="1">
      <c r="B133" s="2274"/>
      <c r="C133" s="2274"/>
      <c r="D133" s="2274"/>
      <c r="E133" s="2274"/>
      <c r="F133" s="2274"/>
      <c r="G133" s="2274"/>
      <c r="H133" s="2274"/>
      <c r="I133" s="2274"/>
      <c r="J133" s="2274"/>
      <c r="K133" s="2274"/>
      <c r="L133" s="2274"/>
      <c r="M133" s="2274"/>
      <c r="N133" s="2274"/>
      <c r="O133" s="2274"/>
      <c r="P133" s="2274"/>
      <c r="Q133" s="2274"/>
    </row>
    <row r="134" spans="2:17" s="750" customFormat="1">
      <c r="B134" s="2274"/>
      <c r="C134" s="2274"/>
      <c r="D134" s="2274"/>
      <c r="E134" s="2274"/>
      <c r="F134" s="2274"/>
      <c r="G134" s="2274"/>
      <c r="H134" s="2274"/>
      <c r="I134" s="2274"/>
      <c r="J134" s="2274"/>
      <c r="K134" s="2274"/>
      <c r="L134" s="2274"/>
      <c r="M134" s="2274"/>
      <c r="N134" s="2274"/>
      <c r="O134" s="2274"/>
      <c r="P134" s="2274"/>
      <c r="Q134" s="2274"/>
    </row>
    <row r="135" spans="2:17" s="750" customFormat="1">
      <c r="B135" s="2274"/>
      <c r="C135" s="2274"/>
      <c r="D135" s="2274"/>
      <c r="E135" s="2274"/>
      <c r="F135" s="2274"/>
      <c r="G135" s="2274"/>
      <c r="H135" s="2274"/>
      <c r="I135" s="2274"/>
      <c r="J135" s="2274"/>
      <c r="K135" s="2274"/>
      <c r="L135" s="2274"/>
      <c r="M135" s="2274"/>
      <c r="N135" s="2274"/>
      <c r="O135" s="2274"/>
      <c r="P135" s="2274"/>
      <c r="Q135" s="2274"/>
    </row>
    <row r="136" spans="2:17" s="750" customFormat="1">
      <c r="B136" s="2274"/>
      <c r="C136" s="2274"/>
      <c r="D136" s="2274"/>
      <c r="E136" s="2274"/>
      <c r="F136" s="2274"/>
      <c r="G136" s="2274"/>
      <c r="H136" s="2274"/>
      <c r="I136" s="2274"/>
      <c r="J136" s="2274"/>
      <c r="K136" s="2274"/>
      <c r="L136" s="2274"/>
      <c r="M136" s="2274"/>
      <c r="N136" s="2274"/>
      <c r="O136" s="2274"/>
      <c r="P136" s="2274"/>
      <c r="Q136" s="2274"/>
    </row>
    <row r="137" spans="2:17" s="750" customFormat="1">
      <c r="B137" s="2274"/>
      <c r="C137" s="2274"/>
      <c r="D137" s="2274"/>
      <c r="E137" s="2274"/>
      <c r="F137" s="2274"/>
      <c r="G137" s="2274"/>
      <c r="H137" s="2274"/>
      <c r="I137" s="2274"/>
      <c r="J137" s="2274"/>
      <c r="K137" s="2274"/>
      <c r="L137" s="2274"/>
      <c r="M137" s="2274"/>
      <c r="N137" s="2274"/>
      <c r="O137" s="2274"/>
      <c r="P137" s="2274"/>
      <c r="Q137" s="2274"/>
    </row>
    <row r="138" spans="2:17" s="750" customFormat="1">
      <c r="B138" s="2274"/>
      <c r="C138" s="2274"/>
      <c r="D138" s="2274"/>
      <c r="E138" s="2274"/>
      <c r="F138" s="2274"/>
      <c r="G138" s="2274"/>
      <c r="H138" s="2274"/>
      <c r="I138" s="2274"/>
      <c r="J138" s="2274"/>
      <c r="K138" s="2274"/>
      <c r="L138" s="2274"/>
      <c r="M138" s="2274"/>
      <c r="N138" s="2274"/>
      <c r="O138" s="2274"/>
      <c r="P138" s="2274"/>
      <c r="Q138" s="2274"/>
    </row>
    <row r="139" spans="2:17" s="750" customFormat="1">
      <c r="B139" s="2274"/>
      <c r="C139" s="2274"/>
      <c r="D139" s="2274"/>
      <c r="E139" s="2274"/>
      <c r="F139" s="2274"/>
      <c r="G139" s="2274"/>
      <c r="H139" s="2274"/>
      <c r="I139" s="2274"/>
      <c r="J139" s="2274"/>
      <c r="K139" s="2274"/>
      <c r="L139" s="2274"/>
      <c r="M139" s="2274"/>
      <c r="N139" s="2274"/>
      <c r="O139" s="2274"/>
      <c r="P139" s="2274"/>
      <c r="Q139" s="2274"/>
    </row>
    <row r="140" spans="2:17" s="750" customFormat="1">
      <c r="B140" s="2274"/>
      <c r="C140" s="2274"/>
      <c r="D140" s="2274"/>
      <c r="E140" s="2274"/>
      <c r="F140" s="2274"/>
      <c r="G140" s="2274"/>
      <c r="H140" s="2274"/>
      <c r="I140" s="2274"/>
      <c r="J140" s="2274"/>
      <c r="K140" s="2274"/>
      <c r="L140" s="2274"/>
      <c r="M140" s="2274"/>
      <c r="N140" s="2274"/>
      <c r="O140" s="2274"/>
      <c r="P140" s="2274"/>
      <c r="Q140" s="2274"/>
    </row>
    <row r="141" spans="2:17" s="750" customFormat="1">
      <c r="B141" s="2274"/>
      <c r="C141" s="2274"/>
      <c r="D141" s="2274"/>
      <c r="E141" s="2274"/>
      <c r="F141" s="2274"/>
      <c r="G141" s="2274"/>
      <c r="H141" s="2274"/>
      <c r="I141" s="2274"/>
      <c r="J141" s="2274"/>
      <c r="K141" s="2274"/>
      <c r="L141" s="2274"/>
      <c r="M141" s="2274"/>
      <c r="N141" s="2274"/>
      <c r="O141" s="2274"/>
      <c r="P141" s="2274"/>
      <c r="Q141" s="2274"/>
    </row>
    <row r="142" spans="2:17" s="750" customFormat="1">
      <c r="B142" s="2274"/>
      <c r="C142" s="2274"/>
      <c r="D142" s="2274"/>
      <c r="E142" s="2274"/>
      <c r="F142" s="2274"/>
      <c r="G142" s="2274"/>
      <c r="H142" s="2274"/>
      <c r="I142" s="2274"/>
      <c r="J142" s="2274"/>
      <c r="K142" s="2274"/>
      <c r="L142" s="2274"/>
      <c r="M142" s="2274"/>
      <c r="N142" s="2274"/>
      <c r="O142" s="2274"/>
      <c r="P142" s="2274"/>
      <c r="Q142" s="2274"/>
    </row>
    <row r="143" spans="2:17" s="750" customFormat="1">
      <c r="B143" s="2274"/>
      <c r="C143" s="2274"/>
      <c r="D143" s="2274"/>
      <c r="E143" s="2274"/>
      <c r="F143" s="2274"/>
      <c r="G143" s="2274"/>
      <c r="H143" s="2274"/>
      <c r="I143" s="2274"/>
      <c r="J143" s="2274"/>
      <c r="K143" s="2274"/>
      <c r="L143" s="2274"/>
      <c r="M143" s="2274"/>
      <c r="N143" s="2274"/>
      <c r="O143" s="2274"/>
      <c r="P143" s="2274"/>
      <c r="Q143" s="2274"/>
    </row>
    <row r="144" spans="2:17" s="750" customFormat="1">
      <c r="B144" s="2274"/>
      <c r="C144" s="2274"/>
      <c r="D144" s="2274"/>
      <c r="E144" s="2274"/>
      <c r="F144" s="2274"/>
      <c r="G144" s="2274"/>
      <c r="H144" s="2274"/>
      <c r="I144" s="2274"/>
      <c r="J144" s="2274"/>
      <c r="K144" s="2274"/>
      <c r="L144" s="2274"/>
      <c r="M144" s="2274"/>
      <c r="N144" s="2274"/>
      <c r="O144" s="2274"/>
      <c r="P144" s="2274"/>
      <c r="Q144" s="2274"/>
    </row>
    <row r="145" spans="2:17" s="750" customFormat="1">
      <c r="B145" s="2274"/>
      <c r="C145" s="2274"/>
      <c r="D145" s="2274"/>
      <c r="E145" s="2274"/>
      <c r="F145" s="2274"/>
      <c r="G145" s="2274"/>
      <c r="H145" s="2274"/>
      <c r="I145" s="2274"/>
      <c r="J145" s="2274"/>
      <c r="K145" s="2274"/>
      <c r="L145" s="2274"/>
      <c r="M145" s="2274"/>
      <c r="N145" s="2274"/>
      <c r="O145" s="2274"/>
      <c r="P145" s="2274"/>
      <c r="Q145" s="2274"/>
    </row>
    <row r="146" spans="2:17" s="750" customFormat="1">
      <c r="B146" s="2274"/>
      <c r="C146" s="2274"/>
      <c r="D146" s="2274"/>
      <c r="E146" s="2274"/>
      <c r="F146" s="2274"/>
      <c r="G146" s="2274"/>
      <c r="H146" s="2274"/>
      <c r="I146" s="2274"/>
      <c r="J146" s="2274"/>
      <c r="K146" s="2274"/>
      <c r="L146" s="2274"/>
      <c r="M146" s="2274"/>
      <c r="N146" s="2274"/>
      <c r="O146" s="2274"/>
      <c r="P146" s="2274"/>
      <c r="Q146" s="2274"/>
    </row>
    <row r="147" spans="2:17" s="750" customFormat="1">
      <c r="B147" s="2274"/>
      <c r="C147" s="2274"/>
      <c r="D147" s="2274"/>
      <c r="E147" s="2274"/>
      <c r="F147" s="2274"/>
      <c r="G147" s="2274"/>
      <c r="H147" s="2274"/>
      <c r="I147" s="2274"/>
      <c r="J147" s="2274"/>
      <c r="K147" s="2274"/>
      <c r="L147" s="2274"/>
      <c r="M147" s="2274"/>
      <c r="N147" s="2274"/>
      <c r="O147" s="2274"/>
      <c r="P147" s="2274"/>
      <c r="Q147" s="2274"/>
    </row>
    <row r="148" spans="2:17" s="750" customFormat="1">
      <c r="B148" s="2274"/>
      <c r="C148" s="2274"/>
      <c r="D148" s="2274"/>
      <c r="E148" s="2274"/>
      <c r="F148" s="2274"/>
      <c r="G148" s="2274"/>
      <c r="H148" s="2274"/>
      <c r="I148" s="2274"/>
      <c r="J148" s="2274"/>
      <c r="K148" s="2274"/>
      <c r="L148" s="2274"/>
      <c r="M148" s="2274"/>
      <c r="N148" s="2274"/>
      <c r="O148" s="2274"/>
      <c r="P148" s="2274"/>
      <c r="Q148" s="2274"/>
    </row>
    <row r="149" spans="2:17" s="750" customFormat="1">
      <c r="B149" s="2274"/>
      <c r="C149" s="2274"/>
      <c r="D149" s="2274"/>
      <c r="E149" s="2274"/>
      <c r="F149" s="2274"/>
      <c r="G149" s="2274"/>
      <c r="H149" s="2274"/>
      <c r="I149" s="2274"/>
      <c r="J149" s="2274"/>
      <c r="K149" s="2274"/>
      <c r="L149" s="2274"/>
      <c r="M149" s="2274"/>
      <c r="N149" s="2274"/>
      <c r="O149" s="2274"/>
      <c r="P149" s="2274"/>
      <c r="Q149" s="2274"/>
    </row>
    <row r="150" spans="2:17" s="750" customFormat="1">
      <c r="B150" s="2274"/>
      <c r="C150" s="2274"/>
      <c r="D150" s="2274"/>
      <c r="E150" s="2274"/>
      <c r="F150" s="2274"/>
      <c r="G150" s="2274"/>
      <c r="H150" s="2274"/>
      <c r="I150" s="2274"/>
      <c r="J150" s="2274"/>
      <c r="K150" s="2274"/>
      <c r="L150" s="2274"/>
      <c r="M150" s="2274"/>
      <c r="N150" s="2274"/>
      <c r="O150" s="2274"/>
      <c r="P150" s="2274"/>
      <c r="Q150" s="2274"/>
    </row>
    <row r="151" spans="2:17" s="750" customFormat="1">
      <c r="B151" s="2274"/>
      <c r="C151" s="2274"/>
      <c r="D151" s="2274"/>
      <c r="E151" s="2274"/>
      <c r="F151" s="2274"/>
      <c r="G151" s="2274"/>
      <c r="H151" s="2274"/>
      <c r="I151" s="2274"/>
      <c r="J151" s="2274"/>
      <c r="K151" s="2274"/>
      <c r="L151" s="2274"/>
      <c r="M151" s="2274"/>
      <c r="N151" s="2274"/>
      <c r="O151" s="2274"/>
      <c r="P151" s="2274"/>
      <c r="Q151" s="2274"/>
    </row>
    <row r="152" spans="2:17" s="750" customFormat="1">
      <c r="B152" s="2274"/>
      <c r="C152" s="2274"/>
      <c r="D152" s="2274"/>
      <c r="E152" s="2274"/>
      <c r="F152" s="2274"/>
      <c r="G152" s="2274"/>
      <c r="H152" s="2274"/>
      <c r="I152" s="2274"/>
      <c r="J152" s="2274"/>
      <c r="K152" s="2274"/>
      <c r="L152" s="2274"/>
      <c r="M152" s="2274"/>
      <c r="N152" s="2274"/>
      <c r="O152" s="2274"/>
      <c r="P152" s="2274"/>
      <c r="Q152" s="2274"/>
    </row>
    <row r="153" spans="2:17" s="750" customFormat="1">
      <c r="B153" s="2274"/>
      <c r="C153" s="2274"/>
      <c r="D153" s="2274"/>
      <c r="E153" s="2274"/>
      <c r="F153" s="2274"/>
      <c r="G153" s="2274"/>
      <c r="H153" s="2274"/>
      <c r="I153" s="2274"/>
      <c r="J153" s="2274"/>
      <c r="K153" s="2274"/>
      <c r="L153" s="2274"/>
      <c r="M153" s="2274"/>
      <c r="N153" s="2274"/>
      <c r="O153" s="2274"/>
      <c r="P153" s="2274"/>
      <c r="Q153" s="2274"/>
    </row>
    <row r="154" spans="2:17" s="750" customFormat="1">
      <c r="B154" s="2274"/>
      <c r="C154" s="2274"/>
      <c r="D154" s="2274"/>
      <c r="E154" s="2274"/>
      <c r="F154" s="2274"/>
      <c r="G154" s="2274"/>
      <c r="H154" s="2274"/>
      <c r="I154" s="2274"/>
      <c r="J154" s="2274"/>
      <c r="K154" s="2274"/>
      <c r="L154" s="2274"/>
      <c r="M154" s="2274"/>
      <c r="N154" s="2274"/>
      <c r="O154" s="2274"/>
      <c r="P154" s="2274"/>
      <c r="Q154" s="2274"/>
    </row>
    <row r="155" spans="2:17" s="750" customFormat="1">
      <c r="B155" s="2274"/>
      <c r="C155" s="2274"/>
      <c r="D155" s="2274"/>
      <c r="E155" s="2274"/>
      <c r="F155" s="2274"/>
      <c r="G155" s="2274"/>
      <c r="H155" s="2274"/>
      <c r="I155" s="2274"/>
      <c r="J155" s="2274"/>
      <c r="K155" s="2274"/>
      <c r="L155" s="2274"/>
      <c r="M155" s="2274"/>
      <c r="N155" s="2274"/>
      <c r="O155" s="2274"/>
      <c r="P155" s="2274"/>
      <c r="Q155" s="2274"/>
    </row>
    <row r="156" spans="2:17" s="750" customFormat="1">
      <c r="B156" s="2274"/>
      <c r="C156" s="2274"/>
      <c r="D156" s="2274"/>
      <c r="E156" s="2274"/>
      <c r="F156" s="2274"/>
      <c r="G156" s="2274"/>
      <c r="H156" s="2274"/>
      <c r="I156" s="2274"/>
      <c r="J156" s="2274"/>
      <c r="K156" s="2274"/>
      <c r="L156" s="2274"/>
      <c r="M156" s="2274"/>
      <c r="N156" s="2274"/>
      <c r="O156" s="2274"/>
      <c r="P156" s="2274"/>
      <c r="Q156" s="2274"/>
    </row>
    <row r="157" spans="2:17" s="750" customFormat="1">
      <c r="B157" s="2274"/>
      <c r="C157" s="2274"/>
      <c r="D157" s="2274"/>
      <c r="E157" s="2274"/>
      <c r="F157" s="2274"/>
      <c r="G157" s="2274"/>
      <c r="H157" s="2274"/>
      <c r="I157" s="2274"/>
      <c r="J157" s="2274"/>
      <c r="K157" s="2274"/>
      <c r="L157" s="2274"/>
      <c r="M157" s="2274"/>
      <c r="N157" s="2274"/>
      <c r="O157" s="2274"/>
      <c r="P157" s="2274"/>
      <c r="Q157" s="2274"/>
    </row>
    <row r="158" spans="2:17" s="750" customFormat="1">
      <c r="B158" s="2274"/>
      <c r="C158" s="2274"/>
      <c r="D158" s="2274"/>
      <c r="E158" s="2274"/>
      <c r="F158" s="2274"/>
      <c r="G158" s="2274"/>
      <c r="H158" s="2274"/>
      <c r="I158" s="2274"/>
      <c r="J158" s="2274"/>
      <c r="K158" s="2274"/>
      <c r="L158" s="2274"/>
      <c r="M158" s="2274"/>
      <c r="N158" s="2274"/>
      <c r="O158" s="2274"/>
      <c r="P158" s="2274"/>
      <c r="Q158" s="2274"/>
    </row>
    <row r="159" spans="2:17" s="750" customFormat="1">
      <c r="B159" s="2274"/>
      <c r="C159" s="2274"/>
      <c r="D159" s="2274"/>
      <c r="E159" s="2274"/>
      <c r="F159" s="2274"/>
      <c r="G159" s="2274"/>
      <c r="H159" s="2274"/>
      <c r="I159" s="2274"/>
      <c r="J159" s="2274"/>
      <c r="K159" s="2274"/>
      <c r="L159" s="2274"/>
      <c r="M159" s="2274"/>
      <c r="N159" s="2274"/>
      <c r="O159" s="2274"/>
      <c r="P159" s="2274"/>
      <c r="Q159" s="2274"/>
    </row>
    <row r="160" spans="2:17" s="750" customFormat="1">
      <c r="B160" s="2274"/>
      <c r="C160" s="2274"/>
      <c r="D160" s="2274"/>
      <c r="E160" s="2274"/>
      <c r="F160" s="2274"/>
      <c r="G160" s="2274"/>
      <c r="H160" s="2274"/>
      <c r="I160" s="2274"/>
      <c r="J160" s="2274"/>
      <c r="K160" s="2274"/>
      <c r="L160" s="2274"/>
      <c r="M160" s="2274"/>
      <c r="N160" s="2274"/>
      <c r="O160" s="2274"/>
      <c r="P160" s="2274"/>
      <c r="Q160" s="2274"/>
    </row>
    <row r="161" spans="2:17" s="750" customFormat="1">
      <c r="B161" s="2274"/>
      <c r="C161" s="2274"/>
      <c r="D161" s="2274"/>
      <c r="E161" s="2274"/>
      <c r="F161" s="2274"/>
      <c r="G161" s="2274"/>
      <c r="H161" s="2274"/>
      <c r="I161" s="2274"/>
      <c r="J161" s="2274"/>
      <c r="K161" s="2274"/>
      <c r="L161" s="2274"/>
      <c r="M161" s="2274"/>
      <c r="N161" s="2274"/>
      <c r="O161" s="2274"/>
      <c r="P161" s="2274"/>
      <c r="Q161" s="2274"/>
    </row>
    <row r="162" spans="2:17" s="750" customFormat="1">
      <c r="B162" s="2274"/>
      <c r="C162" s="2274"/>
      <c r="D162" s="2274"/>
      <c r="E162" s="2274"/>
      <c r="F162" s="2274"/>
      <c r="G162" s="2274"/>
      <c r="H162" s="2274"/>
      <c r="I162" s="2274"/>
      <c r="J162" s="2274"/>
      <c r="K162" s="2274"/>
      <c r="L162" s="2274"/>
      <c r="M162" s="2274"/>
      <c r="N162" s="2274"/>
      <c r="O162" s="2274"/>
      <c r="P162" s="2274"/>
      <c r="Q162" s="2274"/>
    </row>
    <row r="163" spans="2:17" s="750" customFormat="1">
      <c r="B163" s="2274"/>
      <c r="C163" s="2274"/>
      <c r="D163" s="2274"/>
      <c r="E163" s="2274"/>
      <c r="F163" s="2274"/>
      <c r="G163" s="2274"/>
      <c r="H163" s="2274"/>
      <c r="I163" s="2274"/>
      <c r="J163" s="2274"/>
      <c r="K163" s="2274"/>
      <c r="L163" s="2274"/>
      <c r="M163" s="2274"/>
      <c r="N163" s="2274"/>
      <c r="O163" s="2274"/>
      <c r="P163" s="2274"/>
      <c r="Q163" s="2274"/>
    </row>
    <row r="164" spans="2:17" s="750" customFormat="1">
      <c r="B164" s="2274"/>
      <c r="C164" s="2274"/>
      <c r="D164" s="2274"/>
      <c r="E164" s="2274"/>
      <c r="F164" s="2274"/>
      <c r="G164" s="2274"/>
      <c r="H164" s="2274"/>
      <c r="I164" s="2274"/>
      <c r="J164" s="2274"/>
      <c r="K164" s="2274"/>
      <c r="L164" s="2274"/>
      <c r="M164" s="2274"/>
      <c r="N164" s="2274"/>
      <c r="O164" s="2274"/>
      <c r="P164" s="2274"/>
      <c r="Q164" s="2274"/>
    </row>
    <row r="165" spans="2:17" s="750" customFormat="1">
      <c r="B165" s="2274"/>
      <c r="C165" s="2274"/>
      <c r="D165" s="2274"/>
      <c r="E165" s="2274"/>
      <c r="F165" s="2274"/>
      <c r="G165" s="2274"/>
      <c r="H165" s="2274"/>
      <c r="I165" s="2274"/>
      <c r="J165" s="2274"/>
      <c r="K165" s="2274"/>
      <c r="L165" s="2274"/>
      <c r="M165" s="2274"/>
      <c r="N165" s="2274"/>
      <c r="O165" s="2274"/>
      <c r="P165" s="2274"/>
      <c r="Q165" s="2274"/>
    </row>
    <row r="166" spans="2:17" s="750" customFormat="1">
      <c r="B166" s="2274"/>
      <c r="C166" s="2274"/>
      <c r="D166" s="2274"/>
      <c r="E166" s="2274"/>
      <c r="F166" s="2274"/>
      <c r="G166" s="2274"/>
      <c r="H166" s="2274"/>
      <c r="I166" s="2274"/>
      <c r="J166" s="2274"/>
      <c r="K166" s="2274"/>
      <c r="L166" s="2274"/>
      <c r="M166" s="2274"/>
      <c r="N166" s="2274"/>
      <c r="O166" s="2274"/>
      <c r="P166" s="2274"/>
      <c r="Q166" s="2274"/>
    </row>
    <row r="167" spans="2:17" s="750" customFormat="1">
      <c r="B167" s="2274"/>
      <c r="C167" s="2274"/>
      <c r="D167" s="2274"/>
      <c r="E167" s="2274"/>
      <c r="F167" s="2274"/>
      <c r="G167" s="2274"/>
      <c r="H167" s="2274"/>
      <c r="I167" s="2274"/>
      <c r="J167" s="2274"/>
      <c r="K167" s="2274"/>
      <c r="L167" s="2274"/>
      <c r="M167" s="2274"/>
      <c r="N167" s="2274"/>
      <c r="O167" s="2274"/>
      <c r="P167" s="2274"/>
      <c r="Q167" s="2274"/>
    </row>
    <row r="168" spans="2:17" s="750" customFormat="1">
      <c r="B168" s="2274"/>
      <c r="C168" s="2274"/>
      <c r="D168" s="2274"/>
      <c r="E168" s="2274"/>
      <c r="F168" s="2274"/>
      <c r="G168" s="2274"/>
      <c r="H168" s="2274"/>
      <c r="I168" s="2274"/>
      <c r="J168" s="2274"/>
      <c r="K168" s="2274"/>
      <c r="L168" s="2274"/>
      <c r="M168" s="2274"/>
      <c r="N168" s="2274"/>
      <c r="O168" s="2274"/>
      <c r="P168" s="2274"/>
      <c r="Q168" s="2274"/>
    </row>
    <row r="169" spans="2:17" s="750" customFormat="1">
      <c r="B169" s="2274"/>
      <c r="C169" s="2274"/>
      <c r="D169" s="2274"/>
      <c r="E169" s="2274"/>
      <c r="F169" s="2274"/>
      <c r="G169" s="2274"/>
      <c r="H169" s="2274"/>
      <c r="I169" s="2274"/>
      <c r="J169" s="2274"/>
      <c r="K169" s="2274"/>
      <c r="L169" s="2274"/>
      <c r="M169" s="2274"/>
      <c r="N169" s="2274"/>
      <c r="O169" s="2274"/>
      <c r="P169" s="2274"/>
      <c r="Q169" s="2274"/>
    </row>
    <row r="170" spans="2:17" s="750" customFormat="1">
      <c r="B170" s="2274"/>
      <c r="C170" s="2274"/>
      <c r="D170" s="2274"/>
      <c r="E170" s="2274"/>
      <c r="F170" s="2274"/>
      <c r="G170" s="2274"/>
      <c r="H170" s="2274"/>
      <c r="I170" s="2274"/>
      <c r="J170" s="2274"/>
      <c r="K170" s="2274"/>
      <c r="L170" s="2274"/>
      <c r="M170" s="2274"/>
      <c r="N170" s="2274"/>
      <c r="O170" s="2274"/>
      <c r="P170" s="2274"/>
      <c r="Q170" s="2274"/>
    </row>
    <row r="171" spans="2:17" s="750" customFormat="1">
      <c r="B171" s="2274"/>
      <c r="C171" s="2274"/>
      <c r="D171" s="2274"/>
      <c r="E171" s="2274"/>
      <c r="F171" s="2274"/>
      <c r="G171" s="2274"/>
      <c r="H171" s="2274"/>
      <c r="I171" s="2274"/>
      <c r="J171" s="2274"/>
      <c r="K171" s="2274"/>
      <c r="L171" s="2274"/>
      <c r="M171" s="2274"/>
      <c r="N171" s="2274"/>
      <c r="O171" s="2274"/>
      <c r="P171" s="2274"/>
      <c r="Q171" s="2274"/>
    </row>
    <row r="172" spans="2:17" s="750" customFormat="1">
      <c r="B172" s="2274"/>
      <c r="C172" s="2274"/>
      <c r="D172" s="2274"/>
      <c r="E172" s="2274"/>
      <c r="F172" s="2274"/>
      <c r="G172" s="2274"/>
      <c r="H172" s="2274"/>
      <c r="I172" s="2274"/>
      <c r="J172" s="2274"/>
      <c r="K172" s="2274"/>
      <c r="L172" s="2274"/>
      <c r="M172" s="2274"/>
      <c r="N172" s="2274"/>
      <c r="O172" s="2274"/>
      <c r="P172" s="2274"/>
      <c r="Q172" s="2274"/>
    </row>
    <row r="173" spans="2:17" s="750" customFormat="1">
      <c r="B173" s="2274"/>
      <c r="C173" s="2274"/>
      <c r="D173" s="2274"/>
      <c r="E173" s="2274"/>
      <c r="F173" s="2274"/>
      <c r="G173" s="2274"/>
      <c r="H173" s="2274"/>
      <c r="I173" s="2274"/>
      <c r="J173" s="2274"/>
      <c r="K173" s="2274"/>
      <c r="L173" s="2274"/>
      <c r="M173" s="2274"/>
      <c r="N173" s="2274"/>
      <c r="O173" s="2274"/>
      <c r="P173" s="2274"/>
      <c r="Q173" s="2274"/>
    </row>
    <row r="174" spans="2:17" s="750" customFormat="1">
      <c r="B174" s="2274"/>
      <c r="C174" s="2274"/>
      <c r="D174" s="2274"/>
      <c r="E174" s="2274"/>
      <c r="F174" s="2274"/>
      <c r="G174" s="2274"/>
      <c r="H174" s="2274"/>
      <c r="I174" s="2274"/>
      <c r="J174" s="2274"/>
      <c r="K174" s="2274"/>
      <c r="L174" s="2274"/>
      <c r="M174" s="2274"/>
      <c r="N174" s="2274"/>
      <c r="O174" s="2274"/>
      <c r="P174" s="2274"/>
      <c r="Q174" s="2274"/>
    </row>
    <row r="175" spans="2:17" s="750" customFormat="1">
      <c r="B175" s="2274"/>
      <c r="C175" s="2274"/>
      <c r="D175" s="2274"/>
      <c r="E175" s="2274"/>
      <c r="F175" s="2274"/>
      <c r="G175" s="2274"/>
      <c r="H175" s="2274"/>
      <c r="I175" s="2274"/>
      <c r="J175" s="2274"/>
      <c r="K175" s="2274"/>
      <c r="L175" s="2274"/>
      <c r="M175" s="2274"/>
      <c r="N175" s="2274"/>
      <c r="O175" s="2274"/>
      <c r="P175" s="2274"/>
      <c r="Q175" s="2274"/>
    </row>
    <row r="176" spans="2:17" s="750" customFormat="1">
      <c r="B176" s="2274"/>
      <c r="C176" s="2274"/>
      <c r="D176" s="2274"/>
      <c r="E176" s="2274"/>
      <c r="F176" s="2274"/>
      <c r="G176" s="2274"/>
      <c r="H176" s="2274"/>
      <c r="I176" s="2274"/>
      <c r="J176" s="2274"/>
      <c r="K176" s="2274"/>
      <c r="L176" s="2274"/>
      <c r="M176" s="2274"/>
      <c r="N176" s="2274"/>
      <c r="O176" s="2274"/>
      <c r="P176" s="2274"/>
      <c r="Q176" s="2274"/>
    </row>
    <row r="177" spans="1:17" s="750" customFormat="1">
      <c r="B177" s="2274"/>
      <c r="C177" s="2274"/>
      <c r="D177" s="2274"/>
      <c r="E177" s="2274"/>
      <c r="F177" s="2274"/>
      <c r="G177" s="2274"/>
      <c r="H177" s="2274"/>
      <c r="I177" s="2274"/>
      <c r="J177" s="2274"/>
      <c r="K177" s="2274"/>
      <c r="L177" s="2274"/>
      <c r="M177" s="2274"/>
      <c r="N177" s="2274"/>
      <c r="O177" s="2274"/>
      <c r="P177" s="2274"/>
      <c r="Q177" s="2274"/>
    </row>
    <row r="178" spans="1:17" s="750" customFormat="1">
      <c r="B178" s="2274"/>
      <c r="C178" s="2274"/>
      <c r="D178" s="2274"/>
      <c r="E178" s="2274"/>
      <c r="F178" s="2274"/>
      <c r="G178" s="2274"/>
      <c r="H178" s="2274"/>
      <c r="I178" s="2274"/>
      <c r="J178" s="2274"/>
      <c r="K178" s="2274"/>
      <c r="L178" s="2274"/>
      <c r="M178" s="2274"/>
      <c r="N178" s="2274"/>
      <c r="O178" s="2274"/>
      <c r="P178" s="2274"/>
      <c r="Q178" s="2274"/>
    </row>
    <row r="179" spans="1:17" s="750" customFormat="1">
      <c r="B179" s="2274"/>
      <c r="C179" s="2274"/>
      <c r="D179" s="2274"/>
      <c r="E179" s="2274"/>
      <c r="F179" s="2274"/>
      <c r="G179" s="2274"/>
      <c r="H179" s="2274"/>
      <c r="I179" s="2274"/>
      <c r="J179" s="2274"/>
      <c r="K179" s="2274"/>
      <c r="L179" s="2274"/>
      <c r="M179" s="2274"/>
      <c r="N179" s="2274"/>
      <c r="O179" s="2274"/>
      <c r="P179" s="2274"/>
      <c r="Q179" s="2274"/>
    </row>
    <row r="180" spans="1:17" s="750" customFormat="1">
      <c r="B180" s="2274"/>
      <c r="C180" s="2274"/>
      <c r="D180" s="2274"/>
      <c r="E180" s="2274"/>
      <c r="F180" s="2274"/>
      <c r="G180" s="2274"/>
      <c r="H180" s="2274"/>
      <c r="I180" s="2274"/>
      <c r="J180" s="2274"/>
      <c r="K180" s="2274"/>
      <c r="L180" s="2274"/>
      <c r="M180" s="2274"/>
      <c r="N180" s="2274"/>
      <c r="O180" s="2274"/>
      <c r="P180" s="2274"/>
      <c r="Q180" s="2274"/>
    </row>
    <row r="181" spans="1:17" s="750" customFormat="1">
      <c r="B181" s="2274"/>
      <c r="C181" s="2274"/>
      <c r="D181" s="2274"/>
      <c r="E181" s="2274"/>
      <c r="F181" s="2274"/>
      <c r="G181" s="2274"/>
      <c r="H181" s="2274"/>
      <c r="I181" s="2274"/>
      <c r="J181" s="2274"/>
      <c r="K181" s="2274"/>
      <c r="L181" s="2274"/>
      <c r="M181" s="2274"/>
      <c r="N181" s="2274"/>
      <c r="O181" s="2274"/>
      <c r="P181" s="2274"/>
      <c r="Q181" s="2274"/>
    </row>
    <row r="182" spans="1:17" s="750" customFormat="1">
      <c r="B182" s="2274"/>
      <c r="C182" s="2274"/>
      <c r="D182" s="2274"/>
      <c r="E182" s="2274"/>
      <c r="F182" s="2274"/>
      <c r="G182" s="2274"/>
      <c r="H182" s="2274"/>
      <c r="I182" s="2274"/>
      <c r="J182" s="2274"/>
      <c r="K182" s="2274"/>
      <c r="L182" s="2274"/>
      <c r="M182" s="2274"/>
      <c r="N182" s="2274"/>
      <c r="O182" s="2274"/>
      <c r="P182" s="2274"/>
      <c r="Q182" s="2274"/>
    </row>
    <row r="183" spans="1:17" s="750" customFormat="1">
      <c r="B183" s="2274"/>
      <c r="C183" s="2274"/>
      <c r="D183" s="2274"/>
      <c r="E183" s="2274"/>
      <c r="F183" s="2274"/>
      <c r="G183" s="2274"/>
      <c r="H183" s="2274"/>
      <c r="I183" s="2274"/>
      <c r="J183" s="2274"/>
      <c r="K183" s="2274"/>
      <c r="L183" s="2274"/>
      <c r="M183" s="2274"/>
      <c r="N183" s="2274"/>
      <c r="O183" s="2274"/>
      <c r="P183" s="2274"/>
      <c r="Q183" s="2274"/>
    </row>
    <row r="184" spans="1:17" s="750" customFormat="1">
      <c r="B184" s="2274"/>
      <c r="C184" s="2274"/>
      <c r="D184" s="2274"/>
      <c r="E184" s="2274"/>
      <c r="F184" s="2274"/>
      <c r="G184" s="2274"/>
      <c r="H184" s="2274"/>
      <c r="I184" s="2274"/>
      <c r="J184" s="2274"/>
      <c r="K184" s="2274"/>
      <c r="L184" s="2274"/>
      <c r="M184" s="2274"/>
      <c r="N184" s="2274"/>
      <c r="O184" s="2274"/>
      <c r="P184" s="2274"/>
      <c r="Q184" s="2274"/>
    </row>
    <row r="185" spans="1:17" s="750" customFormat="1">
      <c r="B185" s="2274"/>
      <c r="C185" s="2274"/>
      <c r="D185" s="2274"/>
      <c r="E185" s="2274"/>
      <c r="F185" s="2274"/>
      <c r="G185" s="2274"/>
      <c r="H185" s="2274"/>
      <c r="I185" s="2274"/>
      <c r="J185" s="2274"/>
      <c r="K185" s="2274"/>
      <c r="L185" s="2274"/>
      <c r="M185" s="2274"/>
      <c r="N185" s="2274"/>
      <c r="O185" s="2274"/>
      <c r="P185" s="2274"/>
      <c r="Q185" s="2274"/>
    </row>
    <row r="186" spans="1:17">
      <c r="A186" s="750"/>
      <c r="B186" s="2274"/>
      <c r="C186" s="2274"/>
      <c r="E186" s="2274"/>
      <c r="F186" s="2274"/>
      <c r="G186" s="2274"/>
    </row>
    <row r="187" spans="1:17">
      <c r="A187" s="750"/>
      <c r="B187" s="2274"/>
      <c r="C187" s="2274"/>
      <c r="E187" s="2274"/>
      <c r="F187" s="2274"/>
      <c r="G187" s="227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300-000000000000}">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1:K26"/>
  <sheetViews>
    <sheetView tabSelected="1" view="pageBreakPreview" zoomScale="80" zoomScaleNormal="80" zoomScaleSheetLayoutView="80" workbookViewId="0">
      <selection activeCell="E6" sqref="E6"/>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6356.88</v>
      </c>
      <c r="C1" s="2458"/>
      <c r="D1" s="2458"/>
      <c r="E1" s="2458"/>
      <c r="F1" s="2458"/>
      <c r="G1" s="2459"/>
      <c r="H1" s="2459"/>
      <c r="I1" s="2459"/>
      <c r="J1" s="2459"/>
      <c r="K1" s="2459"/>
    </row>
    <row r="2" spans="1:11" ht="16.5">
      <c r="A2" s="2297" t="s">
        <v>653</v>
      </c>
      <c r="B2" s="2297">
        <f>SUM(C14:C23)</f>
        <v>0</v>
      </c>
      <c r="C2" s="2458"/>
      <c r="D2" s="2458"/>
      <c r="E2" s="2458"/>
      <c r="F2" s="2458"/>
      <c r="G2" s="2459"/>
      <c r="H2" s="2459"/>
      <c r="I2" s="2459"/>
      <c r="J2" s="2459"/>
      <c r="K2" s="2459"/>
    </row>
    <row r="3" spans="1:11" ht="16.5">
      <c r="A3" s="2297" t="s">
        <v>662</v>
      </c>
      <c r="B3" s="2299">
        <f>项目基本情况!D3</f>
        <v>45022</v>
      </c>
      <c r="C3" s="2458"/>
      <c r="D3" s="2458"/>
      <c r="E3" s="2458"/>
      <c r="F3" s="2458"/>
      <c r="G3" s="2459"/>
      <c r="H3" s="2459"/>
      <c r="I3" s="2459"/>
      <c r="J3" s="2459"/>
      <c r="K3" s="2459"/>
    </row>
    <row r="4" spans="1:11" ht="33">
      <c r="A4" s="2297" t="s">
        <v>661</v>
      </c>
      <c r="B4" s="2297" t="s">
        <v>660</v>
      </c>
      <c r="C4" s="2297" t="s">
        <v>659</v>
      </c>
      <c r="D4" s="2297" t="s">
        <v>658</v>
      </c>
      <c r="E4" s="2458"/>
      <c r="F4" s="2459"/>
      <c r="G4" s="2459"/>
      <c r="H4" s="2459"/>
      <c r="I4" s="2459"/>
      <c r="J4" s="2459"/>
      <c r="K4" s="2459"/>
    </row>
    <row r="5" spans="1:11" ht="16.5">
      <c r="A5" s="2297" t="s">
        <v>657</v>
      </c>
      <c r="B5" s="2297">
        <f ca="1">SUM(D14:D23)</f>
        <v>27659.59</v>
      </c>
      <c r="C5" s="2297">
        <f ca="1">IF(B5=D14,结果表!H102,ROUND(B5*10000/$B$1,0))</f>
        <v>1295</v>
      </c>
      <c r="D5" s="2297" t="e">
        <f ca="1">ROUND(B5*10000/$B$2,0)</f>
        <v>#DIV/0!</v>
      </c>
      <c r="E5" s="2458">
        <f ca="1">B8/'数据-汇总表'!E3*10000</f>
        <v>41809.252337624734</v>
      </c>
      <c r="F5" s="2459"/>
      <c r="G5" s="2459"/>
      <c r="H5" s="2459"/>
      <c r="I5" s="2459"/>
      <c r="J5" s="2459"/>
      <c r="K5" s="2459"/>
    </row>
    <row r="6" spans="1:11" ht="16.5">
      <c r="A6" s="2297" t="s">
        <v>656</v>
      </c>
      <c r="B6" s="2297">
        <f ca="1">SUM(G14:G23)</f>
        <v>27659.59</v>
      </c>
      <c r="C6" s="2297">
        <f ca="1">IF(B6=G14,结果表!H108,ROUND(B6*10000/$B$1,0))</f>
        <v>1295</v>
      </c>
      <c r="D6" s="2297" t="e">
        <f ca="1">ROUND(B6*10000/$B$2,0)</f>
        <v>#DIV/0!</v>
      </c>
      <c r="E6" s="2458"/>
      <c r="F6" s="2459"/>
      <c r="G6" s="2459"/>
      <c r="H6" s="2459"/>
      <c r="I6" s="2459"/>
      <c r="J6" s="2459"/>
      <c r="K6" s="2459"/>
    </row>
    <row r="7" spans="1:11" ht="16.5">
      <c r="A7" s="2297" t="s">
        <v>664</v>
      </c>
      <c r="B7" s="2297">
        <f>SUM(H14:H23)</f>
        <v>0</v>
      </c>
      <c r="C7" s="2297" t="str">
        <f>IF(B7=H14,结果表!H110,ROUND(B7*10000/$B$1,0))</f>
        <v>——</v>
      </c>
      <c r="D7" s="2297" t="e">
        <f>ROUND(B7*10000/$B$2,0)</f>
        <v>#DIV/0!</v>
      </c>
      <c r="E7" s="2458"/>
      <c r="F7" s="2459"/>
      <c r="G7" s="2459"/>
      <c r="H7" s="2459"/>
      <c r="I7" s="2459"/>
      <c r="J7" s="2459"/>
      <c r="K7" s="2459"/>
    </row>
    <row r="8" spans="1:11" ht="16.5">
      <c r="A8" s="2297" t="s">
        <v>587</v>
      </c>
      <c r="B8" s="2297">
        <f ca="1">SUM(I14:I23)</f>
        <v>26577.639999999996</v>
      </c>
      <c r="C8" s="2297">
        <f ca="1">IF(B8=I14,结果表!H112,ROUND(B8*10000/$B$1,0))</f>
        <v>1249</v>
      </c>
      <c r="D8" s="2297" t="e">
        <f ca="1">ROUND(B8*10000/$B$2,0)</f>
        <v>#DIV/0!</v>
      </c>
      <c r="E8" s="2458"/>
      <c r="F8" s="2459"/>
      <c r="G8" s="2459"/>
      <c r="H8" s="2459"/>
      <c r="I8" s="2459"/>
      <c r="J8" s="2459"/>
      <c r="K8" s="2459"/>
    </row>
    <row r="9" spans="1:11" ht="16.5">
      <c r="A9" s="2297" t="s">
        <v>655</v>
      </c>
      <c r="B9" s="1243"/>
      <c r="C9" s="2458"/>
      <c r="D9" s="2458"/>
      <c r="E9" s="2458"/>
      <c r="F9" s="2459"/>
      <c r="G9" s="2459"/>
      <c r="H9" s="2459"/>
      <c r="I9" s="2459"/>
      <c r="J9" s="2459"/>
      <c r="K9" s="2459"/>
    </row>
    <row r="10" spans="1:11" ht="16.5">
      <c r="A10" s="2297" t="s">
        <v>654</v>
      </c>
      <c r="B10" s="2297">
        <f>IF(E10="",0,ROUND(B1*(E10*365/G10)/10000,0))</f>
        <v>0</v>
      </c>
      <c r="C10" s="2297" t="s">
        <v>3346</v>
      </c>
      <c r="D10" s="2297" t="s">
        <v>3347</v>
      </c>
      <c r="E10" s="3133"/>
      <c r="F10" s="3137" t="s">
        <v>3348</v>
      </c>
      <c r="G10" s="3134"/>
      <c r="H10" s="2459"/>
      <c r="I10" s="2459"/>
      <c r="J10" s="2459"/>
      <c r="K10" s="2459"/>
    </row>
    <row r="11" spans="1:11" ht="16.5">
      <c r="A11" s="2297" t="s">
        <v>670</v>
      </c>
      <c r="B11" s="1243"/>
      <c r="C11" s="2458"/>
      <c r="D11" s="2458"/>
      <c r="E11" s="2458"/>
      <c r="F11" s="2459"/>
      <c r="G11" s="2459"/>
      <c r="H11" s="2459"/>
      <c r="I11" s="2459"/>
      <c r="J11" s="2459"/>
      <c r="K11" s="2459"/>
    </row>
    <row r="12" spans="1:11" ht="16.5">
      <c r="A12" s="2458"/>
      <c r="B12" s="2458"/>
      <c r="C12" s="2458"/>
      <c r="D12" s="2458"/>
      <c r="E12" s="2458"/>
      <c r="F12" s="2459"/>
      <c r="G12" s="2459"/>
      <c r="H12" s="2459"/>
      <c r="I12" s="2459"/>
      <c r="J12" s="2459"/>
      <c r="K12" s="2459"/>
    </row>
    <row r="13" spans="1:11" ht="33">
      <c r="A13" s="2300" t="s">
        <v>669</v>
      </c>
      <c r="B13" s="2301" t="s">
        <v>666</v>
      </c>
      <c r="C13" s="2301" t="s">
        <v>668</v>
      </c>
      <c r="D13" s="2301" t="s">
        <v>667</v>
      </c>
      <c r="E13" s="2297" t="s">
        <v>659</v>
      </c>
      <c r="F13" s="2297" t="s">
        <v>658</v>
      </c>
      <c r="G13" s="2301" t="s">
        <v>652</v>
      </c>
      <c r="H13" s="2301" t="s">
        <v>663</v>
      </c>
      <c r="I13" s="2301" t="s">
        <v>651</v>
      </c>
      <c r="J13" s="2459"/>
      <c r="K13" s="2459"/>
    </row>
    <row r="14" spans="1:11" ht="16.5">
      <c r="A14" s="2302" t="s">
        <v>650</v>
      </c>
      <c r="B14" s="2303">
        <f>'数据-汇总表'!E3</f>
        <v>6356.88</v>
      </c>
      <c r="C14" s="2303"/>
      <c r="D14" s="3186">
        <f ca="1">净值计算!H83</f>
        <v>27659.59</v>
      </c>
      <c r="E14" s="2303">
        <f ca="1">ROUND(D14*10000/B14,0)</f>
        <v>43511</v>
      </c>
      <c r="F14" s="2303" t="e">
        <f ca="1">ROUND(D14*10000/C14,0)</f>
        <v>#DIV/0!</v>
      </c>
      <c r="G14" s="3186">
        <f ca="1">D14</f>
        <v>27659.59</v>
      </c>
      <c r="H14" s="2303"/>
      <c r="I14" s="2303">
        <f ca="1">净值计算!U83</f>
        <v>26577.639999999996</v>
      </c>
      <c r="J14" s="2459"/>
      <c r="K14" s="2459"/>
    </row>
    <row r="15" spans="1:11" ht="16.5">
      <c r="A15" s="2302" t="s">
        <v>649</v>
      </c>
      <c r="B15" s="2304"/>
      <c r="C15" s="2304"/>
      <c r="D15" s="2304"/>
      <c r="E15" s="2303" t="e">
        <f t="shared" ref="E15:E23" si="0">ROUND(D15*10000/B15,0)</f>
        <v>#DIV/0!</v>
      </c>
      <c r="F15" s="2303" t="e">
        <f t="shared" ref="F15:F23" si="1">ROUND(D15*10000/C15,0)</f>
        <v>#DIV/0!</v>
      </c>
      <c r="G15" s="1243"/>
      <c r="H15" s="1243"/>
      <c r="I15" s="2304"/>
      <c r="J15" s="2459"/>
      <c r="K15" s="2459"/>
    </row>
    <row r="16" spans="1:11" ht="16.5">
      <c r="A16" s="2302" t="s">
        <v>648</v>
      </c>
      <c r="B16" s="2304"/>
      <c r="C16" s="2304"/>
      <c r="D16" s="2304"/>
      <c r="E16" s="2303" t="e">
        <f t="shared" si="0"/>
        <v>#DIV/0!</v>
      </c>
      <c r="F16" s="2303" t="e">
        <f t="shared" si="1"/>
        <v>#DIV/0!</v>
      </c>
      <c r="G16" s="1243"/>
      <c r="H16" s="1243"/>
      <c r="I16" s="2304"/>
      <c r="J16" s="2459"/>
      <c r="K16" s="2459"/>
    </row>
    <row r="17" spans="1:11" ht="16.5">
      <c r="A17" s="2302" t="s">
        <v>647</v>
      </c>
      <c r="B17" s="2304"/>
      <c r="C17" s="2304"/>
      <c r="D17" s="2304"/>
      <c r="E17" s="2303" t="e">
        <f t="shared" si="0"/>
        <v>#DIV/0!</v>
      </c>
      <c r="F17" s="2303" t="e">
        <f t="shared" si="1"/>
        <v>#DIV/0!</v>
      </c>
      <c r="G17" s="1243"/>
      <c r="H17" s="1243"/>
      <c r="I17" s="2304"/>
      <c r="J17" s="2459"/>
      <c r="K17" s="2459"/>
    </row>
    <row r="18" spans="1:11" ht="16.5">
      <c r="A18" s="2302" t="s">
        <v>646</v>
      </c>
      <c r="B18" s="2304"/>
      <c r="C18" s="2304"/>
      <c r="D18" s="2304"/>
      <c r="E18" s="2303" t="e">
        <f t="shared" si="0"/>
        <v>#DIV/0!</v>
      </c>
      <c r="F18" s="2303" t="e">
        <f t="shared" si="1"/>
        <v>#DIV/0!</v>
      </c>
      <c r="G18" s="2304"/>
      <c r="H18" s="2304"/>
      <c r="I18" s="2304"/>
      <c r="J18" s="2459"/>
      <c r="K18" s="2459"/>
    </row>
    <row r="19" spans="1:11" ht="16.5">
      <c r="A19" s="2302" t="s">
        <v>645</v>
      </c>
      <c r="B19" s="2304"/>
      <c r="C19" s="2304"/>
      <c r="D19" s="2304"/>
      <c r="E19" s="2303" t="e">
        <f t="shared" si="0"/>
        <v>#DIV/0!</v>
      </c>
      <c r="F19" s="2303" t="e">
        <f t="shared" si="1"/>
        <v>#DIV/0!</v>
      </c>
      <c r="G19" s="2304"/>
      <c r="H19" s="2304"/>
      <c r="I19" s="2304"/>
      <c r="J19" s="2459"/>
      <c r="K19" s="2459"/>
    </row>
    <row r="20" spans="1:11" ht="16.5">
      <c r="A20" s="2302" t="s">
        <v>644</v>
      </c>
      <c r="B20" s="2304"/>
      <c r="C20" s="2304"/>
      <c r="D20" s="2304"/>
      <c r="E20" s="2303" t="e">
        <f t="shared" si="0"/>
        <v>#DIV/0!</v>
      </c>
      <c r="F20" s="2303" t="e">
        <f t="shared" si="1"/>
        <v>#DIV/0!</v>
      </c>
      <c r="G20" s="2304"/>
      <c r="H20" s="2304"/>
      <c r="I20" s="2304"/>
      <c r="J20" s="2459"/>
      <c r="K20" s="2459"/>
    </row>
    <row r="21" spans="1:11" ht="16.5">
      <c r="A21" s="2302" t="s">
        <v>643</v>
      </c>
      <c r="B21" s="2304"/>
      <c r="C21" s="2304"/>
      <c r="D21" s="2304"/>
      <c r="E21" s="2303" t="e">
        <f t="shared" si="0"/>
        <v>#DIV/0!</v>
      </c>
      <c r="F21" s="2303" t="e">
        <f t="shared" si="1"/>
        <v>#DIV/0!</v>
      </c>
      <c r="G21" s="2304"/>
      <c r="H21" s="2304"/>
      <c r="I21" s="2304"/>
      <c r="J21" s="2459"/>
      <c r="K21" s="2459"/>
    </row>
    <row r="22" spans="1:11" ht="16.5">
      <c r="A22" s="2302" t="s">
        <v>642</v>
      </c>
      <c r="B22" s="2304"/>
      <c r="C22" s="2304"/>
      <c r="D22" s="2304"/>
      <c r="E22" s="2303" t="e">
        <f t="shared" si="0"/>
        <v>#DIV/0!</v>
      </c>
      <c r="F22" s="2303" t="e">
        <f t="shared" si="1"/>
        <v>#DIV/0!</v>
      </c>
      <c r="G22" s="2304"/>
      <c r="H22" s="2304"/>
      <c r="I22" s="2304"/>
      <c r="J22" s="2459"/>
      <c r="K22" s="2459"/>
    </row>
    <row r="23" spans="1:11" ht="16.5">
      <c r="A23" s="2302" t="s">
        <v>641</v>
      </c>
      <c r="B23" s="2304"/>
      <c r="C23" s="2304"/>
      <c r="D23" s="2304"/>
      <c r="E23" s="1243" t="e">
        <f t="shared" si="0"/>
        <v>#DIV/0!</v>
      </c>
      <c r="F23" s="1243" t="e">
        <f t="shared" si="1"/>
        <v>#DIV/0!</v>
      </c>
      <c r="G23" s="2304"/>
      <c r="H23" s="2304"/>
      <c r="I23" s="2304"/>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tabColor rgb="FFFF0000"/>
  </sheetPr>
  <dimension ref="A1:AJ512"/>
  <sheetViews>
    <sheetView view="pageBreakPreview" zoomScale="80" zoomScaleNormal="100" zoomScaleSheetLayoutView="80" zoomScalePageLayoutView="80" workbookViewId="0">
      <selection activeCell="G20" sqref="G20"/>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c r="D1" s="645"/>
      <c r="E1" s="645"/>
      <c r="F1" s="1620" t="s">
        <v>1263</v>
      </c>
      <c r="G1" s="1452"/>
      <c r="H1" s="1620" t="str">
        <f>IF(G1="现房","——","估价对象范围")</f>
        <v>估价对象范围</v>
      </c>
      <c r="I1" s="1621"/>
    </row>
    <row r="2" spans="1:12" ht="21.75" customHeight="1" thickBot="1">
      <c r="A2" s="3314" t="str">
        <f>项目基本情况!S2</f>
        <v>北京市房地产</v>
      </c>
      <c r="B2" s="3315"/>
      <c r="C2" s="3315"/>
      <c r="D2" s="3315"/>
      <c r="E2" s="3315"/>
      <c r="F2" s="3315"/>
      <c r="G2" s="3315"/>
      <c r="H2" s="3315"/>
      <c r="I2" s="3316"/>
    </row>
    <row r="3" spans="1:12" ht="12.75">
      <c r="A3" s="3318" t="s">
        <v>1264</v>
      </c>
      <c r="B3" s="3319"/>
      <c r="C3" s="3319"/>
      <c r="D3" s="3319"/>
      <c r="E3" s="3319"/>
      <c r="F3" s="3319"/>
      <c r="G3" s="3319"/>
      <c r="H3" s="3319"/>
      <c r="I3" s="3319"/>
    </row>
    <row r="4" spans="1:12" ht="14.25">
      <c r="A4" s="1623" t="s">
        <v>1265</v>
      </c>
      <c r="B4" s="1624" t="s">
        <v>1266</v>
      </c>
      <c r="C4" s="1625" t="s">
        <v>3712</v>
      </c>
      <c r="D4" s="1625" t="s">
        <v>3653</v>
      </c>
      <c r="E4" s="3320" t="s">
        <v>1267</v>
      </c>
      <c r="F4" s="3321"/>
      <c r="G4" s="3321"/>
      <c r="H4" s="3321"/>
      <c r="I4" s="3322"/>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成本法</v>
      </c>
    </row>
    <row r="5" spans="1:12" ht="12.75">
      <c r="A5" s="3294" t="s">
        <v>1268</v>
      </c>
      <c r="B5" s="3281">
        <v>25</v>
      </c>
      <c r="C5" s="3297"/>
      <c r="D5" s="3317"/>
      <c r="E5" s="123" t="s">
        <v>1269</v>
      </c>
      <c r="F5" s="1626"/>
      <c r="G5" s="1626"/>
      <c r="H5" s="1626"/>
      <c r="I5" s="1280"/>
    </row>
    <row r="6" spans="1:12" ht="12.75">
      <c r="A6" s="3294"/>
      <c r="B6" s="3281"/>
      <c r="C6" s="3298"/>
      <c r="D6" s="3317"/>
      <c r="E6" s="123" t="s">
        <v>1270</v>
      </c>
      <c r="F6" s="1626"/>
      <c r="G6" s="1626"/>
      <c r="H6" s="1626"/>
      <c r="I6" s="1280"/>
    </row>
    <row r="7" spans="1:12" ht="12.75">
      <c r="A7" s="3294"/>
      <c r="B7" s="3281"/>
      <c r="C7" s="3299"/>
      <c r="D7" s="3317"/>
      <c r="E7" s="123" t="s">
        <v>1271</v>
      </c>
      <c r="F7" s="1626"/>
      <c r="G7" s="1626"/>
      <c r="H7" s="1626"/>
      <c r="I7" s="1280"/>
    </row>
    <row r="8" spans="1:12" ht="12.75">
      <c r="A8" s="3294" t="s">
        <v>1272</v>
      </c>
      <c r="B8" s="3281">
        <v>15</v>
      </c>
      <c r="C8" s="3297"/>
      <c r="D8" s="3317"/>
      <c r="E8" s="123" t="s">
        <v>1273</v>
      </c>
      <c r="F8" s="1626"/>
      <c r="G8" s="1626"/>
      <c r="H8" s="1626"/>
      <c r="I8" s="1280"/>
    </row>
    <row r="9" spans="1:12" ht="12.75">
      <c r="A9" s="3294"/>
      <c r="B9" s="3281"/>
      <c r="C9" s="3299"/>
      <c r="D9" s="3317"/>
      <c r="E9" s="123" t="s">
        <v>1274</v>
      </c>
      <c r="F9" s="1626"/>
      <c r="G9" s="1626"/>
      <c r="H9" s="1626"/>
      <c r="I9" s="1280"/>
    </row>
    <row r="10" spans="1:12" ht="12.75">
      <c r="A10" s="3294" t="s">
        <v>1275</v>
      </c>
      <c r="B10" s="3281">
        <v>15</v>
      </c>
      <c r="C10" s="3297"/>
      <c r="D10" s="3317"/>
      <c r="E10" s="123" t="s">
        <v>1276</v>
      </c>
      <c r="F10" s="1626"/>
      <c r="G10" s="1626"/>
      <c r="H10" s="1626"/>
      <c r="I10" s="1280"/>
    </row>
    <row r="11" spans="1:12" ht="12.75">
      <c r="A11" s="3294"/>
      <c r="B11" s="3281"/>
      <c r="C11" s="3299"/>
      <c r="D11" s="3317"/>
      <c r="E11" s="123" t="s">
        <v>1277</v>
      </c>
      <c r="F11" s="1626"/>
      <c r="G11" s="1626"/>
      <c r="H11" s="1626"/>
      <c r="I11" s="1280"/>
    </row>
    <row r="12" spans="1:12" ht="12.75">
      <c r="A12" s="3294" t="s">
        <v>1278</v>
      </c>
      <c r="B12" s="3281">
        <v>15</v>
      </c>
      <c r="C12" s="3297"/>
      <c r="D12" s="3317"/>
      <c r="E12" s="123" t="s">
        <v>1279</v>
      </c>
      <c r="F12" s="1626"/>
      <c r="G12" s="1626"/>
      <c r="H12" s="1626"/>
      <c r="I12" s="1280"/>
    </row>
    <row r="13" spans="1:12" ht="12.75">
      <c r="A13" s="3294"/>
      <c r="B13" s="3281"/>
      <c r="C13" s="3299"/>
      <c r="D13" s="3317"/>
      <c r="E13" s="123" t="s">
        <v>1280</v>
      </c>
      <c r="F13" s="1626"/>
      <c r="G13" s="1626"/>
      <c r="H13" s="1626"/>
      <c r="I13" s="1280"/>
    </row>
    <row r="14" spans="1:12" ht="12.75">
      <c r="A14" s="3294" t="s">
        <v>1281</v>
      </c>
      <c r="B14" s="3281">
        <v>30</v>
      </c>
      <c r="C14" s="3297">
        <v>5</v>
      </c>
      <c r="D14" s="3317">
        <f>10-C14</f>
        <v>5</v>
      </c>
      <c r="E14" s="123" t="s">
        <v>1282</v>
      </c>
      <c r="F14" s="1626"/>
      <c r="G14" s="1626"/>
      <c r="H14" s="1626"/>
      <c r="I14" s="1280"/>
    </row>
    <row r="15" spans="1:12" ht="12.75">
      <c r="A15" s="3294"/>
      <c r="B15" s="3281"/>
      <c r="C15" s="3298"/>
      <c r="D15" s="3317"/>
      <c r="E15" s="123" t="s">
        <v>1283</v>
      </c>
      <c r="F15" s="1626"/>
      <c r="G15" s="1626"/>
      <c r="H15" s="1626"/>
      <c r="I15" s="1280"/>
    </row>
    <row r="16" spans="1:12" ht="12.75">
      <c r="A16" s="3294"/>
      <c r="B16" s="3281"/>
      <c r="C16" s="3299"/>
      <c r="D16" s="3317"/>
      <c r="E16" s="123" t="s">
        <v>1284</v>
      </c>
      <c r="F16" s="1626"/>
      <c r="G16" s="1626"/>
      <c r="H16" s="1626"/>
      <c r="I16" s="1280"/>
    </row>
    <row r="17" spans="1:36" ht="15">
      <c r="A17" s="1627" t="s">
        <v>1285</v>
      </c>
      <c r="B17" s="54"/>
      <c r="C17" s="124">
        <f>SUM(C5:C16)</f>
        <v>5</v>
      </c>
      <c r="D17" s="124">
        <f>SUM(D5:D16)</f>
        <v>5</v>
      </c>
      <c r="E17" s="121"/>
      <c r="F17" s="121"/>
      <c r="G17" s="121"/>
      <c r="H17" s="121"/>
      <c r="I17" s="121"/>
      <c r="K17" s="293"/>
      <c r="L17" s="293" t="s">
        <v>1286</v>
      </c>
      <c r="M17" s="293" t="s">
        <v>1287</v>
      </c>
    </row>
    <row r="18" spans="1:36" ht="31.9" customHeight="1" thickBot="1">
      <c r="A18" s="1628" t="s">
        <v>1288</v>
      </c>
      <c r="B18" s="1541"/>
      <c r="C18" s="125">
        <f>ROUND(C17/SUM(C17:D17),2)</f>
        <v>0.5</v>
      </c>
      <c r="D18" s="125">
        <f>1-C18</f>
        <v>0.5</v>
      </c>
      <c r="E18" s="3304" t="s">
        <v>2127</v>
      </c>
      <c r="F18" s="3305"/>
      <c r="G18" s="3305"/>
      <c r="H18" s="3305"/>
      <c r="I18" s="3305"/>
      <c r="K18" s="293" t="s">
        <v>1289</v>
      </c>
      <c r="L18" s="293">
        <f>IF(C1="",'数据-汇总表'!E3,SUMIF(项目类型,C1,'数据-汇总表'!E17:E26)+SUMIF(项目类型,C1,'数据-汇总表'!I17:I26))</f>
        <v>6356.88</v>
      </c>
      <c r="M18" s="293">
        <f>IF(C1="",'数据-汇总表'!E3,SUMIF(项目类型,C1,'数据-汇总表'!E17:E26))</f>
        <v>6356.88</v>
      </c>
    </row>
    <row r="19" spans="1:36" ht="15">
      <c r="A19" s="1629" t="s">
        <v>1290</v>
      </c>
      <c r="B19" s="1630" t="s">
        <v>1291</v>
      </c>
      <c r="C19" s="126">
        <f ca="1">SUMIF(INDIRECT("'"&amp;C4&amp;"'"&amp;"!A:A"),结果表!B19,INDIRECT("'"&amp;C4&amp;"'"&amp;"!B:B"))</f>
        <v>779.2174</v>
      </c>
      <c r="D19" s="127">
        <f ca="1">SUMIF(INDIRECT("'"&amp;D4&amp;"'"&amp;"!A:A"),结果表!B19,INDIRECT("'"&amp;D4&amp;"'"&amp;"!B:B"))</f>
        <v>865.79449999999997</v>
      </c>
      <c r="E19" s="1629" t="s">
        <v>1292</v>
      </c>
      <c r="F19" s="1630" t="s">
        <v>1291</v>
      </c>
      <c r="G19" s="128">
        <f ca="1">ROUND(C19*$C$18+D19*$D$18,0)</f>
        <v>823</v>
      </c>
      <c r="H19" s="1631" t="s">
        <v>1293</v>
      </c>
      <c r="I19" s="121"/>
      <c r="K19" s="293" t="s">
        <v>1294</v>
      </c>
      <c r="L19" s="293">
        <f>IF(C1="",'数据-汇总表'!D3,SUMIF(项目类型,C1,'数据-汇总表'!D17:D26)+SUMIF(项目类型,C1,'数据-汇总表'!H17:H27))</f>
        <v>0</v>
      </c>
      <c r="M19" s="293">
        <f>IF(C1="",'数据-汇总表'!D3,SUMIF(项目类型,C1,'数据-汇总表'!D17:D26))</f>
        <v>0</v>
      </c>
    </row>
    <row r="20" spans="1:36" ht="15">
      <c r="A20" s="1632"/>
      <c r="B20" s="43" t="s">
        <v>1295</v>
      </c>
      <c r="C20" s="129">
        <f ca="1">SUMIF(INDIRECT("'"&amp;C4&amp;"'"&amp;"!A:A"),结果表!B20,INDIRECT("'"&amp;C4&amp;"'"&amp;"!B:B"))</f>
        <v>68708</v>
      </c>
      <c r="D20" s="130">
        <f ca="1">SUMIF(INDIRECT("'"&amp;D4&amp;"'"&amp;"!A:A"),结果表!B20,INDIRECT("'"&amp;D4&amp;"'"&amp;"!B:B"))</f>
        <v>76342</v>
      </c>
      <c r="E20" s="1632"/>
      <c r="F20" s="43" t="s">
        <v>1295</v>
      </c>
      <c r="G20" s="131">
        <f ca="1">ROUND(C20*$C$18+D20*$D$18,0)</f>
        <v>72525</v>
      </c>
      <c r="H20" s="759" t="s">
        <v>1296</v>
      </c>
      <c r="I20" s="121"/>
    </row>
    <row r="21" spans="1:36" ht="15" customHeight="1" thickBot="1">
      <c r="A21" s="448"/>
      <c r="B21" s="93" t="s">
        <v>1297</v>
      </c>
      <c r="C21" s="677" t="e">
        <f ca="1">ROUND(C19*10000/L19,0)</f>
        <v>#DIV/0!</v>
      </c>
      <c r="D21" s="678" t="e">
        <f ca="1">ROUND(D19*10000/L19,0)</f>
        <v>#DIV/0!</v>
      </c>
      <c r="E21" s="448"/>
      <c r="F21" s="93" t="s">
        <v>1297</v>
      </c>
      <c r="G21" s="132" t="e">
        <f ca="1">ROUND(G19*10000/L19,0)</f>
        <v>#DIV/0!</v>
      </c>
      <c r="H21" s="1633" t="s">
        <v>1296</v>
      </c>
      <c r="I21" s="121"/>
    </row>
    <row r="22" spans="1:36" ht="15" thickBot="1">
      <c r="A22" s="1563" t="s">
        <v>1298</v>
      </c>
      <c r="B22" s="1634"/>
      <c r="C22" s="1635"/>
      <c r="D22" s="679">
        <f ca="1">IF(C19&lt;D19,D19/C19-1,C19/D19-1)</f>
        <v>0.11110776017065316</v>
      </c>
      <c r="E22" s="121"/>
      <c r="F22" s="121"/>
      <c r="G22" s="121"/>
      <c r="H22" s="121"/>
      <c r="I22" s="121"/>
    </row>
    <row r="23" spans="1:36" ht="13.5" thickBot="1">
      <c r="A23" s="645"/>
      <c r="B23" s="645"/>
      <c r="C23" s="645"/>
      <c r="D23" s="645"/>
      <c r="E23" s="121"/>
      <c r="F23" s="121"/>
      <c r="G23" s="121"/>
      <c r="H23" s="121"/>
      <c r="I23" s="121"/>
    </row>
    <row r="24" spans="1:36" ht="14.25">
      <c r="A24" s="3288" t="s">
        <v>1299</v>
      </c>
      <c r="B24" s="1630" t="s">
        <v>1291</v>
      </c>
      <c r="C24" s="128">
        <f>IF(B30=0,0,D30)</f>
        <v>0</v>
      </c>
      <c r="D24" s="1636"/>
      <c r="E24" s="121"/>
      <c r="F24" s="121"/>
      <c r="G24" s="121"/>
      <c r="H24" s="121"/>
      <c r="I24" s="121"/>
    </row>
    <row r="25" spans="1:36" ht="14.25">
      <c r="A25" s="3289"/>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5" t="s">
        <v>2128</v>
      </c>
      <c r="F30" s="121"/>
      <c r="G30" s="121"/>
      <c r="H30" s="121"/>
      <c r="I30" s="121"/>
    </row>
    <row r="31" spans="1:36" s="2131" customFormat="1" ht="26.45" customHeight="1" thickTop="1" thickBot="1">
      <c r="A31" s="2126"/>
      <c r="B31" s="2127"/>
      <c r="C31" s="2127"/>
      <c r="D31" s="2127"/>
      <c r="E31" s="2127"/>
      <c r="F31" s="2127"/>
      <c r="G31" s="2127"/>
      <c r="H31" s="2127"/>
      <c r="I31" s="2128" t="s">
        <v>2129</v>
      </c>
      <c r="J31" s="2460"/>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9" t="s">
        <v>1305</v>
      </c>
      <c r="B32" s="1534"/>
      <c r="C32" s="136">
        <f ca="1">IF(D32="总价",G19-C24,G20-C25)</f>
        <v>823</v>
      </c>
      <c r="D32" s="1640" t="s">
        <v>3550</v>
      </c>
      <c r="E32" s="121"/>
      <c r="F32" s="121"/>
      <c r="G32" s="121"/>
      <c r="H32" s="121"/>
      <c r="I32" s="121"/>
    </row>
    <row r="33" spans="1:15" ht="15">
      <c r="A33" s="739" t="s">
        <v>1306</v>
      </c>
      <c r="B33" s="123"/>
      <c r="C33" s="1641" t="s">
        <v>3551</v>
      </c>
      <c r="D33" s="1642" t="s">
        <v>3549</v>
      </c>
      <c r="E33" s="1643" t="s">
        <v>1307</v>
      </c>
      <c r="F33" s="1644" t="str">
        <f>IF(D32="楼面单价","取值（单价）","取值（总价）")</f>
        <v>取值（总价）</v>
      </c>
      <c r="G33" s="121"/>
      <c r="H33" s="121"/>
      <c r="I33" s="121"/>
    </row>
    <row r="34" spans="1:15" ht="15">
      <c r="A34" s="1645"/>
      <c r="B34" s="1646" t="s">
        <v>1308</v>
      </c>
      <c r="C34" s="140">
        <f ca="1">IF(C33="自定义",F34,C32-C35)</f>
        <v>817</v>
      </c>
      <c r="D34" s="807">
        <f ca="1">IF(C33="自定义",ROUND(C34/C32,3),IF(C33="收益比率",SUMIF(INDIRECT("'"&amp;D33&amp;"'"&amp;"!b:b"),"土地收益比率",INDIRECT("'"&amp;D33&amp;"'"&amp;"!c:c")),SUMIF(INDIRECT("'"&amp;D33&amp;"'"&amp;"!b:b"),"土地成本比率",INDIRECT("'"&amp;D33&amp;"'"&amp;"!c:c"))))</f>
        <v>0.99299999999999999</v>
      </c>
      <c r="E34" s="1647" t="s">
        <v>1309</v>
      </c>
      <c r="F34" s="1242"/>
      <c r="G34" s="121"/>
      <c r="H34" s="121"/>
      <c r="I34" s="121"/>
    </row>
    <row r="35" spans="1:15" ht="15.75" thickBot="1">
      <c r="A35" s="1648"/>
      <c r="B35" s="1649" t="s">
        <v>1310</v>
      </c>
      <c r="C35" s="1089">
        <f ca="1">IF(C33="自定义",F35,ROUND(C32*D35,0))</f>
        <v>6</v>
      </c>
      <c r="D35" s="1090">
        <f ca="1">IF(C33="自定义",ROUND(C35/C32,3),IF(C33="收益比率",SUMIF(INDIRECT("'"&amp;D33&amp;"'"&amp;"!b:b"),"建筑物收益比率",INDIRECT("'"&amp;D33&amp;"'"&amp;"!c:c")),SUMIF(INDIRECT("'"&amp;D33&amp;"'"&amp;"!b:b"),"建筑物成本比率",INDIRECT("'"&amp;D33&amp;"'"&amp;"!c:c"))))</f>
        <v>7.0000000000000001E-3</v>
      </c>
      <c r="E35" s="1650" t="s">
        <v>1311</v>
      </c>
      <c r="F35" s="146"/>
      <c r="G35" s="121"/>
      <c r="H35" s="121"/>
      <c r="I35" s="121"/>
    </row>
    <row r="36" spans="1:15" ht="15.75" thickBot="1">
      <c r="A36" s="3308" t="s">
        <v>1312</v>
      </c>
      <c r="B36" s="1651" t="s">
        <v>1313</v>
      </c>
      <c r="C36" s="137"/>
      <c r="D36" s="1652"/>
      <c r="E36" s="1566"/>
      <c r="F36" s="1653"/>
      <c r="G36" s="121"/>
      <c r="H36" s="121"/>
      <c r="I36" s="121"/>
    </row>
    <row r="37" spans="1:15" ht="15.75" thickBot="1">
      <c r="A37" s="3309"/>
      <c r="B37" s="1554" t="s">
        <v>1314</v>
      </c>
      <c r="C37" s="139"/>
      <c r="D37" s="1070"/>
      <c r="E37" s="1070"/>
      <c r="F37" s="1653"/>
      <c r="G37" s="121"/>
      <c r="H37" s="121"/>
      <c r="I37" s="121"/>
    </row>
    <row r="38" spans="1:15" ht="15.75" thickBot="1">
      <c r="A38" s="3310"/>
      <c r="B38" s="1654" t="s">
        <v>1315</v>
      </c>
      <c r="C38" s="640"/>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85" t="s">
        <v>1326</v>
      </c>
      <c r="B45" s="3286"/>
      <c r="C45" s="3287"/>
      <c r="D45" s="147">
        <f ca="1">ROUND(H101*F45,0)</f>
        <v>823</v>
      </c>
      <c r="E45" s="148" t="s">
        <v>1327</v>
      </c>
      <c r="F45" s="149">
        <v>1</v>
      </c>
      <c r="G45" s="150" t="s">
        <v>1328</v>
      </c>
      <c r="H45" s="121"/>
      <c r="I45" s="121"/>
      <c r="J45" s="3363" t="s">
        <v>1329</v>
      </c>
      <c r="K45" s="3363"/>
      <c r="L45" s="3363"/>
      <c r="M45" s="3363"/>
      <c r="N45" s="3363"/>
      <c r="O45" s="3363"/>
    </row>
    <row r="46" spans="1:15" ht="14.25" customHeight="1">
      <c r="A46" s="3282" t="s">
        <v>1330</v>
      </c>
      <c r="B46" s="3283"/>
      <c r="C46" s="3283"/>
      <c r="D46" s="3283"/>
      <c r="E46" s="3283"/>
      <c r="F46" s="3283"/>
      <c r="G46" s="3284"/>
      <c r="H46" s="1667"/>
      <c r="I46" s="151"/>
      <c r="J46" s="2307">
        <v>1</v>
      </c>
      <c r="K46" s="3344" t="s">
        <v>1331</v>
      </c>
      <c r="L46" s="3344"/>
      <c r="M46" s="3364"/>
      <c r="N46" s="3364"/>
      <c r="O46" s="3364"/>
    </row>
    <row r="47" spans="1:15" ht="12" customHeight="1">
      <c r="A47" s="152" t="s">
        <v>1332</v>
      </c>
      <c r="B47" s="153"/>
      <c r="C47" s="154"/>
      <c r="D47" s="1023" t="s">
        <v>1333</v>
      </c>
      <c r="E47" s="293" t="s">
        <v>1334</v>
      </c>
      <c r="F47" s="155" t="s">
        <v>1335</v>
      </c>
      <c r="G47" s="2330" t="s">
        <v>1336</v>
      </c>
      <c r="H47" s="2331"/>
      <c r="I47" s="151"/>
      <c r="J47" s="2307">
        <v>2</v>
      </c>
      <c r="K47" s="3344" t="s">
        <v>1337</v>
      </c>
      <c r="L47" s="3344"/>
      <c r="M47" s="3365">
        <f>'数据-取费表'!B2</f>
        <v>45022</v>
      </c>
      <c r="N47" s="3365"/>
      <c r="O47" s="3365"/>
    </row>
    <row r="48" spans="1:15" ht="25.5">
      <c r="A48" s="3313" t="s">
        <v>1338</v>
      </c>
      <c r="B48" s="3296"/>
      <c r="C48" s="3296"/>
      <c r="D48" s="12">
        <f ca="1">IF(H48="情况1",0,IF(H48="情况2",D52,IF(H48="情况3",D53,IF(H48="情况4",D54))))</f>
        <v>18</v>
      </c>
      <c r="E48" s="1255" t="str">
        <f>IF(H48="情况4","(销售额-原购置价)×税（费）率","销售额×税（费）率")</f>
        <v>(销售额-原购置价)×税（费）率</v>
      </c>
      <c r="F48" s="2332">
        <f>IF(H48="情况1","免征",'数据-取费表'!B41)</f>
        <v>5.6000000000000001E-2</v>
      </c>
      <c r="G48" s="2333" t="s">
        <v>1339</v>
      </c>
      <c r="H48" s="2334" t="s">
        <v>3552</v>
      </c>
      <c r="I48" s="1667"/>
      <c r="J48" s="2307">
        <v>3</v>
      </c>
      <c r="K48" s="3344" t="s">
        <v>1340</v>
      </c>
      <c r="L48" s="3344"/>
      <c r="M48" s="3366">
        <f ca="1">H101</f>
        <v>823</v>
      </c>
      <c r="N48" s="3366"/>
      <c r="O48" s="3366"/>
    </row>
    <row r="49" spans="1:35" ht="25.5" customHeight="1">
      <c r="A49" s="2150" t="s">
        <v>1341</v>
      </c>
      <c r="B49" s="3280" t="s">
        <v>1342</v>
      </c>
      <c r="C49" s="3280"/>
      <c r="D49" s="1477">
        <v>0</v>
      </c>
      <c r="E49" s="315" t="s">
        <v>1343</v>
      </c>
      <c r="F49" s="2231" t="s">
        <v>28</v>
      </c>
      <c r="G49" s="3350"/>
      <c r="H49" s="2132" t="s">
        <v>2130</v>
      </c>
      <c r="I49" s="2133"/>
      <c r="J49" s="2307">
        <v>4</v>
      </c>
      <c r="K49" s="3344" t="str">
        <f>IF(项目基本情况!E8="房地产抵押价值","房地产抵押价值","抵押担保权已注销时的房地产抵押价值")</f>
        <v>房地产抵押价值</v>
      </c>
      <c r="L49" s="3344"/>
      <c r="M49" s="3366">
        <f ca="1">IF(项目基本情况!E8="房地产抵押价值",H107,H109)</f>
        <v>823</v>
      </c>
      <c r="N49" s="3366"/>
      <c r="O49" s="3366"/>
    </row>
    <row r="50" spans="1:35" ht="25.5" customHeight="1">
      <c r="A50" s="2335"/>
      <c r="B50" s="3280" t="s">
        <v>1344</v>
      </c>
      <c r="C50" s="3280"/>
      <c r="D50" s="2187"/>
      <c r="E50" s="322"/>
      <c r="F50" s="2231"/>
      <c r="G50" s="3351"/>
      <c r="H50" s="2134" t="s">
        <v>2131</v>
      </c>
      <c r="I50" s="2133"/>
      <c r="J50" s="3363" t="s">
        <v>1345</v>
      </c>
      <c r="K50" s="3363"/>
      <c r="L50" s="3363"/>
      <c r="M50" s="3363"/>
      <c r="N50" s="3363"/>
      <c r="O50" s="3363"/>
    </row>
    <row r="51" spans="1:35" ht="20.45" customHeight="1">
      <c r="A51" s="2336"/>
      <c r="B51" s="3280" t="s">
        <v>1346</v>
      </c>
      <c r="C51" s="3280"/>
      <c r="D51" s="1023"/>
      <c r="E51" s="318"/>
      <c r="F51" s="2231"/>
      <c r="G51" s="3352"/>
      <c r="H51" s="2134" t="s">
        <v>2132</v>
      </c>
      <c r="I51" s="2133"/>
      <c r="J51" s="2308" t="s">
        <v>1347</v>
      </c>
      <c r="K51" s="3344" t="s">
        <v>1348</v>
      </c>
      <c r="L51" s="3344"/>
      <c r="M51" s="2308" t="s">
        <v>1349</v>
      </c>
      <c r="N51" s="2308" t="s">
        <v>1350</v>
      </c>
      <c r="O51" s="2308" t="s">
        <v>1351</v>
      </c>
    </row>
    <row r="52" spans="1:35" ht="24" customHeight="1">
      <c r="A52" s="2151" t="s">
        <v>1352</v>
      </c>
      <c r="B52" s="3280" t="s">
        <v>1353</v>
      </c>
      <c r="C52" s="3280"/>
      <c r="D52" s="1023">
        <f ca="1">ROUND(D45*'数据-取费表'!B41/(1+'数据-取费表'!C42),0)</f>
        <v>44</v>
      </c>
      <c r="E52" s="1255" t="s">
        <v>1354</v>
      </c>
      <c r="F52" s="2337">
        <f>'数据-取费表'!B41</f>
        <v>5.6000000000000001E-2</v>
      </c>
      <c r="G52" s="2338"/>
      <c r="H52" s="2328"/>
      <c r="I52" s="1668"/>
      <c r="J52" s="2307">
        <v>1</v>
      </c>
      <c r="K52" s="3345" t="s">
        <v>1355</v>
      </c>
      <c r="L52" s="3345"/>
      <c r="M52" s="2309">
        <f ca="1">D48</f>
        <v>18</v>
      </c>
      <c r="N52" s="2307" t="str">
        <f>E48</f>
        <v>(销售额-原购置价)×税（费）率</v>
      </c>
      <c r="O52" s="2310">
        <f>F48</f>
        <v>5.6000000000000001E-2</v>
      </c>
    </row>
    <row r="53" spans="1:35" ht="12" customHeight="1">
      <c r="A53" s="2151" t="s">
        <v>1356</v>
      </c>
      <c r="B53" s="3306" t="s">
        <v>2275</v>
      </c>
      <c r="C53" s="3307"/>
      <c r="D53" s="1023">
        <f ca="1">ROUND(D45*'数据-取费表'!B41/(1+'数据-取费表'!C42),0)</f>
        <v>44</v>
      </c>
      <c r="E53" s="1255" t="s">
        <v>1354</v>
      </c>
      <c r="F53" s="2337">
        <f>'数据-取费表'!B41</f>
        <v>5.6000000000000001E-2</v>
      </c>
      <c r="G53" s="2338"/>
      <c r="H53" s="2328"/>
      <c r="I53" s="1668"/>
      <c r="J53" s="2307">
        <v>2</v>
      </c>
      <c r="K53" s="3345" t="s">
        <v>1357</v>
      </c>
      <c r="L53" s="3345"/>
      <c r="M53" s="2309">
        <f t="shared" ref="M53:O54" ca="1" si="0">D55</f>
        <v>0</v>
      </c>
      <c r="N53" s="2307" t="str">
        <f t="shared" si="0"/>
        <v>销售额×税（费）率</v>
      </c>
      <c r="O53" s="2310">
        <f t="shared" si="0"/>
        <v>5.0000000000000001E-4</v>
      </c>
    </row>
    <row r="54" spans="1:35" ht="12" customHeight="1">
      <c r="A54" s="2151" t="s">
        <v>1358</v>
      </c>
      <c r="B54" s="3306" t="s">
        <v>2276</v>
      </c>
      <c r="C54" s="3307"/>
      <c r="D54" s="1023">
        <f ca="1">C68</f>
        <v>18</v>
      </c>
      <c r="E54" s="318" t="s">
        <v>1359</v>
      </c>
      <c r="F54" s="2337">
        <f>'数据-取费表'!B41</f>
        <v>5.6000000000000001E-2</v>
      </c>
      <c r="G54" s="2338"/>
      <c r="H54" s="2339"/>
      <c r="I54" s="1668"/>
      <c r="J54" s="2307">
        <v>3</v>
      </c>
      <c r="K54" s="3345" t="s">
        <v>1360</v>
      </c>
      <c r="L54" s="3345"/>
      <c r="M54" s="2309">
        <f t="shared" ca="1" si="0"/>
        <v>11</v>
      </c>
      <c r="N54" s="2307" t="str">
        <f t="shared" si="0"/>
        <v>增值额×税（费）率</v>
      </c>
      <c r="O54" s="2311" t="str">
        <f t="shared" si="0"/>
        <v>——</v>
      </c>
    </row>
    <row r="55" spans="1:35" ht="24" customHeight="1">
      <c r="A55" s="3295" t="s">
        <v>1361</v>
      </c>
      <c r="B55" s="3296"/>
      <c r="C55" s="3296"/>
      <c r="D55" s="12">
        <f ca="1">IF(H55="个人住宅",0,ROUND(D45*I55,0))</f>
        <v>0</v>
      </c>
      <c r="E55" s="1255" t="s">
        <v>1362</v>
      </c>
      <c r="F55" s="2337">
        <f>IF(H55="正常",I55,"免征")</f>
        <v>5.0000000000000001E-4</v>
      </c>
      <c r="G55" s="2338"/>
      <c r="H55" s="2334" t="s">
        <v>3555</v>
      </c>
      <c r="I55" s="157">
        <f>'数据-取费表'!B49</f>
        <v>5.0000000000000001E-4</v>
      </c>
      <c r="J55" s="2307" t="str">
        <f>IF(H59="非个人房产","",4)</f>
        <v/>
      </c>
      <c r="K55" s="3345" t="str">
        <f>IF(H59="非个人房产","——","个人所得税")</f>
        <v>——</v>
      </c>
      <c r="L55" s="3345"/>
      <c r="M55" s="2312" t="str">
        <f>D59</f>
        <v>——</v>
      </c>
      <c r="N55" s="1882" t="str">
        <f>E59</f>
        <v>——</v>
      </c>
      <c r="O55" s="2313" t="str">
        <f>F59</f>
        <v>——</v>
      </c>
    </row>
    <row r="56" spans="1:35" ht="24.75">
      <c r="A56" s="3295" t="s">
        <v>1363</v>
      </c>
      <c r="B56" s="3296"/>
      <c r="C56" s="3296"/>
      <c r="D56" s="12">
        <f ca="1">IF(H56="个人住宅",D57,D58)</f>
        <v>11</v>
      </c>
      <c r="E56" s="1255" t="s">
        <v>1364</v>
      </c>
      <c r="F56" s="2337" t="str">
        <f>IF(H56="正常",F58,"免征")</f>
        <v>——</v>
      </c>
      <c r="G56" s="2340" t="s">
        <v>1365</v>
      </c>
      <c r="H56" s="2341" t="s">
        <v>3555</v>
      </c>
      <c r="I56" s="1669"/>
      <c r="J56" s="2307" t="str">
        <f>IF(项目基本情况!K6="上海银行",IF(J55="",4,J55+1),"")</f>
        <v/>
      </c>
      <c r="K56" s="3368" t="str">
        <f>IF(项目基本情况!K6="上海银行","其他处置费用","")</f>
        <v/>
      </c>
      <c r="L56" s="3369"/>
      <c r="M56" s="2309" t="str">
        <f>IF(项目基本情况!K6="上海银行",M69,"")</f>
        <v/>
      </c>
      <c r="N56" s="3368" t="str">
        <f>IF(项目基本情况!K6="上海银行","包含处置中涉及的律师、诉讼、拍卖、评估等费用","")</f>
        <v/>
      </c>
      <c r="O56" s="3371"/>
    </row>
    <row r="57" spans="1:35" ht="12.75">
      <c r="A57" s="2151" t="s">
        <v>1341</v>
      </c>
      <c r="B57" s="3306" t="s">
        <v>1366</v>
      </c>
      <c r="C57" s="3307"/>
      <c r="D57" s="1477">
        <v>0</v>
      </c>
      <c r="E57" s="315" t="s">
        <v>1343</v>
      </c>
      <c r="F57" s="293"/>
      <c r="G57" s="2338"/>
      <c r="H57" s="2342"/>
      <c r="I57" s="1669"/>
      <c r="J57" s="3345">
        <f>IF(AND(J55="",J56=""),4,IF(项目基本情况!K6="上海银行",结果表!J56+1,结果表!J55+1))</f>
        <v>4</v>
      </c>
      <c r="K57" s="3345" t="s">
        <v>1367</v>
      </c>
      <c r="L57" s="2314" t="s">
        <v>1368</v>
      </c>
      <c r="M57" s="2315"/>
      <c r="N57" s="2316">
        <f ca="1">SUMIF(M52:M56,"&lt;9e307")</f>
        <v>29</v>
      </c>
      <c r="O57" s="2317"/>
      <c r="P57" s="2461">
        <f ca="1">N57/M49</f>
        <v>3.5236938031591739E-2</v>
      </c>
    </row>
    <row r="58" spans="1:35" ht="24.75">
      <c r="A58" s="2151" t="s">
        <v>1352</v>
      </c>
      <c r="B58" s="3306" t="s">
        <v>1369</v>
      </c>
      <c r="C58" s="3280"/>
      <c r="D58" s="12">
        <f ca="1">IF(H58="转让取得",C81,C97)</f>
        <v>11</v>
      </c>
      <c r="E58" s="1255" t="s">
        <v>1364</v>
      </c>
      <c r="F58" s="293" t="s">
        <v>28</v>
      </c>
      <c r="G58" s="2338"/>
      <c r="H58" s="2341" t="s">
        <v>3556</v>
      </c>
      <c r="I58" s="1669"/>
      <c r="J58" s="3345"/>
      <c r="K58" s="3345"/>
      <c r="L58" s="2314" t="s">
        <v>1370</v>
      </c>
      <c r="M58" s="2318"/>
      <c r="N58" s="2319" t="str">
        <f ca="1">NUMBERSTRING(INT(N57*10000),2)&amp;"元整"</f>
        <v>贰拾玖万元整</v>
      </c>
      <c r="O58" s="2320"/>
    </row>
    <row r="59" spans="1:35" ht="24.75" thickBot="1">
      <c r="A59" s="3348" t="s">
        <v>1371</v>
      </c>
      <c r="B59" s="3349"/>
      <c r="C59" s="3349"/>
      <c r="D59" s="2343" t="str">
        <f>IF(H59="非个人房产","——",IF(H59="个人住宅（满五唯一有凭证）",0,IF(H59="个人其他（无凭证）",ROUND(D45*F59,0),ROUND(C67*F59,0))))</f>
        <v>——</v>
      </c>
      <c r="E59" s="2344" t="str">
        <f>IF(H59="非个人房产","——",IF(H59="个人其他（无凭证）","销售额×税（费）率",IF(H59="个人住宅（满五唯一有凭证）","免征","差额计税")))</f>
        <v>——</v>
      </c>
      <c r="F59" s="2345" t="str">
        <f>IF(OR(H59="非个人房产",H59="个人住宅（满五唯一有凭证）"),"——",IF(H59="个人其他（有凭证）",20%,1%))</f>
        <v>——</v>
      </c>
      <c r="G59" s="2346" t="s">
        <v>1365</v>
      </c>
      <c r="H59" s="2136" t="s">
        <v>3557</v>
      </c>
      <c r="I59" s="2135" t="s">
        <v>2133</v>
      </c>
      <c r="J59" s="3346">
        <f>J57+1</f>
        <v>5</v>
      </c>
      <c r="K59" s="3345" t="s">
        <v>1372</v>
      </c>
      <c r="L59" s="2307" t="s">
        <v>1368</v>
      </c>
      <c r="M59" s="2321"/>
      <c r="N59" s="2322">
        <f ca="1">M49-N57</f>
        <v>794</v>
      </c>
      <c r="O59" s="2323"/>
    </row>
    <row r="60" spans="1:35" ht="12" customHeight="1">
      <c r="A60" s="1670"/>
      <c r="B60" s="645"/>
      <c r="C60" s="645"/>
      <c r="D60" s="645"/>
      <c r="E60" s="1465"/>
      <c r="F60" s="1669"/>
      <c r="G60" s="1669"/>
      <c r="H60" s="151"/>
      <c r="I60" s="121"/>
      <c r="J60" s="3347"/>
      <c r="K60" s="3345"/>
      <c r="L60" s="2314" t="s">
        <v>1370</v>
      </c>
      <c r="M60" s="2318"/>
      <c r="N60" s="2319" t="str">
        <f ca="1">NUMBERSTRING(INT(N59*10000),2)&amp;"元整"</f>
        <v>柒佰玖拾肆万元整</v>
      </c>
      <c r="O60" s="2320"/>
    </row>
    <row r="61" spans="1:35" ht="13.5" thickBot="1">
      <c r="A61" s="3293" t="s">
        <v>1373</v>
      </c>
      <c r="B61" s="3293"/>
      <c r="C61" s="3293"/>
      <c r="D61" s="3293"/>
      <c r="E61" s="3293"/>
      <c r="F61" s="1669"/>
      <c r="G61" s="1669"/>
      <c r="H61" s="151"/>
      <c r="I61" s="121"/>
      <c r="J61" s="2307">
        <f>J59+1</f>
        <v>6</v>
      </c>
      <c r="K61" s="3345" t="s">
        <v>1374</v>
      </c>
      <c r="L61" s="3345"/>
      <c r="M61" s="2324"/>
      <c r="N61" s="2325">
        <f ca="1">ROUND(N59*10000/'数据-汇总表'!E3,0)</f>
        <v>1249</v>
      </c>
      <c r="O61" s="2326"/>
    </row>
    <row r="62" spans="1:35" ht="12.75">
      <c r="A62" s="3311" t="s">
        <v>1375</v>
      </c>
      <c r="B62" s="3312"/>
      <c r="C62" s="1864"/>
      <c r="D62" s="1864" t="s">
        <v>1376</v>
      </c>
      <c r="E62" s="158" t="s">
        <v>1377</v>
      </c>
      <c r="F62" s="1669"/>
      <c r="G62" s="1669"/>
      <c r="H62" s="151"/>
      <c r="I62" s="121"/>
    </row>
    <row r="63" spans="1:35" ht="12.75">
      <c r="A63" s="165" t="s">
        <v>330</v>
      </c>
      <c r="B63" s="159" t="s">
        <v>1378</v>
      </c>
      <c r="C63" s="2347">
        <f ca="1">ROUND((C64+C65)/(1+'数据-取费表'!C42),0)</f>
        <v>784</v>
      </c>
      <c r="D63" s="159"/>
      <c r="E63" s="160"/>
      <c r="F63" s="1669"/>
      <c r="G63" s="1669"/>
      <c r="H63" s="151"/>
      <c r="I63" s="121"/>
      <c r="J63" s="3370" t="s">
        <v>1379</v>
      </c>
      <c r="K63" s="1244" t="s">
        <v>1380</v>
      </c>
      <c r="L63" s="1244">
        <f ca="1">IF(M49&gt;10000,M49*0.5%,IF(AND(M49&gt;1000,M49&lt;=10000),M49*1%,IF(AND(M49&gt;100,M49&lt;=1000),M49*3%,IF(AND(M49&gt;10,M49&lt;=100),M49*5%,M49*8%))))</f>
        <v>24.689999999999998</v>
      </c>
      <c r="M63" s="293">
        <f ca="1">ROUND(L63,1)</f>
        <v>24.7</v>
      </c>
      <c r="N63" s="2327"/>
      <c r="Z63" s="1622"/>
      <c r="AI63" s="1560"/>
    </row>
    <row r="64" spans="1:35" ht="14.25" customHeight="1">
      <c r="A64" s="161" t="s">
        <v>325</v>
      </c>
      <c r="B64" s="162" t="s">
        <v>1381</v>
      </c>
      <c r="C64" s="2348">
        <f ca="1">D45</f>
        <v>823</v>
      </c>
      <c r="D64" s="162" t="s">
        <v>26</v>
      </c>
      <c r="E64" s="164"/>
      <c r="F64" s="1669"/>
      <c r="G64" s="1669"/>
      <c r="H64" s="151"/>
      <c r="I64" s="121"/>
      <c r="J64" s="3370"/>
      <c r="K64" s="1244" t="s">
        <v>1382</v>
      </c>
      <c r="L64" s="1244">
        <f ca="1">IF(M49&gt;2000,M49*0.5%,IF(AND(M49&gt;1000,M49&lt;=2000),M49*0.6%,IF(AND(M49&gt;500,M49&lt;=1000),M49*0.7%,IF(AND(M49&gt;200,M49&lt;=500),M49*0.8%,IF(AND(M49&gt;100,M49&lt;=200),M49*0.9%,IF(AND(M49&gt;50,M49&lt;=100),M49*1%,IF(AND(M49&gt;20,M49&lt;=50),M49*1.5%,IF(AND(M49&gt;10,M49&lt;=20),M49*2%,IF(AND(M49&gt;1,M49&lt;=10),M49*2.5%)))))))))</f>
        <v>5.7609999999999992</v>
      </c>
      <c r="M64" s="293">
        <f t="shared" ref="M64:M65" ca="1" si="1">ROUND(L64,1)</f>
        <v>5.8</v>
      </c>
      <c r="N64" s="2328" t="s">
        <v>1383</v>
      </c>
      <c r="Z64" s="1622"/>
      <c r="AI64" s="1560"/>
    </row>
    <row r="65" spans="1:35" ht="14.25" customHeight="1">
      <c r="A65" s="161" t="s">
        <v>326</v>
      </c>
      <c r="B65" s="162" t="s">
        <v>1384</v>
      </c>
      <c r="C65" s="2349"/>
      <c r="D65" s="162"/>
      <c r="E65" s="164"/>
      <c r="F65" s="1669"/>
      <c r="G65" s="1669"/>
      <c r="H65" s="151"/>
      <c r="I65" s="121"/>
      <c r="J65" s="3370"/>
      <c r="K65" s="1244" t="s">
        <v>1385</v>
      </c>
      <c r="L65" s="1244">
        <f ca="1">IF(M49&gt;1000,M49*0.1%,IF(AND(M49&gt;500,M49&lt;=1000),M49*0.5%,IF(AND(M49&gt;50,M49&lt;=500),M49*1%,IF(AND(M49&gt;1,M49&lt;=50),M49*1.5%))))</f>
        <v>4.1150000000000002</v>
      </c>
      <c r="M65" s="293">
        <f t="shared" ca="1" si="1"/>
        <v>4.0999999999999996</v>
      </c>
      <c r="N65" s="2328" t="s">
        <v>1383</v>
      </c>
      <c r="Z65" s="1622"/>
      <c r="AI65" s="1560"/>
    </row>
    <row r="66" spans="1:35" ht="14.25" customHeight="1">
      <c r="A66" s="165" t="s">
        <v>327</v>
      </c>
      <c r="B66" s="166" t="s">
        <v>1386</v>
      </c>
      <c r="C66" s="2350">
        <f>净值计算!I3</f>
        <v>469.92421300000001</v>
      </c>
      <c r="D66" s="166" t="s">
        <v>26</v>
      </c>
      <c r="E66" s="1250" t="s">
        <v>671</v>
      </c>
      <c r="F66" s="1669"/>
      <c r="G66" s="1669"/>
      <c r="H66" s="151"/>
      <c r="I66" s="121"/>
      <c r="J66" s="3370"/>
      <c r="K66" s="1244" t="s">
        <v>1387</v>
      </c>
      <c r="L66" s="1244">
        <f ca="1">M49*0.5%</f>
        <v>4.1150000000000002</v>
      </c>
      <c r="M66" s="293">
        <f ca="1">IF(L66&gt;0.5,0.5,ROUND(L66,0))</f>
        <v>0.5</v>
      </c>
      <c r="N66" s="2328" t="s">
        <v>1388</v>
      </c>
      <c r="Z66" s="1622"/>
      <c r="AI66" s="1560"/>
    </row>
    <row r="67" spans="1:35" ht="14.25" customHeight="1">
      <c r="A67" s="165" t="s">
        <v>328</v>
      </c>
      <c r="B67" s="3179" t="s">
        <v>3727</v>
      </c>
      <c r="C67" s="3176">
        <f ca="1">C63-C66</f>
        <v>314.07578699999999</v>
      </c>
      <c r="D67" s="162" t="s">
        <v>26</v>
      </c>
      <c r="E67" s="164"/>
      <c r="F67" s="1669"/>
      <c r="G67" s="1669"/>
      <c r="H67" s="151"/>
      <c r="I67" s="121"/>
      <c r="J67" s="3370"/>
      <c r="K67" s="1244" t="s">
        <v>1389</v>
      </c>
      <c r="L67" s="1244">
        <f ca="1">IF(M49&gt;=10000,(8.25+(M49-10000)*0.01%),IF(AND(M49&gt;=8000,M49&lt;10000),(7.85+(M49-8000)*0.02%),IF(AND(M49&gt;=5000,M49&lt;8000),(6.65+(M49-5000)*0.04%),IF(AND(M49&gt;=2000,M49&lt;5000),(4.25+(PM49-2000)*0.08%),IF(AND(M49&gt;=1000,M49&lt;2000),(2.75+(M49-1000)*0.15%),IF(AND(M49&gt;=100,M49&lt;1000),(0.5+(M49-100)*0.25%),IF(AND(M49&gt;0,M49&lt;100),M49*0.5%)))))))</f>
        <v>2.3075000000000001</v>
      </c>
      <c r="M67" s="293">
        <f ca="1">ROUND(L67*0.9,1)</f>
        <v>2.1</v>
      </c>
      <c r="N67" s="2327"/>
      <c r="Z67" s="1622"/>
      <c r="AI67" s="1560"/>
    </row>
    <row r="68" spans="1:35" ht="14.25" customHeight="1" thickBot="1">
      <c r="A68" s="168" t="s">
        <v>329</v>
      </c>
      <c r="B68" s="169" t="s">
        <v>1390</v>
      </c>
      <c r="C68" s="3177">
        <f ca="1">IF(C67&lt;=0,0,ROUND(C67*D68,0))</f>
        <v>18</v>
      </c>
      <c r="D68" s="2352">
        <f>'数据-取费表'!B41</f>
        <v>5.6000000000000001E-2</v>
      </c>
      <c r="E68" s="170"/>
      <c r="F68" s="1669"/>
      <c r="G68" s="1669"/>
      <c r="H68" s="151"/>
      <c r="I68" s="121"/>
      <c r="J68" s="3370"/>
      <c r="K68" s="1244" t="s">
        <v>1391</v>
      </c>
      <c r="L68" s="1244">
        <f ca="1">IF(M49&gt;10000,M49*0.5%,IF(AND(M49&gt;5000,M49&lt;=10000),M49*1%,IF(AND(M49&gt;1000,M49&lt;=5000),M49*2%,IF(AND(M49&gt;200,M49&lt;=1000),M49*3%,M49*5%))))</f>
        <v>24.689999999999998</v>
      </c>
      <c r="M68" s="293">
        <f ca="1">ROUND(L68,1)</f>
        <v>24.7</v>
      </c>
      <c r="N68" s="2327"/>
      <c r="Z68" s="1622"/>
      <c r="AI68" s="1560"/>
    </row>
    <row r="69" spans="1:35" ht="16.5" customHeight="1">
      <c r="A69" s="1671"/>
      <c r="B69" s="1672"/>
      <c r="C69" s="1673"/>
      <c r="D69" s="1674"/>
      <c r="E69" s="1675"/>
      <c r="F69" s="1465"/>
      <c r="G69" s="1465"/>
      <c r="H69" s="1466"/>
      <c r="I69" s="645"/>
      <c r="J69" s="3370"/>
      <c r="K69" s="1244" t="s">
        <v>1392</v>
      </c>
      <c r="L69" s="1244"/>
      <c r="M69" s="293">
        <f ca="1">ROUND(SUM(M63:M68),0)</f>
        <v>62</v>
      </c>
      <c r="N69" s="2329">
        <f ca="1">M69/M49</f>
        <v>7.5334143377885784E-2</v>
      </c>
      <c r="Z69" s="1622"/>
      <c r="AI69" s="1560"/>
    </row>
    <row r="70" spans="1:35" s="641" customFormat="1" ht="15" thickBot="1">
      <c r="A70" s="3332" t="s">
        <v>1393</v>
      </c>
      <c r="B70" s="3333"/>
      <c r="C70" s="3333"/>
      <c r="D70" s="3333"/>
      <c r="E70" s="3333"/>
      <c r="F70" s="3333"/>
      <c r="G70" s="3333"/>
      <c r="H70" s="3333"/>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11" t="s">
        <v>1375</v>
      </c>
      <c r="B71" s="3312"/>
      <c r="C71" s="1864"/>
      <c r="D71" s="1864" t="s">
        <v>1376</v>
      </c>
      <c r="E71" s="171" t="s">
        <v>1377</v>
      </c>
      <c r="F71" s="172"/>
      <c r="G71" s="172"/>
      <c r="H71" s="173"/>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5" t="s">
        <v>330</v>
      </c>
      <c r="B72" s="166" t="s">
        <v>1394</v>
      </c>
      <c r="C72" s="2351">
        <f ca="1">ROUND(D45/(1+'数据-取费表'!C42),0)</f>
        <v>784</v>
      </c>
      <c r="D72" s="162" t="s">
        <v>26</v>
      </c>
      <c r="E72" s="1256"/>
      <c r="F72" s="1254"/>
      <c r="G72" s="1254"/>
      <c r="H72" s="174"/>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5" t="s">
        <v>327</v>
      </c>
      <c r="B73" s="155" t="s">
        <v>1395</v>
      </c>
      <c r="C73" s="2351">
        <f ca="1">C74+C78</f>
        <v>747</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1396</v>
      </c>
      <c r="C74" s="162">
        <f>ROUND(IF(G77="2016年5月1日后购买",C75/(1+'数据-取费表'!C42)+C76+C77,C75+C76+C77),0)</f>
        <v>742</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1" t="s">
        <v>331</v>
      </c>
      <c r="B75" s="162" t="s">
        <v>1397</v>
      </c>
      <c r="C75" s="2353">
        <f>C66</f>
        <v>469.92421300000001</v>
      </c>
      <c r="D75" s="162" t="s">
        <v>26</v>
      </c>
      <c r="E75" s="176" t="s">
        <v>1398</v>
      </c>
      <c r="F75" s="2354" t="s">
        <v>3553</v>
      </c>
      <c r="G75" s="176" t="s">
        <v>1399</v>
      </c>
      <c r="H75" s="2355">
        <v>11</v>
      </c>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3178" t="s">
        <v>3718</v>
      </c>
      <c r="C76" s="162">
        <f>IF(F75="购房发票",ROUND(C75*H75*D76,0),0)</f>
        <v>258</v>
      </c>
      <c r="D76" s="2356">
        <v>0.05</v>
      </c>
      <c r="E76" s="3306" t="s">
        <v>1400</v>
      </c>
      <c r="F76" s="3280"/>
      <c r="G76" s="3280"/>
      <c r="H76" s="3331"/>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1401</v>
      </c>
      <c r="C77" s="162">
        <f>ROUND(IF(G77="个人住宅",0,IF(G77="2016年5月1日前购买",C75*D77,C75*D77/(1+'数据-取费表'!C42))),0)</f>
        <v>14</v>
      </c>
      <c r="D77" s="2357">
        <f>'数据-取费表'!B48+'数据-取费表'!B49</f>
        <v>3.0499999999999999E-2</v>
      </c>
      <c r="E77" s="12" t="s">
        <v>1402</v>
      </c>
      <c r="F77" s="177"/>
      <c r="G77" s="1681" t="s">
        <v>3554</v>
      </c>
      <c r="H77" s="2149"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1403</v>
      </c>
      <c r="C78" s="2358">
        <f ca="1">ROUND(D45*D78/(1+'数据-取费表'!C42),0)</f>
        <v>5</v>
      </c>
      <c r="D78" s="2359">
        <f>'数据-取费表'!B43</f>
        <v>6.000000000000001E-3</v>
      </c>
      <c r="E78" s="3290" t="s">
        <v>1404</v>
      </c>
      <c r="F78" s="3291"/>
      <c r="G78" s="3291"/>
      <c r="H78" s="3300"/>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5" t="s">
        <v>334</v>
      </c>
      <c r="B79" s="166" t="s">
        <v>1405</v>
      </c>
      <c r="C79" s="2351">
        <f ca="1">C72-C73</f>
        <v>37</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3179" t="s">
        <v>3721</v>
      </c>
      <c r="C80" s="2360">
        <f ca="1">IF(C79&lt;=0,0,C79/C73)</f>
        <v>4.9531459170013385E-2</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8" t="s">
        <v>336</v>
      </c>
      <c r="B81" s="169" t="s">
        <v>1407</v>
      </c>
      <c r="C81" s="2361">
        <f ca="1">ROUND(IF(C80&lt;=0,0,IF(C80&gt;=200%,C79*60%-C73*35%,IF(C80&gt;=100%,C79*50%-C73*15%,IF(C80&gt;=50%,C79*40%-C73*5%,IF(C80&lt;50%,C79*30%,0))))),0)</f>
        <v>11</v>
      </c>
      <c r="D81" s="2362"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32" t="s">
        <v>1408</v>
      </c>
      <c r="B83" s="3333"/>
      <c r="C83" s="3333"/>
      <c r="D83" s="3333"/>
      <c r="E83" s="3333"/>
      <c r="F83" s="3333"/>
      <c r="G83" s="3333"/>
      <c r="H83" s="3333"/>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11" t="s">
        <v>1375</v>
      </c>
      <c r="B84" s="3312"/>
      <c r="C84" s="1864"/>
      <c r="D84" s="1864" t="s">
        <v>1376</v>
      </c>
      <c r="E84" s="171" t="s">
        <v>1377</v>
      </c>
      <c r="F84" s="172"/>
      <c r="G84" s="172"/>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5" t="s">
        <v>330</v>
      </c>
      <c r="B85" s="166" t="s">
        <v>1394</v>
      </c>
      <c r="C85" s="2351">
        <f ca="1">ROUND(D45/(1+'数据-取费表'!C42),0)</f>
        <v>784</v>
      </c>
      <c r="D85" s="162"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5" t="s">
        <v>327</v>
      </c>
      <c r="B86" s="155" t="s">
        <v>1395</v>
      </c>
      <c r="C86" s="2351">
        <f ca="1">IF(H88="仅含出让金",C87+C90+C91+C92+C93+C94,C87+C91+C92+C93+C94)</f>
        <v>5</v>
      </c>
      <c r="D86" s="2363"/>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1" t="s">
        <v>325</v>
      </c>
      <c r="B87" s="162" t="s">
        <v>1409</v>
      </c>
      <c r="C87" s="2358">
        <f>C88+C89</f>
        <v>0</v>
      </c>
      <c r="D87" s="2359"/>
      <c r="E87" s="2145"/>
      <c r="F87" s="2146"/>
      <c r="G87" s="2146"/>
      <c r="H87" s="2147"/>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1" t="s">
        <v>331</v>
      </c>
      <c r="B88" s="162" t="s">
        <v>1410</v>
      </c>
      <c r="C88" s="2364"/>
      <c r="D88" s="2359"/>
      <c r="E88" s="184" t="s">
        <v>1411</v>
      </c>
      <c r="F88" s="2146"/>
      <c r="G88" s="185" t="s">
        <v>1412</v>
      </c>
      <c r="H88" s="1683"/>
      <c r="I88" s="1680"/>
      <c r="J88" s="2305" t="s">
        <v>2272</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1" t="s">
        <v>332</v>
      </c>
      <c r="B89" s="162" t="s">
        <v>1401</v>
      </c>
      <c r="C89" s="2358">
        <f>ROUND(C88*D89,0)</f>
        <v>0</v>
      </c>
      <c r="D89" s="2359">
        <f>'数据-取费表'!B48+'数据-取费表'!B49</f>
        <v>3.0499999999999999E-2</v>
      </c>
      <c r="E89" s="184" t="s">
        <v>1413</v>
      </c>
      <c r="F89" s="2146"/>
      <c r="G89" s="2146"/>
      <c r="H89" s="2147"/>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1" t="s">
        <v>326</v>
      </c>
      <c r="B90" s="162" t="s">
        <v>1414</v>
      </c>
      <c r="C90" s="2364"/>
      <c r="D90" s="2359"/>
      <c r="E90" s="184" t="str">
        <f>IF(H88="-","土地取得成本中已包含该笔费用"," ")</f>
        <v xml:space="preserve"> </v>
      </c>
      <c r="F90" s="2146"/>
      <c r="G90" s="3372" t="s">
        <v>2125</v>
      </c>
      <c r="H90" s="3373"/>
      <c r="I90" s="1680"/>
      <c r="J90" s="2305" t="s">
        <v>2273</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1415</v>
      </c>
      <c r="B91" s="162" t="s">
        <v>1416</v>
      </c>
      <c r="C91" s="2358">
        <f>IF(H91="——",成本法!C33,I91)</f>
        <v>0</v>
      </c>
      <c r="D91" s="2359"/>
      <c r="E91" s="3290" t="s">
        <v>1417</v>
      </c>
      <c r="F91" s="3291"/>
      <c r="G91" s="3291"/>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1418</v>
      </c>
      <c r="B92" s="162" t="s">
        <v>1419</v>
      </c>
      <c r="C92" s="2358">
        <f>ROUND((C87+C90+C91)*D92,0)</f>
        <v>0</v>
      </c>
      <c r="D92" s="2365"/>
      <c r="E92" s="3290" t="s">
        <v>1420</v>
      </c>
      <c r="F92" s="3291"/>
      <c r="G92" s="3291"/>
      <c r="H92" s="3300"/>
      <c r="I92" s="1680"/>
      <c r="J92" s="2306" t="s">
        <v>2274</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1421</v>
      </c>
      <c r="B93" s="162" t="s">
        <v>1403</v>
      </c>
      <c r="C93" s="2358">
        <f ca="1">ROUND(D45*D93/(1+'数据-取费表'!C42),0)</f>
        <v>5</v>
      </c>
      <c r="D93" s="2359">
        <f>'数据-取费表'!B43</f>
        <v>6.000000000000001E-3</v>
      </c>
      <c r="E93" s="3290" t="s">
        <v>1404</v>
      </c>
      <c r="F93" s="3291"/>
      <c r="G93" s="3291"/>
      <c r="H93" s="3300"/>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1422</v>
      </c>
      <c r="B94" s="162" t="s">
        <v>1423</v>
      </c>
      <c r="C94" s="2364">
        <f>ROUND((C87+C90+C91)*D94,0)</f>
        <v>0</v>
      </c>
      <c r="D94" s="2359">
        <v>0.2</v>
      </c>
      <c r="E94" s="3301" t="s">
        <v>1424</v>
      </c>
      <c r="F94" s="3302"/>
      <c r="G94" s="3302"/>
      <c r="H94" s="3303"/>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5" t="s">
        <v>334</v>
      </c>
      <c r="B95" s="166" t="s">
        <v>1405</v>
      </c>
      <c r="C95" s="2351">
        <f ca="1">ROUND(C85-C86,0)</f>
        <v>779</v>
      </c>
      <c r="D95" s="162"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1406</v>
      </c>
      <c r="C96" s="2360">
        <f ca="1">IF(C95&lt;=0,0,C95/C86)</f>
        <v>155.80000000000001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8" t="s">
        <v>336</v>
      </c>
      <c r="B97" s="169" t="s">
        <v>1407</v>
      </c>
      <c r="C97" s="2361">
        <f ca="1">ROUND(IF(C95&lt;=0,0,IF(C96&gt;=200%,C95*60%-C86*35%,IF(C96&gt;=100%,C95*50%-C86*15%,IF(C96&gt;=50%,C95*40%-C86*5%,IF(C96&lt;50%,C95*30%,0))))),0)</f>
        <v>466</v>
      </c>
      <c r="D97" s="2362"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1425</v>
      </c>
      <c r="B99" s="645"/>
      <c r="C99" s="645"/>
      <c r="D99" s="645"/>
      <c r="E99" s="1465"/>
      <c r="F99" s="1465"/>
      <c r="G99" s="1465"/>
      <c r="H99" s="1466"/>
      <c r="I99" s="121"/>
    </row>
    <row r="100" spans="1:35" ht="18.75" customHeight="1">
      <c r="A100" s="3274" t="s">
        <v>1426</v>
      </c>
      <c r="B100" s="3275"/>
      <c r="C100" s="3275"/>
      <c r="D100" s="3292"/>
      <c r="E100" s="3275" t="s">
        <v>1427</v>
      </c>
      <c r="F100" s="3275"/>
      <c r="G100" s="3275"/>
      <c r="H100" s="3292"/>
      <c r="I100" s="121"/>
    </row>
    <row r="101" spans="1:35" ht="18.75" customHeight="1">
      <c r="A101" s="3353" t="s">
        <v>1428</v>
      </c>
      <c r="B101" s="3354"/>
      <c r="C101" s="2367" t="str">
        <f>C4</f>
        <v>比较法-商业</v>
      </c>
      <c r="D101" s="2368" t="str">
        <f>D4</f>
        <v>成本法 (元)</v>
      </c>
      <c r="E101" s="3367" t="s">
        <v>1429</v>
      </c>
      <c r="F101" s="3324"/>
      <c r="G101" s="1686" t="s">
        <v>1430</v>
      </c>
      <c r="H101" s="2377">
        <f ca="1">H118</f>
        <v>823</v>
      </c>
      <c r="I101" s="121"/>
    </row>
    <row r="102" spans="1:35" ht="18.75" customHeight="1">
      <c r="A102" s="3326" t="s">
        <v>1431</v>
      </c>
      <c r="B102" s="2366" t="s">
        <v>1430</v>
      </c>
      <c r="C102" s="2367">
        <f ca="1">IF(D32="楼面单价",ROUND(C19,0),C19)</f>
        <v>779.2174</v>
      </c>
      <c r="D102" s="2368">
        <f ca="1">IF(D32="楼面单价",ROUND(D19,0),D19)</f>
        <v>865.79449999999997</v>
      </c>
      <c r="E102" s="3367"/>
      <c r="F102" s="3324"/>
      <c r="G102" s="1686" t="s">
        <v>1432</v>
      </c>
      <c r="H102" s="2338">
        <f ca="1">I118</f>
        <v>1295</v>
      </c>
      <c r="I102" s="121"/>
    </row>
    <row r="103" spans="1:35" ht="42.75" customHeight="1">
      <c r="A103" s="3326"/>
      <c r="B103" s="2366" t="s">
        <v>1432</v>
      </c>
      <c r="C103" s="2369">
        <f ca="1">C20</f>
        <v>68708</v>
      </c>
      <c r="D103" s="2370">
        <f ca="1">D20</f>
        <v>76342</v>
      </c>
      <c r="E103" s="3361" t="s">
        <v>1433</v>
      </c>
      <c r="F103" s="3362"/>
      <c r="G103" s="1687" t="s">
        <v>1434</v>
      </c>
      <c r="H103" s="2377">
        <f>IF(D36="正常操作",H104+H105+H106,H105+H106)</f>
        <v>0</v>
      </c>
      <c r="I103" s="121"/>
    </row>
    <row r="104" spans="1:35" ht="18.75" customHeight="1">
      <c r="A104" s="3326" t="s">
        <v>1435</v>
      </c>
      <c r="B104" s="2371" t="s">
        <v>1430</v>
      </c>
      <c r="C104" s="2372">
        <f ca="1">H118</f>
        <v>823</v>
      </c>
      <c r="D104" s="2373"/>
      <c r="E104" s="1554" t="s">
        <v>1436</v>
      </c>
      <c r="F104" s="1547"/>
      <c r="G104" s="1687" t="s">
        <v>1434</v>
      </c>
      <c r="H104" s="2378">
        <f>IF(D36="同一抵押权人同一抵押物续贷",C36&amp;"（续贷，未扣减，详见特别提示）",C36)</f>
        <v>0</v>
      </c>
      <c r="I104" s="121"/>
    </row>
    <row r="105" spans="1:35" ht="18.75" customHeight="1" thickBot="1">
      <c r="A105" s="3327"/>
      <c r="B105" s="2374" t="s">
        <v>1432</v>
      </c>
      <c r="C105" s="2375">
        <f ca="1">I118</f>
        <v>1295</v>
      </c>
      <c r="D105" s="2376"/>
      <c r="E105" s="1554" t="s">
        <v>1437</v>
      </c>
      <c r="F105" s="1547"/>
      <c r="G105" s="1687" t="s">
        <v>1434</v>
      </c>
      <c r="H105" s="2379">
        <f>C37</f>
        <v>0</v>
      </c>
      <c r="I105" s="121"/>
    </row>
    <row r="106" spans="1:35" ht="18.75" customHeight="1">
      <c r="A106" s="645" t="s">
        <v>1438</v>
      </c>
      <c r="B106" s="645"/>
      <c r="C106" s="645"/>
      <c r="D106" s="645"/>
      <c r="E106" s="1688" t="s">
        <v>1439</v>
      </c>
      <c r="F106" s="1547"/>
      <c r="G106" s="1687" t="s">
        <v>1434</v>
      </c>
      <c r="H106" s="2379">
        <f>C38</f>
        <v>0</v>
      </c>
      <c r="I106" s="121"/>
    </row>
    <row r="107" spans="1:35" ht="18.75" customHeight="1">
      <c r="A107" s="121"/>
      <c r="B107" s="121"/>
      <c r="C107" s="121"/>
      <c r="D107" s="121"/>
      <c r="E107" s="3323" t="str">
        <f>IF(项目基本情况!E8="已注销","——","3.房地产抵押价值")</f>
        <v>3.房地产抵押价值</v>
      </c>
      <c r="F107" s="3324"/>
      <c r="G107" s="1686" t="s">
        <v>1430</v>
      </c>
      <c r="H107" s="2377">
        <f ca="1">IF(E107="——","——",H101-H103)</f>
        <v>823</v>
      </c>
      <c r="I107" s="121"/>
    </row>
    <row r="108" spans="1:35" ht="18.75" customHeight="1">
      <c r="A108" s="121"/>
      <c r="B108" s="121"/>
      <c r="C108" s="121"/>
      <c r="D108" s="121"/>
      <c r="E108" s="3323"/>
      <c r="F108" s="3324"/>
      <c r="G108" s="1686" t="s">
        <v>1432</v>
      </c>
      <c r="H108" s="2338">
        <f ca="1">IF(H107=H101,H102,ROUND(H107*10000/'数据-汇总表'!E3,0))</f>
        <v>1295</v>
      </c>
      <c r="I108" s="121"/>
    </row>
    <row r="109" spans="1:35" ht="18.75" customHeight="1">
      <c r="A109" s="121"/>
      <c r="B109" s="121"/>
      <c r="C109" s="121"/>
      <c r="D109" s="121"/>
      <c r="E109" s="3323" t="str">
        <f>IF(项目基本情况!E8="已注销及未注销","4.抵押担保权已注销时的房地产抵押价值",IF(项目基本情况!E8="已注销","3.抵押担保权已注销时的房地产抵押价值","——"))</f>
        <v>——</v>
      </c>
      <c r="F109" s="3324"/>
      <c r="G109" s="1686" t="s">
        <v>1430</v>
      </c>
      <c r="H109" s="2380" t="str">
        <f>IF(E109="——","——",H101-H105-H106)</f>
        <v>——</v>
      </c>
      <c r="I109" s="121"/>
    </row>
    <row r="110" spans="1:35" ht="18.75" customHeight="1">
      <c r="A110" s="121"/>
      <c r="B110" s="121"/>
      <c r="C110" s="121"/>
      <c r="D110" s="121"/>
      <c r="E110" s="3323"/>
      <c r="F110" s="3324"/>
      <c r="G110" s="1686" t="s">
        <v>1432</v>
      </c>
      <c r="H110" s="2338" t="str">
        <f>IF(H109="——","——",ROUND(H109*10000/'数据-汇总表'!E3,0))</f>
        <v>——</v>
      </c>
      <c r="I110" s="121"/>
    </row>
    <row r="111" spans="1:35" ht="18.75" customHeight="1">
      <c r="A111" s="121"/>
      <c r="B111" s="121"/>
      <c r="C111" s="121"/>
      <c r="D111" s="121"/>
      <c r="E111" s="3355" t="str">
        <f>IF(项目基本情况!E9="抵押净值",IF(OR(项目基本情况!E8="已注销",项目基本情况!E8="房地产抵押价值"),"4.抵押净值","5.抵押净值"),"——")</f>
        <v>4.抵押净值</v>
      </c>
      <c r="F111" s="3325"/>
      <c r="G111" s="1686" t="s">
        <v>1430</v>
      </c>
      <c r="H111" s="2377">
        <f ca="1">IF(E111="——","——",N59)</f>
        <v>794</v>
      </c>
      <c r="I111" s="121"/>
    </row>
    <row r="112" spans="1:35" ht="18.75" customHeight="1" thickBot="1">
      <c r="A112" s="121"/>
      <c r="B112" s="121"/>
      <c r="C112" s="121"/>
      <c r="D112" s="121"/>
      <c r="E112" s="3356"/>
      <c r="F112" s="3357"/>
      <c r="G112" s="1689" t="s">
        <v>1432</v>
      </c>
      <c r="H112" s="2381">
        <f ca="1">IF(E111="——","——",N61)</f>
        <v>1249</v>
      </c>
      <c r="I112" s="121"/>
    </row>
    <row r="113" spans="1:27" ht="18.75" customHeight="1">
      <c r="A113" s="121"/>
      <c r="B113" s="121"/>
      <c r="C113" s="121"/>
      <c r="D113" s="121"/>
      <c r="E113" s="3328" t="s">
        <v>1438</v>
      </c>
      <c r="F113" s="3328"/>
      <c r="G113" s="3328"/>
      <c r="H113" s="3328"/>
      <c r="I113" s="121"/>
    </row>
    <row r="114" spans="1:27" ht="3.75" customHeight="1">
      <c r="A114" s="645"/>
      <c r="B114" s="645"/>
      <c r="C114" s="645"/>
      <c r="D114" s="645"/>
      <c r="E114" s="1670"/>
      <c r="F114" s="1670"/>
      <c r="G114" s="1670"/>
      <c r="H114" s="1670"/>
      <c r="I114" s="645"/>
    </row>
    <row r="115" spans="1:27" ht="18.75" customHeight="1">
      <c r="A115" s="3338" t="s">
        <v>1440</v>
      </c>
      <c r="B115" s="3339"/>
      <c r="C115" s="3339"/>
      <c r="D115" s="3339"/>
      <c r="E115" s="3339"/>
      <c r="F115" s="3339"/>
      <c r="G115" s="3339"/>
      <c r="H115" s="3339"/>
      <c r="I115" s="3340"/>
    </row>
    <row r="116" spans="1:27" ht="27" customHeight="1">
      <c r="A116" s="3294" t="s">
        <v>1441</v>
      </c>
      <c r="B116" s="3329" t="s">
        <v>1442</v>
      </c>
      <c r="C116" s="3329" t="s">
        <v>1443</v>
      </c>
      <c r="D116" s="3342" t="s">
        <v>1444</v>
      </c>
      <c r="E116" s="3343"/>
      <c r="F116" s="3337" t="s">
        <v>1445</v>
      </c>
      <c r="G116" s="3337"/>
      <c r="H116" s="3294" t="s">
        <v>1446</v>
      </c>
      <c r="I116" s="3294"/>
    </row>
    <row r="117" spans="1:27" ht="18.75" customHeight="1">
      <c r="A117" s="3294"/>
      <c r="B117" s="3330"/>
      <c r="C117" s="3330"/>
      <c r="D117" s="2148" t="s">
        <v>1447</v>
      </c>
      <c r="E117" s="2148" t="s">
        <v>1448</v>
      </c>
      <c r="F117" s="2148" t="s">
        <v>1447</v>
      </c>
      <c r="G117" s="2148" t="s">
        <v>1449</v>
      </c>
      <c r="H117" s="2148" t="s">
        <v>1447</v>
      </c>
      <c r="I117" s="2148" t="s">
        <v>1449</v>
      </c>
    </row>
    <row r="118" spans="1:27" ht="24.75" customHeight="1">
      <c r="A118" s="2382" t="str">
        <f>项目基本情况!S2</f>
        <v>北京市房地产</v>
      </c>
      <c r="B118" s="2148">
        <f>M18</f>
        <v>6356.88</v>
      </c>
      <c r="C118" s="2148">
        <f>M19</f>
        <v>0</v>
      </c>
      <c r="D118" s="2148">
        <f ca="1">ROUND(IF(D32="总价",C34,E118*B118/10000),0)</f>
        <v>817</v>
      </c>
      <c r="E118" s="2148">
        <f ca="1">ROUND(IF(C33="自定义",IF(D32="楼面单价",C34,D118*10000/B118),I118-G118),0)</f>
        <v>1286</v>
      </c>
      <c r="F118" s="2148">
        <f ca="1">ROUND(IF(D32="总价",C35,G118*B118/10000),0)</f>
        <v>6</v>
      </c>
      <c r="G118" s="2148">
        <f ca="1">ROUND(IF(D32="楼面单价",C35,F118*10000/B118),0)</f>
        <v>9</v>
      </c>
      <c r="H118" s="2148">
        <f ca="1">ROUND(IF(D32="总价",C32,I118*B118/10000),0)</f>
        <v>823</v>
      </c>
      <c r="I118" s="2148">
        <f ca="1">ROUND(IF(D32="楼面单价",C32,H118*10000/B118),0)</f>
        <v>1295</v>
      </c>
    </row>
    <row r="119" spans="1:27" ht="18.75" customHeight="1">
      <c r="A119" s="3294" t="s">
        <v>1450</v>
      </c>
      <c r="B119" s="3294"/>
      <c r="C119" s="3294"/>
      <c r="D119" s="3334" t="str">
        <f ca="1">NUMBERSTRING(INT(D118*10000),2)&amp;"元整"</f>
        <v>捌佰壹拾柒万元整</v>
      </c>
      <c r="E119" s="3336"/>
      <c r="F119" s="3334" t="str">
        <f ca="1">NUMBERSTRING(INT(F118*10000),2)&amp;"元整"</f>
        <v>陆万元整</v>
      </c>
      <c r="G119" s="3336"/>
      <c r="H119" s="3334" t="str">
        <f ca="1">NUMBERSTRING(INT(H118*10000),2)&amp;"元整"</f>
        <v>捌佰贰拾叁万元整</v>
      </c>
      <c r="I119" s="3336"/>
    </row>
    <row r="120" spans="1:27" ht="18.75" customHeight="1">
      <c r="A120" s="3358" t="str">
        <f>IF(项目基本情况!B9="房地产市场价值","",MID(E103,3,LEN(E103)-2))</f>
        <v>估价师知悉的法定优先受偿款</v>
      </c>
      <c r="B120" s="3359"/>
      <c r="C120" s="3360"/>
      <c r="D120" s="3358">
        <f>H103</f>
        <v>0</v>
      </c>
      <c r="E120" s="3359"/>
      <c r="F120" s="3359"/>
      <c r="G120" s="3359"/>
      <c r="H120" s="3359"/>
      <c r="I120" s="3360"/>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34" t="s">
        <v>1450</v>
      </c>
      <c r="B121" s="3335"/>
      <c r="C121" s="3336"/>
      <c r="D121" s="3334" t="str">
        <f>IF(D120=0,"零元整",NUMBERSTRING(INT(D120*10000),2)&amp;"元整")</f>
        <v>零元整</v>
      </c>
      <c r="E121" s="3335"/>
      <c r="F121" s="3335"/>
      <c r="G121" s="3335"/>
      <c r="H121" s="3335"/>
      <c r="I121" s="3336"/>
      <c r="AA121" s="683"/>
    </row>
    <row r="122" spans="1:27" ht="18.75" customHeight="1">
      <c r="A122" s="3325" t="str">
        <f>IF(项目基本情况!B9="房地产市场价值","",MID(E107,3,LEN(E107)-2))</f>
        <v>房地产抵押价值</v>
      </c>
      <c r="B122" s="3325"/>
      <c r="C122" s="3325"/>
      <c r="D122" s="3358">
        <f ca="1">H107</f>
        <v>823</v>
      </c>
      <c r="E122" s="3359"/>
      <c r="F122" s="3359"/>
      <c r="G122" s="3359"/>
      <c r="H122" s="3359"/>
      <c r="I122" s="3360"/>
      <c r="AA122" s="683"/>
    </row>
    <row r="123" spans="1:27" ht="18.75" customHeight="1">
      <c r="A123" s="3294" t="s">
        <v>1450</v>
      </c>
      <c r="B123" s="3294"/>
      <c r="C123" s="3294"/>
      <c r="D123" s="3334" t="str">
        <f ca="1">NUMBERSTRING(INT(D122*10000),2)&amp;"元整"</f>
        <v>捌佰贰拾叁万元整</v>
      </c>
      <c r="E123" s="3335"/>
      <c r="F123" s="3335"/>
      <c r="G123" s="3335"/>
      <c r="H123" s="3335"/>
      <c r="I123" s="3336"/>
      <c r="AA123" s="683"/>
    </row>
    <row r="124" spans="1:27" ht="18.75" customHeight="1">
      <c r="A124" s="3325" t="str">
        <f>IF(项目基本情况!B9="房地产市场价值","",MID(E109,3,LEN(E109)-2))</f>
        <v/>
      </c>
      <c r="B124" s="3325"/>
      <c r="C124" s="3325"/>
      <c r="D124" s="3358" t="str">
        <f>H109</f>
        <v>——</v>
      </c>
      <c r="E124" s="3359"/>
      <c r="F124" s="3359"/>
      <c r="G124" s="3359"/>
      <c r="H124" s="3359"/>
      <c r="I124" s="3360"/>
      <c r="AA124" s="683"/>
    </row>
    <row r="125" spans="1:27" ht="18.75" customHeight="1">
      <c r="A125" s="3294" t="s">
        <v>1450</v>
      </c>
      <c r="B125" s="3294"/>
      <c r="C125" s="3294"/>
      <c r="D125" s="3334" t="e">
        <f>NUMBERSTRING(INT(D124*10000),2)&amp;"元整"</f>
        <v>#VALUE!</v>
      </c>
      <c r="E125" s="3335"/>
      <c r="F125" s="3335"/>
      <c r="G125" s="3335"/>
      <c r="H125" s="3335"/>
      <c r="I125" s="3336"/>
      <c r="AA125" s="683"/>
    </row>
    <row r="126" spans="1:27" ht="18.75" customHeight="1">
      <c r="A126" s="3325" t="str">
        <f>IF(项目基本情况!B9="房地产市场价值","",MID(E111,3,LEN(E111)-2))</f>
        <v>抵押净值</v>
      </c>
      <c r="B126" s="3325"/>
      <c r="C126" s="3325"/>
      <c r="D126" s="3358">
        <f ca="1">H111</f>
        <v>794</v>
      </c>
      <c r="E126" s="3359"/>
      <c r="F126" s="3359"/>
      <c r="G126" s="3359"/>
      <c r="H126" s="3359"/>
      <c r="I126" s="3360"/>
      <c r="AA126" s="683"/>
    </row>
    <row r="127" spans="1:27" ht="18.75" customHeight="1">
      <c r="A127" s="3294" t="s">
        <v>1450</v>
      </c>
      <c r="B127" s="3294"/>
      <c r="C127" s="3294"/>
      <c r="D127" s="3334" t="str">
        <f ca="1">NUMBERSTRING(INT(D126*10000),2)&amp;"元整"</f>
        <v>柒佰玖拾肆万元整</v>
      </c>
      <c r="E127" s="3335"/>
      <c r="F127" s="3335"/>
      <c r="G127" s="3335"/>
      <c r="H127" s="3335"/>
      <c r="I127" s="3336"/>
      <c r="AA127" s="683"/>
    </row>
    <row r="128" spans="1:27" ht="21.75" customHeight="1">
      <c r="A128" s="3341" t="s">
        <v>1451</v>
      </c>
      <c r="B128" s="3341"/>
      <c r="C128" s="3341"/>
      <c r="D128" s="3341"/>
      <c r="E128" s="3341"/>
      <c r="F128" s="3341"/>
      <c r="G128" s="3341"/>
      <c r="H128" s="3341"/>
      <c r="I128" s="3341"/>
      <c r="AA128" s="683"/>
    </row>
    <row r="129" spans="1:35" ht="21.75" customHeight="1">
      <c r="A129" s="1690" t="s">
        <v>1452</v>
      </c>
      <c r="B129" s="1691"/>
      <c r="C129" s="1692" t="s">
        <v>1453</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1454</v>
      </c>
      <c r="G135" s="1705"/>
      <c r="H135" s="1705"/>
      <c r="I135" s="1706" t="s">
        <v>1455</v>
      </c>
    </row>
    <row r="136" spans="1:35" ht="21.75" customHeight="1">
      <c r="A136" s="683"/>
      <c r="B136" s="1707" t="s">
        <v>1456</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1457</v>
      </c>
    </row>
    <row r="139" spans="1:35" ht="21.75" customHeight="1">
      <c r="A139" s="683"/>
      <c r="B139" s="1707" t="s">
        <v>1458</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1457</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500-000000000000}">
      <formula1>估价方法</formula1>
    </dataValidation>
    <dataValidation type="list" allowBlank="1" showInputMessage="1" showErrorMessage="1" sqref="H55:H56" xr:uid="{00000000-0002-0000-1500-000001000000}">
      <formula1>"个人住宅,正常"</formula1>
    </dataValidation>
    <dataValidation type="list" allowBlank="1" showInputMessage="1" showErrorMessage="1" sqref="H48" xr:uid="{00000000-0002-0000-1500-000002000000}">
      <formula1>"情况1,情况2,情况3,情况4"</formula1>
    </dataValidation>
    <dataValidation type="list" allowBlank="1" showInputMessage="1" showErrorMessage="1" sqref="H58" xr:uid="{00000000-0002-0000-1500-000003000000}">
      <formula1>"转让取得,自行开发建设"</formula1>
    </dataValidation>
    <dataValidation type="list" allowBlank="1" showInputMessage="1" showErrorMessage="1" sqref="D32" xr:uid="{00000000-0002-0000-1500-000004000000}">
      <formula1>"总价,楼面单价"</formula1>
    </dataValidation>
    <dataValidation type="list" allowBlank="1" showInputMessage="1" showErrorMessage="1" sqref="F45" xr:uid="{00000000-0002-0000-1500-000005000000}">
      <formula1>"100%,70%,56%"</formula1>
    </dataValidation>
    <dataValidation type="list" allowBlank="1" showInputMessage="1" showErrorMessage="1" sqref="C33" xr:uid="{00000000-0002-0000-1500-000006000000}">
      <formula1>"成本比率,收益比率,自定义"</formula1>
    </dataValidation>
    <dataValidation type="list" allowBlank="1" showInputMessage="1" showErrorMessage="1" sqref="H91" xr:uid="{00000000-0002-0000-1500-000007000000}">
      <formula1>"企业提供（在右侧录入）,——"</formula1>
    </dataValidation>
    <dataValidation type="list" allowBlank="1" showInputMessage="1" showErrorMessage="1" sqref="H88" xr:uid="{00000000-0002-0000-1500-000008000000}">
      <formula1>"仅含出让金,出让金+开发费"</formula1>
    </dataValidation>
    <dataValidation type="list" allowBlank="1" showInputMessage="1" showErrorMessage="1" sqref="F75" xr:uid="{00000000-0002-0000-1500-000009000000}">
      <formula1>"买卖合同,购房发票"</formula1>
    </dataValidation>
    <dataValidation type="list" allowBlank="1" showInputMessage="1" showErrorMessage="1" sqref="D36" xr:uid="{00000000-0002-0000-1500-00000A000000}">
      <formula1>"同一抵押权人同一抵押物续贷,注销后放款,正常操作"</formula1>
    </dataValidation>
    <dataValidation type="list" allowBlank="1" showInputMessage="1" showErrorMessage="1" sqref="B116:B117" xr:uid="{00000000-0002-0000-1500-00000B000000}">
      <formula1>"建筑面积,规划建筑面积,（规划）建筑面积"</formula1>
    </dataValidation>
    <dataValidation type="list" allowBlank="1" showInputMessage="1" showErrorMessage="1" sqref="C116:C117" xr:uid="{00000000-0002-0000-1500-00000C000000}">
      <formula1>"土地面积,分摊土地面积,（分摊）土地面积"</formula1>
    </dataValidation>
    <dataValidation type="list" allowBlank="1" showInputMessage="1" showErrorMessage="1" sqref="D116:E116" xr:uid="{00000000-0002-0000-1500-00000D000000}">
      <formula1>"出让国有建设用地使用权价值,划拨国有建设用地使用权价值"</formula1>
    </dataValidation>
    <dataValidation type="list" allowBlank="1" showInputMessage="1" showErrorMessage="1" sqref="F116:G116" xr:uid="{00000000-0002-0000-1500-00000E000000}">
      <formula1>"建筑物价值,在建建筑物价值,建筑物/在建建筑物价值"</formula1>
    </dataValidation>
    <dataValidation type="list" allowBlank="1" showInputMessage="1" showErrorMessage="1" sqref="C129" xr:uid="{00000000-0002-0000-1500-00000F000000}">
      <formula1>"无,有"</formula1>
    </dataValidation>
    <dataValidation type="list" showInputMessage="1" showErrorMessage="1" sqref="G1" xr:uid="{00000000-0002-0000-1500-000010000000}">
      <formula1>"现房,在建,土地,-"</formula1>
    </dataValidation>
    <dataValidation type="list" allowBlank="1" showInputMessage="1" showErrorMessage="1" sqref="I1" xr:uid="{00000000-0002-0000-1500-000011000000}">
      <formula1>"项目局部,项目全部,——"</formula1>
    </dataValidation>
    <dataValidation type="list" allowBlank="1" showInputMessage="1" showErrorMessage="1" sqref="C1" xr:uid="{00000000-0002-0000-1500-000012000000}">
      <formula1>项目类型</formula1>
    </dataValidation>
    <dataValidation type="list" allowBlank="1" showInputMessage="1" showErrorMessage="1" sqref="G77" xr:uid="{00000000-0002-0000-1500-000013000000}">
      <formula1>"个人住宅,2016年5月1日前购买,2016年5月1日后购买"</formula1>
    </dataValidation>
    <dataValidation type="list" allowBlank="1" showInputMessage="1" showErrorMessage="1" sqref="E103" xr:uid="{00000000-0002-0000-1500-000014000000}">
      <formula1>"2.估价师知悉的法定优先受偿款,2.估价师知悉的除抵押担保权以外的法定优先受偿款"</formula1>
    </dataValidation>
    <dataValidation type="list" allowBlank="1" showInputMessage="1" showErrorMessage="1" sqref="H59" xr:uid="{00000000-0002-0000-1500-000015000000}">
      <formula1>"非个人房产,个人住宅（满五唯一有凭证）,个人其他（有凭证）,个人其他（无凭证）"</formula1>
    </dataValidation>
    <dataValidation type="list" allowBlank="1" showInputMessage="1" showErrorMessage="1" sqref="D92" xr:uid="{00000000-0002-0000-15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4" man="1"/>
    <brk id="97" max="14"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topLeftCell="A19" zoomScale="90" zoomScaleNormal="70" zoomScaleSheetLayoutView="90" workbookViewId="0">
      <selection activeCell="E50" sqref="E50"/>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1658</v>
      </c>
      <c r="B1" s="1733" t="s">
        <v>1764</v>
      </c>
      <c r="C1" s="1154" t="s">
        <v>1660</v>
      </c>
      <c r="D1" s="1141" t="s">
        <v>3649</v>
      </c>
      <c r="E1" s="3121" t="s">
        <v>3654</v>
      </c>
      <c r="F1" s="1734" t="s">
        <v>3655</v>
      </c>
      <c r="G1" s="1151" t="s">
        <v>1765</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1460</v>
      </c>
      <c r="B2" s="1084">
        <f>IF(E1="项目模式",IF(C2="——",ROUND(C49*D3/10000,0),ROUND(C49*D3/10000,0)-D2),IF(E1="单套模式",IF(C2="——",ROUND(C49*D3/10000,4),ROUND(C49*D3/10000,4)-D2)))</f>
        <v>779.2174</v>
      </c>
      <c r="C2" s="1736" t="s">
        <v>43</v>
      </c>
      <c r="D2" s="1051" t="e">
        <f ca="1">IF(E1="项目模式",SUMIF(INDIRECT("'"&amp;F2&amp;"'"&amp;"!A:A"),"承租人权益价值",INDIRECT("'"&amp;F2&amp;"'"&amp;"!c:c")),SUMIF(INDIRECT("'"&amp;F2&amp;"'"&amp;"!A:A"),"承租人权益价值（单套）",INDIRECT("'"&amp;F2&amp;"'"&amp;"!c:c")))</f>
        <v>#REF!</v>
      </c>
      <c r="E2" s="1737" t="s">
        <v>1461</v>
      </c>
      <c r="F2" s="1738"/>
      <c r="G2" s="854"/>
      <c r="H2" s="854"/>
      <c r="I2" s="854"/>
      <c r="J2" s="854"/>
      <c r="K2" s="854"/>
      <c r="L2" s="2500"/>
      <c r="M2" s="2501"/>
      <c r="N2" s="2501"/>
      <c r="O2" s="2501"/>
      <c r="P2" s="1803"/>
      <c r="Q2" s="858"/>
      <c r="R2" s="858"/>
      <c r="S2" s="858"/>
      <c r="T2" s="858"/>
      <c r="U2" s="858"/>
      <c r="V2" s="858"/>
      <c r="W2" s="858"/>
      <c r="X2" s="858"/>
      <c r="Y2" s="858"/>
      <c r="Z2" s="858"/>
      <c r="AA2" s="858"/>
      <c r="AB2" s="858"/>
      <c r="AC2" s="1804"/>
    </row>
    <row r="3" spans="1:29" s="341" customFormat="1" ht="28.5" customHeight="1" thickBot="1">
      <c r="A3" s="194" t="s">
        <v>1462</v>
      </c>
      <c r="B3" s="535">
        <f>IF(C2="——",C49,ROUND(B2*10000/D3,0))</f>
        <v>68708</v>
      </c>
      <c r="C3" s="343" t="s">
        <v>1766</v>
      </c>
      <c r="D3" s="342">
        <f>IF(D1="",'数据-汇总表'!E3,SUMIF('数据-汇总表'!$C19:$C33,D1,'数据-汇总表'!$E19:$E33))</f>
        <v>113.41</v>
      </c>
      <c r="E3" s="1804"/>
      <c r="F3" s="855"/>
      <c r="G3" s="854"/>
      <c r="H3" s="854"/>
      <c r="I3" s="854"/>
      <c r="J3" s="854"/>
      <c r="K3" s="856"/>
      <c r="L3" s="2500"/>
      <c r="M3" s="2501"/>
      <c r="N3" s="2501"/>
      <c r="O3" s="2501"/>
      <c r="P3" s="1803"/>
      <c r="Q3" s="858"/>
      <c r="R3" s="858"/>
      <c r="S3" s="858"/>
      <c r="T3" s="858"/>
      <c r="U3" s="858"/>
      <c r="V3" s="858"/>
      <c r="W3" s="858"/>
      <c r="X3" s="858"/>
      <c r="Y3" s="858"/>
      <c r="Z3" s="858"/>
      <c r="AA3" s="858"/>
      <c r="AB3" s="858"/>
      <c r="AC3" s="1804"/>
    </row>
    <row r="4" spans="1:29" ht="15">
      <c r="A4" s="344" t="s">
        <v>1767</v>
      </c>
      <c r="B4" s="345"/>
      <c r="C4" s="3392" t="s">
        <v>1768</v>
      </c>
      <c r="D4" s="3393"/>
      <c r="E4" s="3394" t="s">
        <v>1769</v>
      </c>
      <c r="F4" s="3395"/>
      <c r="G4" s="3392" t="s">
        <v>1770</v>
      </c>
      <c r="H4" s="3393"/>
      <c r="I4" s="3392" t="s">
        <v>1771</v>
      </c>
      <c r="J4" s="3393"/>
      <c r="K4" s="536" t="s">
        <v>1772</v>
      </c>
      <c r="L4" s="2483"/>
      <c r="M4" s="2484"/>
      <c r="N4" s="2484"/>
      <c r="O4" s="2484"/>
      <c r="P4" s="3396" t="s">
        <v>1773</v>
      </c>
      <c r="Q4" s="3397"/>
      <c r="R4" s="3402" t="s">
        <v>1769</v>
      </c>
      <c r="S4" s="3403"/>
      <c r="T4" s="3402" t="s">
        <v>1770</v>
      </c>
      <c r="U4" s="3403"/>
      <c r="V4" s="3375" t="s">
        <v>1771</v>
      </c>
      <c r="W4" s="3375"/>
      <c r="X4" s="1264"/>
      <c r="Y4" s="3402" t="s">
        <v>1773</v>
      </c>
      <c r="Z4" s="3403"/>
      <c r="AA4" s="3389" t="s">
        <v>1769</v>
      </c>
      <c r="AB4" s="3375" t="s">
        <v>1770</v>
      </c>
      <c r="AC4" s="3389" t="s">
        <v>1771</v>
      </c>
    </row>
    <row r="5" spans="1:29" ht="15">
      <c r="A5" s="347"/>
      <c r="B5" s="348"/>
      <c r="C5" s="3415" t="s">
        <v>1671</v>
      </c>
      <c r="D5" s="3411"/>
      <c r="E5" s="3418" t="s">
        <v>3730</v>
      </c>
      <c r="F5" s="3419"/>
      <c r="G5" s="3410" t="s">
        <v>3707</v>
      </c>
      <c r="H5" s="3411"/>
      <c r="I5" s="3410" t="s">
        <v>3695</v>
      </c>
      <c r="J5" s="3411"/>
      <c r="K5" s="536"/>
      <c r="L5" s="2483"/>
      <c r="M5" s="2484"/>
      <c r="N5" s="2484"/>
      <c r="O5" s="2484"/>
      <c r="P5" s="3398"/>
      <c r="Q5" s="3399"/>
      <c r="R5" s="3404"/>
      <c r="S5" s="3405"/>
      <c r="T5" s="3404"/>
      <c r="U5" s="3405"/>
      <c r="V5" s="3375"/>
      <c r="W5" s="3375"/>
      <c r="X5" s="1264"/>
      <c r="Y5" s="3404"/>
      <c r="Z5" s="3405"/>
      <c r="AA5" s="3390"/>
      <c r="AB5" s="3375"/>
      <c r="AC5" s="3390"/>
    </row>
    <row r="6" spans="1:29" ht="15.75" thickBot="1">
      <c r="A6" s="349"/>
      <c r="B6" s="350"/>
      <c r="C6" s="3408" t="s">
        <v>1675</v>
      </c>
      <c r="D6" s="3409"/>
      <c r="E6" s="3416" t="s">
        <v>1675</v>
      </c>
      <c r="F6" s="3417"/>
      <c r="G6" s="3408" t="s">
        <v>1675</v>
      </c>
      <c r="H6" s="3409"/>
      <c r="I6" s="3408" t="s">
        <v>1675</v>
      </c>
      <c r="J6" s="3409"/>
      <c r="K6" s="536" t="s">
        <v>1676</v>
      </c>
      <c r="L6" s="2483"/>
      <c r="M6" s="2484"/>
      <c r="N6" s="2484"/>
      <c r="O6" s="2484"/>
      <c r="P6" s="3400"/>
      <c r="Q6" s="3401"/>
      <c r="R6" s="3404"/>
      <c r="S6" s="3405"/>
      <c r="T6" s="3406"/>
      <c r="U6" s="3407"/>
      <c r="V6" s="3375"/>
      <c r="W6" s="3375"/>
      <c r="X6" s="1264"/>
      <c r="Y6" s="3406"/>
      <c r="Z6" s="3407"/>
      <c r="AA6" s="3391"/>
      <c r="AB6" s="3375"/>
      <c r="AC6" s="3391"/>
    </row>
    <row r="7" spans="1:29" s="102" customFormat="1" ht="15.75" thickBot="1">
      <c r="A7" s="351" t="s">
        <v>1677</v>
      </c>
      <c r="B7" s="352"/>
      <c r="C7" s="353">
        <f>'数据-取费表'!B2</f>
        <v>45022</v>
      </c>
      <c r="D7" s="354">
        <v>100</v>
      </c>
      <c r="E7" s="355">
        <f>C7</f>
        <v>45022</v>
      </c>
      <c r="F7" s="356">
        <f>SUMIF(58:58,YEAR(E7)&amp;"-"&amp;MONTH(E7),59:59)</f>
        <v>100</v>
      </c>
      <c r="G7" s="355">
        <f>C7</f>
        <v>45022</v>
      </c>
      <c r="H7" s="354">
        <f>SUMIF(58:58,YEAR(G7)&amp;"-"&amp;MONTH(G7),59:59)</f>
        <v>100</v>
      </c>
      <c r="I7" s="355">
        <f>C7</f>
        <v>45022</v>
      </c>
      <c r="J7" s="354">
        <f>SUMIF(58:58,YEAR(I7)&amp;"-"&amp;MONTH(I7),59:59)</f>
        <v>100</v>
      </c>
      <c r="K7" s="38"/>
      <c r="L7" s="2485"/>
      <c r="M7" s="2436"/>
      <c r="N7" s="2436"/>
      <c r="O7" s="2436"/>
      <c r="P7" s="3412" t="s">
        <v>1678</v>
      </c>
      <c r="Q7" s="3414"/>
      <c r="R7" s="663" t="s">
        <v>14</v>
      </c>
      <c r="S7" s="664">
        <f t="shared" ref="S7:S15" si="0">F7</f>
        <v>100</v>
      </c>
      <c r="T7" s="663" t="s">
        <v>14</v>
      </c>
      <c r="U7" s="664">
        <f t="shared" ref="U7:U15" si="1">H7</f>
        <v>100</v>
      </c>
      <c r="V7" s="663" t="s">
        <v>14</v>
      </c>
      <c r="W7" s="664">
        <f t="shared" ref="W7:W15" si="2">J7</f>
        <v>100</v>
      </c>
      <c r="X7" s="665"/>
      <c r="Y7" s="3412" t="s">
        <v>1678</v>
      </c>
      <c r="Z7" s="3413"/>
      <c r="AA7" s="50">
        <f>D7/F7</f>
        <v>1</v>
      </c>
      <c r="AB7" s="50">
        <f>D7/H7</f>
        <v>1</v>
      </c>
      <c r="AC7" s="50">
        <f>D7/J7</f>
        <v>1</v>
      </c>
    </row>
    <row r="8" spans="1:29" s="102" customFormat="1" ht="15.75" thickBot="1">
      <c r="A8" s="351" t="s">
        <v>1679</v>
      </c>
      <c r="B8" s="352"/>
      <c r="C8" s="357" t="s">
        <v>3555</v>
      </c>
      <c r="D8" s="354">
        <v>100</v>
      </c>
      <c r="E8" s="357" t="s">
        <v>3656</v>
      </c>
      <c r="F8" s="356">
        <f>SUMIF(61:61,E8,62:62)-SUMIF(61:61,C8,62:62)+100</f>
        <v>105</v>
      </c>
      <c r="G8" s="357" t="s">
        <v>3656</v>
      </c>
      <c r="H8" s="354">
        <f>SUMIF(61:61,G8,62:62)-SUMIF(61:61,C8,62:62)+100</f>
        <v>105</v>
      </c>
      <c r="I8" s="357" t="s">
        <v>3656</v>
      </c>
      <c r="J8" s="354">
        <f>SUMIF(61:61,I8,62:62)-SUMIF(61:61,C8,62:62)+100</f>
        <v>105</v>
      </c>
      <c r="K8" s="38"/>
      <c r="L8" s="2485"/>
      <c r="M8" s="2436"/>
      <c r="N8" s="2436"/>
      <c r="O8" s="2436"/>
      <c r="P8" s="3412" t="s">
        <v>1681</v>
      </c>
      <c r="Q8" s="3413"/>
      <c r="R8" s="663" t="s">
        <v>14</v>
      </c>
      <c r="S8" s="664">
        <f t="shared" si="0"/>
        <v>105</v>
      </c>
      <c r="T8" s="663" t="s">
        <v>14</v>
      </c>
      <c r="U8" s="664">
        <f t="shared" si="1"/>
        <v>105</v>
      </c>
      <c r="V8" s="663" t="s">
        <v>14</v>
      </c>
      <c r="W8" s="664">
        <f t="shared" si="2"/>
        <v>105</v>
      </c>
      <c r="X8" s="665"/>
      <c r="Y8" s="3412" t="s">
        <v>1681</v>
      </c>
      <c r="Z8" s="3413"/>
      <c r="AA8" s="50">
        <f t="shared" ref="AA8:AA46" si="3">D8/F8</f>
        <v>0.95238095238095233</v>
      </c>
      <c r="AB8" s="50">
        <f t="shared" ref="AB8:AB46" si="4">D8/H8</f>
        <v>0.95238095238095233</v>
      </c>
      <c r="AC8" s="50">
        <f t="shared" ref="AC8:AC46" si="5">D8/J8</f>
        <v>0.95238095238095233</v>
      </c>
    </row>
    <row r="9" spans="1:29" s="102" customFormat="1">
      <c r="A9" s="358" t="s">
        <v>1682</v>
      </c>
      <c r="B9" s="60" t="s">
        <v>1683</v>
      </c>
      <c r="C9" s="3166" t="s">
        <v>3658</v>
      </c>
      <c r="D9" s="59">
        <v>100</v>
      </c>
      <c r="E9" s="360" t="s">
        <v>673</v>
      </c>
      <c r="F9" s="60">
        <f>SUMIF(63:63,E9,64:64)-SUMIF(63:63,C9,64:64)+100</f>
        <v>100</v>
      </c>
      <c r="G9" s="360" t="s">
        <v>673</v>
      </c>
      <c r="H9" s="59">
        <f>SUMIF(63:63,G9,64:64)-SUMIF(63:63,C9,64:64)+100</f>
        <v>100</v>
      </c>
      <c r="I9" s="360" t="s">
        <v>673</v>
      </c>
      <c r="J9" s="59">
        <f>SUMIF(63:63,I9,64:64)-SUMIF(63:63,C9,64:64)+100</f>
        <v>100</v>
      </c>
      <c r="K9" s="38"/>
      <c r="L9" s="2485"/>
      <c r="M9" s="2436"/>
      <c r="N9" s="2436"/>
      <c r="O9" s="2436"/>
      <c r="P9" s="3388" t="s">
        <v>1684</v>
      </c>
      <c r="Q9" s="529" t="str">
        <f t="shared" ref="Q9:Q15" si="6">B9</f>
        <v>用途</v>
      </c>
      <c r="R9" s="663" t="s">
        <v>14</v>
      </c>
      <c r="S9" s="664">
        <f t="shared" si="0"/>
        <v>100</v>
      </c>
      <c r="T9" s="663" t="s">
        <v>14</v>
      </c>
      <c r="U9" s="664">
        <f t="shared" si="1"/>
        <v>100</v>
      </c>
      <c r="V9" s="663" t="s">
        <v>14</v>
      </c>
      <c r="W9" s="664">
        <f t="shared" si="2"/>
        <v>100</v>
      </c>
      <c r="X9" s="665"/>
      <c r="Y9" s="3281" t="s">
        <v>1685</v>
      </c>
      <c r="Z9" s="50" t="str">
        <f t="shared" ref="Z9:Z15" si="7">Q9</f>
        <v>用途</v>
      </c>
      <c r="AA9" s="50">
        <f t="shared" si="3"/>
        <v>1</v>
      </c>
      <c r="AB9" s="50">
        <f t="shared" si="4"/>
        <v>1</v>
      </c>
      <c r="AC9" s="50">
        <f t="shared" si="5"/>
        <v>1</v>
      </c>
    </row>
    <row r="10" spans="1:29" s="365" customFormat="1" ht="27">
      <c r="A10" s="362"/>
      <c r="B10" s="363" t="s">
        <v>1686</v>
      </c>
      <c r="C10" s="3129" t="s">
        <v>3690</v>
      </c>
      <c r="D10" s="119">
        <v>100</v>
      </c>
      <c r="E10" s="3130" t="s">
        <v>3735</v>
      </c>
      <c r="F10" s="363">
        <f>SUMIF(65:65,E10,66:66)-SUMIF(65:65,C10,66:66)+100</f>
        <v>96</v>
      </c>
      <c r="G10" s="3129" t="s">
        <v>3737</v>
      </c>
      <c r="H10" s="119">
        <f>SUMIF(65:65,G10,66:66)-SUMIF(65:65,C10,66:66)+100</f>
        <v>95</v>
      </c>
      <c r="I10" s="3129" t="s">
        <v>3736</v>
      </c>
      <c r="J10" s="119">
        <f>SUMIF(65:65,I10,66:66)-SUMIF(65:65,C10,66:66)+100</f>
        <v>96</v>
      </c>
      <c r="K10" s="38"/>
      <c r="L10" s="2486"/>
      <c r="M10" s="2487"/>
      <c r="N10" s="2487"/>
      <c r="O10" s="2487"/>
      <c r="P10" s="3388"/>
      <c r="Q10" s="529" t="str">
        <f t="shared" si="6"/>
        <v>土地使用年限（年）</v>
      </c>
      <c r="R10" s="663" t="s">
        <v>14</v>
      </c>
      <c r="S10" s="664">
        <f t="shared" si="0"/>
        <v>96</v>
      </c>
      <c r="T10" s="663" t="s">
        <v>14</v>
      </c>
      <c r="U10" s="664">
        <f t="shared" si="1"/>
        <v>95</v>
      </c>
      <c r="V10" s="663" t="s">
        <v>14</v>
      </c>
      <c r="W10" s="664">
        <f t="shared" si="2"/>
        <v>96</v>
      </c>
      <c r="X10" s="665"/>
      <c r="Y10" s="3281"/>
      <c r="Z10" s="50" t="str">
        <f t="shared" si="7"/>
        <v>土地使用年限（年）</v>
      </c>
      <c r="AA10" s="50">
        <f t="shared" si="3"/>
        <v>1.0416666666666667</v>
      </c>
      <c r="AB10" s="50">
        <f t="shared" si="4"/>
        <v>1.0526315789473684</v>
      </c>
      <c r="AC10" s="50">
        <f t="shared" si="5"/>
        <v>1.0416666666666667</v>
      </c>
    </row>
    <row r="11" spans="1:29" ht="15">
      <c r="A11" s="366"/>
      <c r="B11" s="363" t="s">
        <v>1687</v>
      </c>
      <c r="C11" s="367"/>
      <c r="D11" s="119">
        <v>100</v>
      </c>
      <c r="E11" s="368"/>
      <c r="F11" s="363">
        <f>LOOKUP(E11,68:68,69:69)-LOOKUP(C11,68:68,69:69)+100</f>
        <v>100</v>
      </c>
      <c r="G11" s="367"/>
      <c r="H11" s="119">
        <f>LOOKUP(G11,68:68,69:69)-LOOKUP(C11,68:68,69:69)+100</f>
        <v>100</v>
      </c>
      <c r="I11" s="367"/>
      <c r="J11" s="119">
        <f>LOOKUP(I11,68:68,69:69)-LOOKUP(C11,68:68,69:69)+100</f>
        <v>100</v>
      </c>
      <c r="K11" s="537"/>
      <c r="L11" s="2488"/>
      <c r="M11" s="2484"/>
      <c r="N11" s="2484"/>
      <c r="O11" s="2484"/>
      <c r="P11" s="3388"/>
      <c r="Q11" s="529" t="str">
        <f t="shared" si="6"/>
        <v>容积率</v>
      </c>
      <c r="R11" s="663" t="s">
        <v>14</v>
      </c>
      <c r="S11" s="664">
        <f t="shared" si="0"/>
        <v>100</v>
      </c>
      <c r="T11" s="663" t="s">
        <v>14</v>
      </c>
      <c r="U11" s="664">
        <f t="shared" si="1"/>
        <v>100</v>
      </c>
      <c r="V11" s="663" t="s">
        <v>14</v>
      </c>
      <c r="W11" s="664">
        <f t="shared" si="2"/>
        <v>100</v>
      </c>
      <c r="X11" s="665"/>
      <c r="Y11" s="3281"/>
      <c r="Z11" s="50" t="str">
        <f t="shared" si="7"/>
        <v>容积率</v>
      </c>
      <c r="AA11" s="50">
        <f t="shared" si="3"/>
        <v>1</v>
      </c>
      <c r="AB11" s="50">
        <f t="shared" si="4"/>
        <v>1</v>
      </c>
      <c r="AC11" s="50">
        <f t="shared" si="5"/>
        <v>1</v>
      </c>
    </row>
    <row r="12" spans="1:29" s="102" customFormat="1" ht="15">
      <c r="A12" s="369"/>
      <c r="B12" s="446">
        <v>111</v>
      </c>
      <c r="C12" s="370"/>
      <c r="D12" s="371">
        <v>100</v>
      </c>
      <c r="E12" s="372"/>
      <c r="F12" s="363">
        <f>SUMIF(70:70,E12,71:71)-SUMIF(70:70,C12,71:71)+100</f>
        <v>100</v>
      </c>
      <c r="G12" s="372"/>
      <c r="H12" s="119">
        <f>SUMIF(70:70,G12,71:71)-SUMIF(70:70,C12,71:71)+100</f>
        <v>100</v>
      </c>
      <c r="I12" s="372"/>
      <c r="J12" s="119">
        <f>SUMIF(70:70,I12,71:71)-SUMIF(70:70,C12,71:71)+100</f>
        <v>100</v>
      </c>
      <c r="K12" s="538"/>
      <c r="L12" s="2485"/>
      <c r="M12" s="2436"/>
      <c r="N12" s="2436"/>
      <c r="O12" s="2436"/>
      <c r="P12" s="3388"/>
      <c r="Q12" s="529">
        <f t="shared" si="6"/>
        <v>111</v>
      </c>
      <c r="R12" s="663" t="s">
        <v>14</v>
      </c>
      <c r="S12" s="664">
        <f t="shared" si="0"/>
        <v>100</v>
      </c>
      <c r="T12" s="663" t="s">
        <v>14</v>
      </c>
      <c r="U12" s="664">
        <f t="shared" si="1"/>
        <v>100</v>
      </c>
      <c r="V12" s="663" t="s">
        <v>14</v>
      </c>
      <c r="W12" s="664">
        <f t="shared" si="2"/>
        <v>100</v>
      </c>
      <c r="X12" s="665"/>
      <c r="Y12" s="3281"/>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9"/>
      <c r="M13" s="2484"/>
      <c r="N13" s="2484"/>
      <c r="O13" s="2484"/>
      <c r="P13" s="3388"/>
      <c r="Q13" s="529">
        <f t="shared" si="6"/>
        <v>111</v>
      </c>
      <c r="R13" s="663" t="s">
        <v>14</v>
      </c>
      <c r="S13" s="664">
        <f t="shared" si="0"/>
        <v>100</v>
      </c>
      <c r="T13" s="663" t="s">
        <v>14</v>
      </c>
      <c r="U13" s="664">
        <f t="shared" si="1"/>
        <v>100</v>
      </c>
      <c r="V13" s="663" t="s">
        <v>14</v>
      </c>
      <c r="W13" s="664">
        <f t="shared" si="2"/>
        <v>100</v>
      </c>
      <c r="X13" s="665"/>
      <c r="Y13" s="3281"/>
      <c r="Z13" s="50">
        <f t="shared" si="7"/>
        <v>111</v>
      </c>
      <c r="AA13" s="50">
        <f t="shared" si="3"/>
        <v>1</v>
      </c>
      <c r="AB13" s="50">
        <f t="shared" si="4"/>
        <v>1</v>
      </c>
      <c r="AC13" s="50">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89"/>
      <c r="M14" s="2484"/>
      <c r="N14" s="2484"/>
      <c r="O14" s="2484"/>
      <c r="P14" s="3388"/>
      <c r="Q14" s="529">
        <f t="shared" si="6"/>
        <v>111</v>
      </c>
      <c r="R14" s="663" t="s">
        <v>14</v>
      </c>
      <c r="S14" s="664">
        <f t="shared" si="0"/>
        <v>100</v>
      </c>
      <c r="T14" s="663" t="s">
        <v>14</v>
      </c>
      <c r="U14" s="664">
        <f t="shared" si="1"/>
        <v>100</v>
      </c>
      <c r="V14" s="663" t="s">
        <v>14</v>
      </c>
      <c r="W14" s="664">
        <f t="shared" si="2"/>
        <v>100</v>
      </c>
      <c r="X14" s="665"/>
      <c r="Y14" s="3281"/>
      <c r="Z14" s="50">
        <f t="shared" si="7"/>
        <v>111</v>
      </c>
      <c r="AA14" s="50">
        <f t="shared" si="3"/>
        <v>1</v>
      </c>
      <c r="AB14" s="50">
        <f t="shared" si="4"/>
        <v>1</v>
      </c>
      <c r="AC14" s="50">
        <f t="shared" si="5"/>
        <v>1</v>
      </c>
    </row>
    <row r="15" spans="1:29" ht="15">
      <c r="A15" s="378" t="s">
        <v>1688</v>
      </c>
      <c r="B15" s="58" t="s">
        <v>1775</v>
      </c>
      <c r="C15" s="1749" t="str">
        <f>估价对象房地状况!C4</f>
        <v>好</v>
      </c>
      <c r="D15" s="379">
        <v>100</v>
      </c>
      <c r="E15" s="380"/>
      <c r="F15" s="381">
        <f>SUMIF(76:76,E16,77:77)-SUMIF(76:76,C16,77:77)+100</f>
        <v>100</v>
      </c>
      <c r="G15" s="382"/>
      <c r="H15" s="379">
        <f>SUMIF(76:76,G16,77:77)-SUMIF(76:76,C16,77:77)+100</f>
        <v>100</v>
      </c>
      <c r="I15" s="380"/>
      <c r="J15" s="379">
        <f>SUMIF(76:76,I16,77:77)-SUMIF(76:76,C16,77:77)+100</f>
        <v>100</v>
      </c>
      <c r="K15" s="539">
        <v>5</v>
      </c>
      <c r="L15" s="2489"/>
      <c r="M15" s="2484"/>
      <c r="N15" s="2484"/>
      <c r="O15" s="2484"/>
      <c r="P15" s="3379" t="s">
        <v>1689</v>
      </c>
      <c r="Q15" s="1262" t="str">
        <f t="shared" si="6"/>
        <v>商业繁华度</v>
      </c>
      <c r="R15" s="666" t="s">
        <v>14</v>
      </c>
      <c r="S15" s="667">
        <f t="shared" si="0"/>
        <v>100</v>
      </c>
      <c r="T15" s="666" t="s">
        <v>14</v>
      </c>
      <c r="U15" s="667">
        <f t="shared" si="1"/>
        <v>100</v>
      </c>
      <c r="V15" s="666" t="s">
        <v>14</v>
      </c>
      <c r="W15" s="667">
        <f t="shared" si="2"/>
        <v>100</v>
      </c>
      <c r="X15" s="1264"/>
      <c r="Y15" s="3381" t="s">
        <v>1689</v>
      </c>
      <c r="Z15" s="1263" t="str">
        <f t="shared" si="7"/>
        <v>商业繁华度</v>
      </c>
      <c r="AA15" s="1263">
        <f t="shared" si="3"/>
        <v>1</v>
      </c>
      <c r="AB15" s="1263">
        <f t="shared" si="4"/>
        <v>1</v>
      </c>
      <c r="AC15" s="1263">
        <f t="shared" si="5"/>
        <v>1</v>
      </c>
    </row>
    <row r="16" spans="1:29" ht="15">
      <c r="A16" s="366"/>
      <c r="B16" s="384"/>
      <c r="C16" s="385" t="s">
        <v>3546</v>
      </c>
      <c r="D16" s="386"/>
      <c r="E16" s="385" t="s">
        <v>3546</v>
      </c>
      <c r="F16" s="387"/>
      <c r="G16" s="385" t="s">
        <v>3546</v>
      </c>
      <c r="H16" s="388"/>
      <c r="I16" s="385" t="s">
        <v>3546</v>
      </c>
      <c r="J16" s="386"/>
      <c r="K16" s="540"/>
      <c r="L16" s="2489"/>
      <c r="M16" s="2484"/>
      <c r="N16" s="2484"/>
      <c r="O16" s="2484"/>
      <c r="P16" s="3380"/>
      <c r="Q16" s="1262"/>
      <c r="R16" s="666"/>
      <c r="S16" s="667"/>
      <c r="T16" s="666"/>
      <c r="U16" s="667"/>
      <c r="V16" s="666"/>
      <c r="W16" s="667"/>
      <c r="X16" s="1264"/>
      <c r="Y16" s="3382"/>
      <c r="Z16" s="1263"/>
      <c r="AA16" s="1263">
        <v>1</v>
      </c>
      <c r="AB16" s="1263">
        <v>1</v>
      </c>
      <c r="AC16" s="1263">
        <v>1</v>
      </c>
    </row>
    <row r="17" spans="1:29" ht="15">
      <c r="A17" s="366"/>
      <c r="B17" s="389" t="s">
        <v>1259</v>
      </c>
      <c r="C17" s="1753" t="str">
        <f>估价对象房地状况!C6</f>
        <v>较好</v>
      </c>
      <c r="D17" s="388">
        <v>100</v>
      </c>
      <c r="E17" s="390"/>
      <c r="F17" s="391">
        <f>SUMIF(78:78,E18,79:79)-SUMIF(78:78,C18,79:79)+100</f>
        <v>100</v>
      </c>
      <c r="G17" s="392"/>
      <c r="H17" s="393">
        <f>SUMIF(78:78,G18,79:79)-SUMIF(78:78,C18,79:79)+100</f>
        <v>100</v>
      </c>
      <c r="I17" s="390"/>
      <c r="J17" s="393">
        <f>SUMIF(78:78,I18,79:79)-SUMIF(78:78,C18,79:79)+100</f>
        <v>100</v>
      </c>
      <c r="K17" s="539">
        <v>2</v>
      </c>
      <c r="L17" s="2489"/>
      <c r="M17" s="2484"/>
      <c r="N17" s="2484"/>
      <c r="O17" s="2484"/>
      <c r="P17" s="3380"/>
      <c r="Q17" s="1262" t="str">
        <f>B17</f>
        <v>交通便捷度</v>
      </c>
      <c r="R17" s="666" t="s">
        <v>14</v>
      </c>
      <c r="S17" s="667">
        <f>F17</f>
        <v>100</v>
      </c>
      <c r="T17" s="666" t="s">
        <v>14</v>
      </c>
      <c r="U17" s="667">
        <f>H17</f>
        <v>100</v>
      </c>
      <c r="V17" s="666" t="s">
        <v>14</v>
      </c>
      <c r="W17" s="667">
        <f>J17</f>
        <v>100</v>
      </c>
      <c r="X17" s="1264"/>
      <c r="Y17" s="3382"/>
      <c r="Z17" s="1263" t="str">
        <f>Q17</f>
        <v>交通便捷度</v>
      </c>
      <c r="AA17" s="1263">
        <f t="shared" si="3"/>
        <v>1</v>
      </c>
      <c r="AB17" s="1263">
        <f t="shared" si="4"/>
        <v>1</v>
      </c>
      <c r="AC17" s="1263">
        <f t="shared" si="5"/>
        <v>1</v>
      </c>
    </row>
    <row r="18" spans="1:29" ht="15">
      <c r="A18" s="366"/>
      <c r="B18" s="394"/>
      <c r="C18" s="1754" t="s">
        <v>3545</v>
      </c>
      <c r="D18" s="388"/>
      <c r="E18" s="1754" t="s">
        <v>3545</v>
      </c>
      <c r="F18" s="391"/>
      <c r="G18" s="1754" t="s">
        <v>3545</v>
      </c>
      <c r="H18" s="386"/>
      <c r="I18" s="1754" t="s">
        <v>3545</v>
      </c>
      <c r="J18" s="386"/>
      <c r="K18" s="540"/>
      <c r="L18" s="2489"/>
      <c r="M18" s="2484"/>
      <c r="N18" s="2484"/>
      <c r="O18" s="2484"/>
      <c r="P18" s="3380"/>
      <c r="Q18" s="1262"/>
      <c r="R18" s="666"/>
      <c r="S18" s="667"/>
      <c r="T18" s="666"/>
      <c r="U18" s="667"/>
      <c r="V18" s="666"/>
      <c r="W18" s="667"/>
      <c r="X18" s="1264"/>
      <c r="Y18" s="3382"/>
      <c r="Z18" s="1263"/>
      <c r="AA18" s="1263">
        <v>1</v>
      </c>
      <c r="AB18" s="1263">
        <v>1</v>
      </c>
      <c r="AC18" s="1263">
        <v>1</v>
      </c>
    </row>
    <row r="19" spans="1:29" ht="15">
      <c r="A19" s="366"/>
      <c r="B19" s="389" t="s">
        <v>1776</v>
      </c>
      <c r="C19" s="1753" t="str">
        <f>估价对象房地状况!C7</f>
        <v>好</v>
      </c>
      <c r="D19" s="393">
        <v>100</v>
      </c>
      <c r="E19" s="395"/>
      <c r="F19" s="396">
        <f>SUMIF(80:80,E20,81:81)-SUMIF(80:80,C20,81:81)+100</f>
        <v>100</v>
      </c>
      <c r="G19" s="397"/>
      <c r="H19" s="388">
        <f>SUMIF(80:80,G20,81:81)-SUMIF(80:80,C20,81:81)+100</f>
        <v>100</v>
      </c>
      <c r="I19" s="395"/>
      <c r="J19" s="388">
        <f>SUMIF(80:80,I20,81:81)-SUMIF(80:80,C20,81:81)+100</f>
        <v>100</v>
      </c>
      <c r="K19" s="539">
        <v>2</v>
      </c>
      <c r="L19" s="2489"/>
      <c r="M19" s="2484"/>
      <c r="N19" s="2484"/>
      <c r="O19" s="2484"/>
      <c r="P19" s="3380"/>
      <c r="Q19" s="1262" t="str">
        <f>B19</f>
        <v>公共配套设施</v>
      </c>
      <c r="R19" s="666" t="s">
        <v>14</v>
      </c>
      <c r="S19" s="667">
        <f>F19</f>
        <v>100</v>
      </c>
      <c r="T19" s="666" t="s">
        <v>14</v>
      </c>
      <c r="U19" s="667">
        <f>H19</f>
        <v>100</v>
      </c>
      <c r="V19" s="666" t="s">
        <v>14</v>
      </c>
      <c r="W19" s="667">
        <f>J19</f>
        <v>100</v>
      </c>
      <c r="X19" s="1264"/>
      <c r="Y19" s="3382"/>
      <c r="Z19" s="1263" t="str">
        <f>Q19</f>
        <v>公共配套设施</v>
      </c>
      <c r="AA19" s="1263">
        <f t="shared" si="3"/>
        <v>1</v>
      </c>
      <c r="AB19" s="1263">
        <f t="shared" si="4"/>
        <v>1</v>
      </c>
      <c r="AC19" s="1263">
        <f t="shared" si="5"/>
        <v>1</v>
      </c>
    </row>
    <row r="20" spans="1:29" ht="15">
      <c r="A20" s="366"/>
      <c r="B20" s="394"/>
      <c r="C20" s="385" t="s">
        <v>3546</v>
      </c>
      <c r="D20" s="386"/>
      <c r="E20" s="385" t="s">
        <v>3546</v>
      </c>
      <c r="F20" s="387"/>
      <c r="G20" s="385" t="s">
        <v>3546</v>
      </c>
      <c r="H20" s="386"/>
      <c r="I20" s="385" t="s">
        <v>3546</v>
      </c>
      <c r="J20" s="386"/>
      <c r="K20" s="540"/>
      <c r="L20" s="2489"/>
      <c r="M20" s="2484"/>
      <c r="N20" s="2484"/>
      <c r="O20" s="2484"/>
      <c r="P20" s="3380"/>
      <c r="Q20" s="1262"/>
      <c r="R20" s="666"/>
      <c r="S20" s="667"/>
      <c r="T20" s="666"/>
      <c r="U20" s="667"/>
      <c r="V20" s="666"/>
      <c r="W20" s="667"/>
      <c r="X20" s="1264"/>
      <c r="Y20" s="3382"/>
      <c r="Z20" s="1263"/>
      <c r="AA20" s="1263">
        <v>1</v>
      </c>
      <c r="AB20" s="1263">
        <v>1</v>
      </c>
      <c r="AC20" s="1263">
        <v>1</v>
      </c>
    </row>
    <row r="21" spans="1:29" ht="15">
      <c r="A21" s="366"/>
      <c r="B21" s="585" t="s">
        <v>1777</v>
      </c>
      <c r="C21" s="1753" t="str">
        <f>估价对象房地状况!C8</f>
        <v>七通</v>
      </c>
      <c r="D21" s="393">
        <v>100</v>
      </c>
      <c r="E21" s="395"/>
      <c r="F21" s="396">
        <f>SUMIF(82:82,E22,83:83)-SUMIF(82:82,C22,83:83)+100</f>
        <v>100</v>
      </c>
      <c r="G21" s="397"/>
      <c r="H21" s="388">
        <f>SUMIF(82:82,G22,83:83)-SUMIF(82:82,C22,83:83)+100</f>
        <v>100</v>
      </c>
      <c r="I21" s="395"/>
      <c r="J21" s="388">
        <f>SUMIF(82:82,I22,83:83)-SUMIF(82:82,C22,83:83)+100</f>
        <v>100</v>
      </c>
      <c r="K21" s="539">
        <v>2</v>
      </c>
      <c r="L21" s="2489"/>
      <c r="M21" s="2484"/>
      <c r="N21" s="2484"/>
      <c r="O21" s="2484"/>
      <c r="P21" s="3380"/>
      <c r="Q21" s="1262" t="str">
        <f>B21</f>
        <v>基础设施水平</v>
      </c>
      <c r="R21" s="666" t="s">
        <v>14</v>
      </c>
      <c r="S21" s="667">
        <f>F21</f>
        <v>100</v>
      </c>
      <c r="T21" s="666" t="s">
        <v>14</v>
      </c>
      <c r="U21" s="667">
        <f>H21</f>
        <v>100</v>
      </c>
      <c r="V21" s="666" t="s">
        <v>14</v>
      </c>
      <c r="W21" s="667">
        <f>J21</f>
        <v>100</v>
      </c>
      <c r="X21" s="1264"/>
      <c r="Y21" s="3382"/>
      <c r="Z21" s="1263" t="str">
        <f>Q21</f>
        <v>基础设施水平</v>
      </c>
      <c r="AA21" s="1263">
        <f t="shared" ref="AA21" si="8">D21/F21</f>
        <v>1</v>
      </c>
      <c r="AB21" s="1263">
        <f t="shared" ref="AB21" si="9">D21/H21</f>
        <v>1</v>
      </c>
      <c r="AC21" s="1263">
        <f t="shared" ref="AC21" si="10">D21/J21</f>
        <v>1</v>
      </c>
    </row>
    <row r="22" spans="1:29" ht="15">
      <c r="A22" s="366"/>
      <c r="B22" s="585"/>
      <c r="C22" s="1754" t="s">
        <v>3679</v>
      </c>
      <c r="D22" s="386"/>
      <c r="E22" s="1754" t="s">
        <v>3679</v>
      </c>
      <c r="F22" s="387"/>
      <c r="G22" s="1754" t="s">
        <v>3679</v>
      </c>
      <c r="H22" s="386"/>
      <c r="I22" s="1754" t="s">
        <v>3679</v>
      </c>
      <c r="J22" s="386"/>
      <c r="K22" s="1063"/>
      <c r="L22" s="2489"/>
      <c r="M22" s="2484"/>
      <c r="N22" s="2484"/>
      <c r="O22" s="2484"/>
      <c r="P22" s="3380"/>
      <c r="Q22" s="1262"/>
      <c r="R22" s="666"/>
      <c r="S22" s="667"/>
      <c r="T22" s="666"/>
      <c r="U22" s="667"/>
      <c r="V22" s="666"/>
      <c r="W22" s="667"/>
      <c r="X22" s="1264"/>
      <c r="Y22" s="3382"/>
      <c r="Z22" s="1263"/>
      <c r="AA22" s="1263">
        <v>1</v>
      </c>
      <c r="AB22" s="1263">
        <v>1</v>
      </c>
      <c r="AC22" s="1263">
        <v>1</v>
      </c>
    </row>
    <row r="23" spans="1:29" ht="15">
      <c r="A23" s="366"/>
      <c r="B23" s="389" t="s">
        <v>1261</v>
      </c>
      <c r="C23" s="1805" t="str">
        <f>估价对象房地状况!C9</f>
        <v>较好</v>
      </c>
      <c r="D23" s="388">
        <v>100</v>
      </c>
      <c r="E23" s="390"/>
      <c r="F23" s="391">
        <f>SUMIF(84:84,E24,85:85)-SUMIF(84:84,C24,85:85)+100</f>
        <v>100</v>
      </c>
      <c r="G23" s="392"/>
      <c r="H23" s="388">
        <f>SUMIF(84:84,G24,85:85)-SUMIF(84:84,C24,85:85)+100</f>
        <v>100</v>
      </c>
      <c r="I23" s="390"/>
      <c r="J23" s="388">
        <f>SUMIF(84:84,I24,85:85)-SUMIF(84:84,C24,85:85)+100</f>
        <v>100</v>
      </c>
      <c r="K23" s="539">
        <v>2</v>
      </c>
      <c r="L23" s="2489"/>
      <c r="M23" s="2484"/>
      <c r="N23" s="2484"/>
      <c r="O23" s="2484"/>
      <c r="P23" s="3380"/>
      <c r="Q23" s="1262" t="str">
        <f>B23</f>
        <v>自然及人文环境</v>
      </c>
      <c r="R23" s="666" t="s">
        <v>14</v>
      </c>
      <c r="S23" s="667">
        <f>F23</f>
        <v>100</v>
      </c>
      <c r="T23" s="666" t="s">
        <v>14</v>
      </c>
      <c r="U23" s="667">
        <f>H23</f>
        <v>100</v>
      </c>
      <c r="V23" s="666" t="s">
        <v>14</v>
      </c>
      <c r="W23" s="667">
        <f>J23</f>
        <v>100</v>
      </c>
      <c r="X23" s="1264"/>
      <c r="Y23" s="3382"/>
      <c r="Z23" s="1263" t="str">
        <f>Q23</f>
        <v>自然及人文环境</v>
      </c>
      <c r="AA23" s="1263">
        <f t="shared" si="3"/>
        <v>1</v>
      </c>
      <c r="AB23" s="1263">
        <f t="shared" si="4"/>
        <v>1</v>
      </c>
      <c r="AC23" s="1263">
        <f t="shared" si="5"/>
        <v>1</v>
      </c>
    </row>
    <row r="24" spans="1:29" ht="15">
      <c r="A24" s="366"/>
      <c r="B24" s="394"/>
      <c r="C24" s="385" t="s">
        <v>3545</v>
      </c>
      <c r="D24" s="386"/>
      <c r="E24" s="385" t="s">
        <v>3545</v>
      </c>
      <c r="F24" s="387"/>
      <c r="G24" s="385" t="s">
        <v>3545</v>
      </c>
      <c r="H24" s="386"/>
      <c r="I24" s="385" t="s">
        <v>3545</v>
      </c>
      <c r="J24" s="386"/>
      <c r="K24" s="540"/>
      <c r="L24" s="2489"/>
      <c r="M24" s="2484"/>
      <c r="N24" s="2484"/>
      <c r="O24" s="2484"/>
      <c r="P24" s="3380"/>
      <c r="Q24" s="1262"/>
      <c r="R24" s="666"/>
      <c r="S24" s="667"/>
      <c r="T24" s="666"/>
      <c r="U24" s="667"/>
      <c r="V24" s="666"/>
      <c r="W24" s="667"/>
      <c r="X24" s="1264"/>
      <c r="Y24" s="3382"/>
      <c r="Z24" s="1263"/>
      <c r="AA24" s="1263">
        <v>1</v>
      </c>
      <c r="AB24" s="1263">
        <v>1</v>
      </c>
      <c r="AC24" s="1263">
        <v>1</v>
      </c>
    </row>
    <row r="25" spans="1:29" ht="15">
      <c r="A25" s="366"/>
      <c r="B25" s="363" t="s">
        <v>1778</v>
      </c>
      <c r="C25" s="541" t="s">
        <v>3733</v>
      </c>
      <c r="D25" s="373">
        <v>100</v>
      </c>
      <c r="E25" s="541" t="s">
        <v>3733</v>
      </c>
      <c r="F25" s="399">
        <f>SUMIF(86:86,E25,87:87)-SUMIF(86:86,C25,87:87)+100</f>
        <v>100</v>
      </c>
      <c r="G25" s="541" t="s">
        <v>3733</v>
      </c>
      <c r="H25" s="373">
        <f>SUMIF(86:86,G25,87:87)-SUMIF(86:86,C25,87:87)+100</f>
        <v>100</v>
      </c>
      <c r="I25" s="541" t="s">
        <v>3733</v>
      </c>
      <c r="J25" s="373">
        <f>SUMIF(86:86,I25,87:87)-SUMIF(86:86,C25,87:87)+100</f>
        <v>100</v>
      </c>
      <c r="K25" s="537">
        <v>2</v>
      </c>
      <c r="L25" s="2489"/>
      <c r="M25" s="2484"/>
      <c r="N25" s="2484"/>
      <c r="O25" s="2484"/>
      <c r="P25" s="3380"/>
      <c r="Q25" s="1262" t="str">
        <f t="shared" ref="Q25:Q46" si="11">B25</f>
        <v>临街状况</v>
      </c>
      <c r="R25" s="666" t="s">
        <v>14</v>
      </c>
      <c r="S25" s="667">
        <f>F25</f>
        <v>100</v>
      </c>
      <c r="T25" s="666" t="s">
        <v>14</v>
      </c>
      <c r="U25" s="667">
        <f>H25</f>
        <v>100</v>
      </c>
      <c r="V25" s="666" t="s">
        <v>14</v>
      </c>
      <c r="W25" s="667">
        <f>J25</f>
        <v>100</v>
      </c>
      <c r="X25" s="1264"/>
      <c r="Y25" s="3382"/>
      <c r="Z25" s="1263" t="str">
        <f>Q25</f>
        <v>临街状况</v>
      </c>
      <c r="AA25" s="1263">
        <f t="shared" si="3"/>
        <v>1</v>
      </c>
      <c r="AB25" s="1263">
        <f t="shared" si="4"/>
        <v>1</v>
      </c>
      <c r="AC25" s="1263">
        <f t="shared" si="5"/>
        <v>1</v>
      </c>
    </row>
    <row r="26" spans="1:29" ht="15">
      <c r="A26" s="366"/>
      <c r="B26" s="1065" t="s">
        <v>1779</v>
      </c>
      <c r="C26" s="372"/>
      <c r="D26" s="373">
        <v>100</v>
      </c>
      <c r="E26" s="372"/>
      <c r="F26" s="399">
        <f>SUMIF(88:88,E26,89:89)-SUMIF(88:88,C26,89:89)+100</f>
        <v>100</v>
      </c>
      <c r="G26" s="372"/>
      <c r="H26" s="373">
        <f>SUMIF(88:88,G26,89:89)-SUMIF(88:88,C26,89:89)+100</f>
        <v>100</v>
      </c>
      <c r="I26" s="372"/>
      <c r="J26" s="373">
        <f>SUMIF(88:88,I26,89:89)-SUMIF(88:88,C26,89:89)+100</f>
        <v>100</v>
      </c>
      <c r="K26" s="538"/>
      <c r="L26" s="2489"/>
      <c r="M26" s="2484"/>
      <c r="N26" s="2484"/>
      <c r="O26" s="2484"/>
      <c r="P26" s="3380"/>
      <c r="Q26" s="1262" t="str">
        <f t="shared" si="11"/>
        <v>平面位置/可视性</v>
      </c>
      <c r="R26" s="666" t="s">
        <v>14</v>
      </c>
      <c r="S26" s="667">
        <f>F26</f>
        <v>100</v>
      </c>
      <c r="T26" s="666" t="s">
        <v>14</v>
      </c>
      <c r="U26" s="667">
        <f>H26</f>
        <v>100</v>
      </c>
      <c r="V26" s="666" t="s">
        <v>14</v>
      </c>
      <c r="W26" s="667">
        <f>J26</f>
        <v>100</v>
      </c>
      <c r="X26" s="1264"/>
      <c r="Y26" s="3382"/>
      <c r="Z26" s="1263" t="str">
        <f>Q26</f>
        <v>平面位置/可视性</v>
      </c>
      <c r="AA26" s="1263">
        <f t="shared" si="3"/>
        <v>1</v>
      </c>
      <c r="AB26" s="1263">
        <f t="shared" si="4"/>
        <v>1</v>
      </c>
      <c r="AC26" s="1263">
        <f t="shared" si="5"/>
        <v>1</v>
      </c>
    </row>
    <row r="27" spans="1:29" s="102" customFormat="1" ht="15">
      <c r="A27" s="369"/>
      <c r="B27" s="389" t="s">
        <v>1780</v>
      </c>
      <c r="C27" s="1806" t="s">
        <v>3729</v>
      </c>
      <c r="D27" s="400">
        <v>100</v>
      </c>
      <c r="E27" s="1806" t="s">
        <v>3729</v>
      </c>
      <c r="F27" s="394">
        <f>SUMIF(90:90,E27,91:91)-SUMIF(90:90,C27,91:91)+100</f>
        <v>100</v>
      </c>
      <c r="G27" s="1806" t="s">
        <v>3729</v>
      </c>
      <c r="H27" s="400">
        <f>SUMIF(90:90,G27,91:91)-SUMIF(90:90,C27,91:91)+100</f>
        <v>100</v>
      </c>
      <c r="I27" s="1806" t="s">
        <v>3729</v>
      </c>
      <c r="J27" s="400">
        <f>SUMIF(90:90,I27,91:91)-SUMIF(90:90,C27,91:91)+100</f>
        <v>100</v>
      </c>
      <c r="K27" s="537">
        <v>2</v>
      </c>
      <c r="L27" s="2485"/>
      <c r="M27" s="2436"/>
      <c r="N27" s="2436"/>
      <c r="O27" s="2436"/>
      <c r="P27" s="3380"/>
      <c r="Q27" s="529" t="str">
        <f t="shared" si="11"/>
        <v>人流量</v>
      </c>
      <c r="R27" s="663" t="s">
        <v>14</v>
      </c>
      <c r="S27" s="664">
        <f>F27</f>
        <v>100</v>
      </c>
      <c r="T27" s="663" t="s">
        <v>14</v>
      </c>
      <c r="U27" s="664">
        <f>H27</f>
        <v>100</v>
      </c>
      <c r="V27" s="663" t="s">
        <v>14</v>
      </c>
      <c r="W27" s="664">
        <f>J27</f>
        <v>100</v>
      </c>
      <c r="X27" s="665"/>
      <c r="Y27" s="3382"/>
      <c r="Z27" s="50" t="str">
        <f>Q27</f>
        <v>人流量</v>
      </c>
      <c r="AA27" s="1263">
        <f>D27/F27</f>
        <v>1</v>
      </c>
      <c r="AB27" s="1263">
        <f>D27/H27</f>
        <v>1</v>
      </c>
      <c r="AC27" s="1263">
        <f>D27/J27</f>
        <v>1</v>
      </c>
    </row>
    <row r="28" spans="1:29" ht="15">
      <c r="A28" s="366"/>
      <c r="B28" s="363" t="s">
        <v>1781</v>
      </c>
      <c r="C28" s="541">
        <v>1</v>
      </c>
      <c r="D28" s="373">
        <v>100</v>
      </c>
      <c r="E28" s="541">
        <v>1</v>
      </c>
      <c r="F28" s="399">
        <f>SUMIF(92:92,E28,93:93)-SUMIF(92:92,C28,93:93)+100</f>
        <v>100</v>
      </c>
      <c r="G28" s="541">
        <v>1</v>
      </c>
      <c r="H28" s="373">
        <f>SUMIF(92:92,G28,93:93)-SUMIF(92:92,C28,93:93)+100</f>
        <v>100</v>
      </c>
      <c r="I28" s="541">
        <v>1</v>
      </c>
      <c r="J28" s="373">
        <f>SUMIF(92:92,I28,93:93)-SUMIF(92:92,C28,93:93)+100</f>
        <v>100</v>
      </c>
      <c r="K28" s="538"/>
      <c r="L28" s="2489"/>
      <c r="M28" s="2484"/>
      <c r="N28" s="2484"/>
      <c r="O28" s="2484"/>
      <c r="P28" s="3380"/>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82"/>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9"/>
      <c r="M29" s="2484"/>
      <c r="N29" s="2484"/>
      <c r="O29" s="2484"/>
      <c r="P29" s="3380"/>
      <c r="Q29" s="1262">
        <f t="shared" si="11"/>
        <v>111</v>
      </c>
      <c r="R29" s="666" t="s">
        <v>14</v>
      </c>
      <c r="S29" s="667">
        <f t="shared" si="12"/>
        <v>100</v>
      </c>
      <c r="T29" s="666" t="s">
        <v>14</v>
      </c>
      <c r="U29" s="667">
        <f t="shared" si="13"/>
        <v>100</v>
      </c>
      <c r="V29" s="666" t="s">
        <v>14</v>
      </c>
      <c r="W29" s="667">
        <f t="shared" si="14"/>
        <v>100</v>
      </c>
      <c r="X29" s="1264"/>
      <c r="Y29" s="3382"/>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9"/>
      <c r="M30" s="2484"/>
      <c r="N30" s="2484"/>
      <c r="O30" s="2484"/>
      <c r="P30" s="3380"/>
      <c r="Q30" s="1262">
        <f t="shared" si="11"/>
        <v>111</v>
      </c>
      <c r="R30" s="666" t="s">
        <v>14</v>
      </c>
      <c r="S30" s="667">
        <f t="shared" si="12"/>
        <v>100</v>
      </c>
      <c r="T30" s="666" t="s">
        <v>14</v>
      </c>
      <c r="U30" s="667">
        <f t="shared" si="13"/>
        <v>100</v>
      </c>
      <c r="V30" s="666" t="s">
        <v>14</v>
      </c>
      <c r="W30" s="667">
        <f t="shared" si="14"/>
        <v>100</v>
      </c>
      <c r="X30" s="1264"/>
      <c r="Y30" s="3382"/>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9"/>
      <c r="M31" s="2484"/>
      <c r="N31" s="2484"/>
      <c r="O31" s="2484"/>
      <c r="P31" s="3380"/>
      <c r="Q31" s="1262">
        <f t="shared" si="11"/>
        <v>111</v>
      </c>
      <c r="R31" s="666" t="s">
        <v>14</v>
      </c>
      <c r="S31" s="667">
        <f t="shared" si="12"/>
        <v>100</v>
      </c>
      <c r="T31" s="666" t="s">
        <v>14</v>
      </c>
      <c r="U31" s="667">
        <f t="shared" si="13"/>
        <v>100</v>
      </c>
      <c r="V31" s="666" t="s">
        <v>14</v>
      </c>
      <c r="W31" s="667">
        <f t="shared" si="14"/>
        <v>100</v>
      </c>
      <c r="X31" s="1264"/>
      <c r="Y31" s="3382"/>
      <c r="Z31" s="1263">
        <f t="shared" si="15"/>
        <v>111</v>
      </c>
      <c r="AA31" s="1263">
        <f t="shared" si="3"/>
        <v>1</v>
      </c>
      <c r="AB31" s="1263">
        <f t="shared" si="4"/>
        <v>1</v>
      </c>
      <c r="AC31" s="1263">
        <f t="shared" si="5"/>
        <v>1</v>
      </c>
    </row>
    <row r="32" spans="1:29" ht="15">
      <c r="A32" s="378" t="s">
        <v>1692</v>
      </c>
      <c r="B32" s="60" t="s">
        <v>1782</v>
      </c>
      <c r="C32" s="1763" t="s">
        <v>3674</v>
      </c>
      <c r="D32" s="404">
        <v>100</v>
      </c>
      <c r="E32" s="1763" t="s">
        <v>3672</v>
      </c>
      <c r="F32" s="399">
        <f>SUMIF(100:100,E32,101:101)-SUMIF(100:100,C32,101:101)+100</f>
        <v>103</v>
      </c>
      <c r="G32" s="1763" t="s">
        <v>3674</v>
      </c>
      <c r="H32" s="373">
        <f>SUMIF(100:100,G32,101:101)-SUMIF(100:100,C32,101:101)+100</f>
        <v>100</v>
      </c>
      <c r="I32" s="1763" t="s">
        <v>3672</v>
      </c>
      <c r="J32" s="404">
        <f>SUMIF(100:100,I32,101:101)-SUMIF(100:100,C32,101:101)+100</f>
        <v>103</v>
      </c>
      <c r="K32" s="537">
        <v>3</v>
      </c>
      <c r="L32" s="2489"/>
      <c r="M32" s="2484"/>
      <c r="N32" s="2484"/>
      <c r="O32" s="2484"/>
      <c r="P32" s="3383" t="s">
        <v>1694</v>
      </c>
      <c r="Q32" s="1262" t="str">
        <f t="shared" si="11"/>
        <v>商业类型</v>
      </c>
      <c r="R32" s="666" t="s">
        <v>14</v>
      </c>
      <c r="S32" s="667">
        <f t="shared" si="12"/>
        <v>103</v>
      </c>
      <c r="T32" s="666" t="s">
        <v>14</v>
      </c>
      <c r="U32" s="667">
        <f t="shared" si="13"/>
        <v>100</v>
      </c>
      <c r="V32" s="666" t="s">
        <v>14</v>
      </c>
      <c r="W32" s="667">
        <f t="shared" si="14"/>
        <v>103</v>
      </c>
      <c r="X32" s="1264"/>
      <c r="Y32" s="3386" t="s">
        <v>1694</v>
      </c>
      <c r="Z32" s="1263" t="str">
        <f t="shared" si="15"/>
        <v>商业类型</v>
      </c>
      <c r="AA32" s="1263">
        <f t="shared" si="3"/>
        <v>0.970873786407767</v>
      </c>
      <c r="AB32" s="1263">
        <f t="shared" si="4"/>
        <v>1</v>
      </c>
      <c r="AC32" s="1263">
        <f t="shared" si="5"/>
        <v>0.970873786407767</v>
      </c>
    </row>
    <row r="33" spans="1:29" s="407" customFormat="1" ht="15">
      <c r="A33" s="405"/>
      <c r="B33" s="363" t="s">
        <v>1695</v>
      </c>
      <c r="C33" s="406">
        <f>'数据-汇总表'!F19</f>
        <v>113.41</v>
      </c>
      <c r="D33" s="119">
        <v>100</v>
      </c>
      <c r="E33" s="368">
        <f>案例!N4</f>
        <v>150</v>
      </c>
      <c r="F33" s="363">
        <f>LOOKUP(E33,103:103,104:104)-LOOKUP(C33,103:103,104:104)+100</f>
        <v>100</v>
      </c>
      <c r="G33" s="367">
        <f>案例!N29</f>
        <v>87.53</v>
      </c>
      <c r="H33" s="119">
        <f>LOOKUP(G33,103:103,104:104)-LOOKUP(C33,103:103,104:104)+100</f>
        <v>102</v>
      </c>
      <c r="I33" s="367">
        <f>案例!N59</f>
        <v>117.3</v>
      </c>
      <c r="J33" s="119">
        <f>LOOKUP(I33,103:103,104:104)-LOOKUP(C33,103:103,104:104)+100</f>
        <v>100</v>
      </c>
      <c r="K33" s="538"/>
      <c r="L33" s="2488"/>
      <c r="M33" s="2490"/>
      <c r="N33" s="2490"/>
      <c r="O33" s="2490"/>
      <c r="P33" s="3384"/>
      <c r="Q33" s="530" t="str">
        <f t="shared" si="11"/>
        <v>项目建筑规模</v>
      </c>
      <c r="R33" s="668" t="s">
        <v>14</v>
      </c>
      <c r="S33" s="669">
        <f t="shared" si="12"/>
        <v>100</v>
      </c>
      <c r="T33" s="668" t="s">
        <v>14</v>
      </c>
      <c r="U33" s="669">
        <f t="shared" si="13"/>
        <v>102</v>
      </c>
      <c r="V33" s="668" t="s">
        <v>14</v>
      </c>
      <c r="W33" s="669">
        <f t="shared" si="14"/>
        <v>100</v>
      </c>
      <c r="X33" s="670"/>
      <c r="Y33" s="3386"/>
      <c r="Z33" s="671" t="str">
        <f t="shared" si="15"/>
        <v>项目建筑规模</v>
      </c>
      <c r="AA33" s="1263">
        <f t="shared" si="3"/>
        <v>1</v>
      </c>
      <c r="AB33" s="1263">
        <f t="shared" si="4"/>
        <v>0.98039215686274506</v>
      </c>
      <c r="AC33" s="1263">
        <f t="shared" si="5"/>
        <v>1</v>
      </c>
    </row>
    <row r="34" spans="1:29" ht="15">
      <c r="A34" s="408"/>
      <c r="B34" s="363" t="s">
        <v>1696</v>
      </c>
      <c r="C34" s="398" t="s">
        <v>3539</v>
      </c>
      <c r="D34" s="373">
        <v>100</v>
      </c>
      <c r="E34" s="398" t="s">
        <v>3539</v>
      </c>
      <c r="F34" s="399">
        <f>SUMIF(105:105,E34,106:106)-SUMIF(105:105,C34,106:106)+100</f>
        <v>100</v>
      </c>
      <c r="G34" s="398" t="s">
        <v>3539</v>
      </c>
      <c r="H34" s="373">
        <f>SUMIF(105:105,G34,106:106)-SUMIF(105:105,C34,106:106)+100</f>
        <v>100</v>
      </c>
      <c r="I34" s="398" t="s">
        <v>3539</v>
      </c>
      <c r="J34" s="373">
        <f>SUMIF(105:105,I34,106:106)-SUMIF(105:105,C34,106:106)+100</f>
        <v>100</v>
      </c>
      <c r="K34" s="537">
        <v>2</v>
      </c>
      <c r="L34" s="2489"/>
      <c r="M34" s="2484"/>
      <c r="N34" s="2484"/>
      <c r="O34" s="2484"/>
      <c r="P34" s="3384"/>
      <c r="Q34" s="1262" t="str">
        <f t="shared" si="11"/>
        <v>建筑结构</v>
      </c>
      <c r="R34" s="666" t="s">
        <v>14</v>
      </c>
      <c r="S34" s="667">
        <f t="shared" si="12"/>
        <v>100</v>
      </c>
      <c r="T34" s="666" t="s">
        <v>14</v>
      </c>
      <c r="U34" s="667">
        <f t="shared" si="13"/>
        <v>100</v>
      </c>
      <c r="V34" s="666" t="s">
        <v>14</v>
      </c>
      <c r="W34" s="667">
        <f t="shared" si="14"/>
        <v>100</v>
      </c>
      <c r="X34" s="1264"/>
      <c r="Y34" s="3386"/>
      <c r="Z34" s="1263" t="str">
        <f t="shared" si="15"/>
        <v>建筑结构</v>
      </c>
      <c r="AA34" s="1263">
        <f t="shared" si="3"/>
        <v>1</v>
      </c>
      <c r="AB34" s="1263">
        <f t="shared" si="4"/>
        <v>1</v>
      </c>
      <c r="AC34" s="1263">
        <f t="shared" si="5"/>
        <v>1</v>
      </c>
    </row>
    <row r="35" spans="1:29" ht="15">
      <c r="A35" s="408"/>
      <c r="B35" s="363" t="s">
        <v>1783</v>
      </c>
      <c r="C35" s="1759" t="s">
        <v>3708</v>
      </c>
      <c r="D35" s="373">
        <v>100</v>
      </c>
      <c r="E35" s="1759" t="s">
        <v>3708</v>
      </c>
      <c r="F35" s="399">
        <f>SUMIF(107:107,E35,108:108)-SUMIF(107:107,C35,108:108)+100</f>
        <v>100</v>
      </c>
      <c r="G35" s="1759" t="s">
        <v>3708</v>
      </c>
      <c r="H35" s="373">
        <f>SUMIF(107:107,G35,108:108)-SUMIF(107:107,C35,108:108)+100</f>
        <v>100</v>
      </c>
      <c r="I35" s="1759" t="s">
        <v>3708</v>
      </c>
      <c r="J35" s="373">
        <f>SUMIF(107:107,I35,108:108)-SUMIF(107:107,C35,108:108)+100</f>
        <v>100</v>
      </c>
      <c r="K35" s="537">
        <v>2</v>
      </c>
      <c r="L35" s="2489"/>
      <c r="M35" s="2484"/>
      <c r="N35" s="2484"/>
      <c r="O35" s="2484"/>
      <c r="P35" s="3384"/>
      <c r="Q35" s="1262" t="str">
        <f t="shared" si="11"/>
        <v>公共部分装修</v>
      </c>
      <c r="R35" s="666" t="s">
        <v>14</v>
      </c>
      <c r="S35" s="667">
        <f t="shared" si="12"/>
        <v>100</v>
      </c>
      <c r="T35" s="666" t="s">
        <v>14</v>
      </c>
      <c r="U35" s="667">
        <f t="shared" si="13"/>
        <v>100</v>
      </c>
      <c r="V35" s="666" t="s">
        <v>14</v>
      </c>
      <c r="W35" s="667">
        <f t="shared" si="14"/>
        <v>100</v>
      </c>
      <c r="X35" s="1264"/>
      <c r="Y35" s="3386"/>
      <c r="Z35" s="1263" t="str">
        <f t="shared" si="15"/>
        <v>公共部分装修</v>
      </c>
      <c r="AA35" s="1263">
        <f t="shared" si="3"/>
        <v>1</v>
      </c>
      <c r="AB35" s="1263">
        <f t="shared" si="4"/>
        <v>1</v>
      </c>
      <c r="AC35" s="1263">
        <f t="shared" si="5"/>
        <v>1</v>
      </c>
    </row>
    <row r="36" spans="1:29" ht="15">
      <c r="A36" s="408"/>
      <c r="B36" s="363" t="s">
        <v>1784</v>
      </c>
      <c r="C36" s="410">
        <v>0.8</v>
      </c>
      <c r="D36" s="373">
        <v>100</v>
      </c>
      <c r="E36" s="410">
        <v>0.73</v>
      </c>
      <c r="F36" s="399">
        <f>LOOKUP(E36,110:110,111:111)-LOOKUP(C36,110:110,111:111)+100</f>
        <v>99</v>
      </c>
      <c r="G36" s="410">
        <v>0.6</v>
      </c>
      <c r="H36" s="399">
        <f>LOOKUP(G36,110:110,111:111)-LOOKUP(C36,110:110,111:111)+100</f>
        <v>98</v>
      </c>
      <c r="I36" s="410">
        <v>0.73</v>
      </c>
      <c r="J36" s="373">
        <f>LOOKUP(I36,110:110,111:111)-LOOKUP(C36,110:110,111:111)+100</f>
        <v>99</v>
      </c>
      <c r="K36" s="537">
        <v>1</v>
      </c>
      <c r="L36" s="2489"/>
      <c r="M36" s="2484"/>
      <c r="N36" s="2484"/>
      <c r="O36" s="2484"/>
      <c r="P36" s="3384"/>
      <c r="Q36" s="1262" t="str">
        <f t="shared" si="11"/>
        <v>成新度</v>
      </c>
      <c r="R36" s="666" t="s">
        <v>14</v>
      </c>
      <c r="S36" s="667">
        <f t="shared" si="12"/>
        <v>99</v>
      </c>
      <c r="T36" s="666" t="s">
        <v>14</v>
      </c>
      <c r="U36" s="667">
        <f t="shared" si="13"/>
        <v>98</v>
      </c>
      <c r="V36" s="666" t="s">
        <v>14</v>
      </c>
      <c r="W36" s="667">
        <f t="shared" si="14"/>
        <v>99</v>
      </c>
      <c r="X36" s="1264"/>
      <c r="Y36" s="3386"/>
      <c r="Z36" s="1263" t="str">
        <f t="shared" si="15"/>
        <v>成新度</v>
      </c>
      <c r="AA36" s="1263">
        <f t="shared" si="3"/>
        <v>1.0101010101010102</v>
      </c>
      <c r="AB36" s="1263">
        <f t="shared" si="4"/>
        <v>1.0204081632653061</v>
      </c>
      <c r="AC36" s="1263">
        <f t="shared" si="5"/>
        <v>1.0101010101010102</v>
      </c>
    </row>
    <row r="37" spans="1:29" s="102" customFormat="1" ht="15">
      <c r="A37" s="409"/>
      <c r="B37" s="363" t="s">
        <v>1785</v>
      </c>
      <c r="C37" s="1759" t="s">
        <v>3679</v>
      </c>
      <c r="D37" s="119">
        <v>100</v>
      </c>
      <c r="E37" s="1759" t="s">
        <v>3681</v>
      </c>
      <c r="F37" s="399">
        <f>SUMIF(112:112,E37,113:113)-SUMIF(112:112,C37,113:113)+100</f>
        <v>99</v>
      </c>
      <c r="G37" s="1759" t="s">
        <v>3679</v>
      </c>
      <c r="H37" s="373">
        <f>SUMIF(112:112,G37,113:113)-SUMIF(112:112,C37,113:113)+100</f>
        <v>100</v>
      </c>
      <c r="I37" s="1759" t="s">
        <v>3681</v>
      </c>
      <c r="J37" s="373">
        <f>SUMIF(112:112,I37,113:113)-SUMIF(112:112,C37,113:113)+100</f>
        <v>99</v>
      </c>
      <c r="K37" s="537">
        <v>1</v>
      </c>
      <c r="L37" s="2485"/>
      <c r="M37" s="2436"/>
      <c r="N37" s="2436"/>
      <c r="O37" s="2436"/>
      <c r="P37" s="3384"/>
      <c r="Q37" s="529" t="str">
        <f t="shared" si="11"/>
        <v>市政基础设施</v>
      </c>
      <c r="R37" s="663" t="s">
        <v>14</v>
      </c>
      <c r="S37" s="664">
        <f t="shared" si="12"/>
        <v>99</v>
      </c>
      <c r="T37" s="663" t="s">
        <v>14</v>
      </c>
      <c r="U37" s="664">
        <f t="shared" si="13"/>
        <v>100</v>
      </c>
      <c r="V37" s="663" t="s">
        <v>14</v>
      </c>
      <c r="W37" s="664">
        <f t="shared" si="14"/>
        <v>99</v>
      </c>
      <c r="X37" s="665"/>
      <c r="Y37" s="3386"/>
      <c r="Z37" s="50" t="str">
        <f t="shared" si="15"/>
        <v>市政基础设施</v>
      </c>
      <c r="AA37" s="50">
        <f t="shared" si="3"/>
        <v>1.0101010101010102</v>
      </c>
      <c r="AB37" s="50">
        <f t="shared" si="4"/>
        <v>1</v>
      </c>
      <c r="AC37" s="50">
        <f t="shared" si="5"/>
        <v>1.0101010101010102</v>
      </c>
    </row>
    <row r="38" spans="1:29" ht="15">
      <c r="A38" s="408"/>
      <c r="B38" s="363" t="s">
        <v>1786</v>
      </c>
      <c r="C38" s="1759" t="s">
        <v>3688</v>
      </c>
      <c r="D38" s="373">
        <v>100</v>
      </c>
      <c r="E38" s="1759" t="s">
        <v>3686</v>
      </c>
      <c r="F38" s="399">
        <f>SUMIF(114:114,E38,115:115)-SUMIF(114:114,C38,115:115)+100</f>
        <v>105</v>
      </c>
      <c r="G38" s="1759" t="s">
        <v>3688</v>
      </c>
      <c r="H38" s="373">
        <f>SUMIF(114:114,G38,115:115)-SUMIF(114:114,C38,115:115)+100</f>
        <v>100</v>
      </c>
      <c r="I38" s="1759" t="s">
        <v>3686</v>
      </c>
      <c r="J38" s="373">
        <f>SUMIF(114:114,I38,115:115)-SUMIF(114:114,C38,115:115)+100</f>
        <v>105</v>
      </c>
      <c r="K38" s="537">
        <v>5</v>
      </c>
      <c r="L38" s="2489"/>
      <c r="M38" s="2484"/>
      <c r="N38" s="2484"/>
      <c r="O38" s="2484"/>
      <c r="P38" s="3384" t="s">
        <v>1694</v>
      </c>
      <c r="Q38" s="1262" t="str">
        <f t="shared" si="11"/>
        <v>业态</v>
      </c>
      <c r="R38" s="666" t="s">
        <v>14</v>
      </c>
      <c r="S38" s="667">
        <f t="shared" si="12"/>
        <v>105</v>
      </c>
      <c r="T38" s="666" t="s">
        <v>14</v>
      </c>
      <c r="U38" s="667">
        <f t="shared" si="13"/>
        <v>100</v>
      </c>
      <c r="V38" s="666" t="s">
        <v>14</v>
      </c>
      <c r="W38" s="667">
        <f t="shared" si="14"/>
        <v>105</v>
      </c>
      <c r="X38" s="1264"/>
      <c r="Y38" s="3386" t="s">
        <v>1694</v>
      </c>
      <c r="Z38" s="1263" t="str">
        <f t="shared" si="15"/>
        <v>业态</v>
      </c>
      <c r="AA38" s="1263">
        <f t="shared" si="3"/>
        <v>0.95238095238095233</v>
      </c>
      <c r="AB38" s="1263">
        <f t="shared" si="4"/>
        <v>1</v>
      </c>
      <c r="AC38" s="1263">
        <f t="shared" si="5"/>
        <v>0.95238095238095233</v>
      </c>
    </row>
    <row r="39" spans="1:29" ht="15">
      <c r="A39" s="408"/>
      <c r="B39" s="363" t="s">
        <v>1787</v>
      </c>
      <c r="C39" s="1759" t="s">
        <v>3685</v>
      </c>
      <c r="D39" s="373">
        <v>100</v>
      </c>
      <c r="E39" s="1759" t="s">
        <v>3685</v>
      </c>
      <c r="F39" s="399">
        <f>SUMIF(116:116,E39,117:117)-SUMIF(116:116,C39,117:117)+100</f>
        <v>100</v>
      </c>
      <c r="G39" s="1759" t="s">
        <v>3685</v>
      </c>
      <c r="H39" s="373">
        <f>SUMIF(116:116,G39,117:117)-SUMIF(116:116,C39,117:117)+100</f>
        <v>100</v>
      </c>
      <c r="I39" s="1759" t="s">
        <v>3685</v>
      </c>
      <c r="J39" s="373">
        <f>SUMIF(116:116,I39,117:117)-SUMIF(116:116,C39,117:117)+100</f>
        <v>100</v>
      </c>
      <c r="K39" s="537">
        <v>2</v>
      </c>
      <c r="L39" s="2489"/>
      <c r="M39" s="2484"/>
      <c r="N39" s="2484"/>
      <c r="O39" s="2484"/>
      <c r="P39" s="3384"/>
      <c r="Q39" s="1262" t="str">
        <f t="shared" si="11"/>
        <v>层高</v>
      </c>
      <c r="R39" s="666" t="s">
        <v>14</v>
      </c>
      <c r="S39" s="667">
        <f t="shared" si="12"/>
        <v>100</v>
      </c>
      <c r="T39" s="666" t="s">
        <v>14</v>
      </c>
      <c r="U39" s="667">
        <f t="shared" si="13"/>
        <v>100</v>
      </c>
      <c r="V39" s="666" t="s">
        <v>14</v>
      </c>
      <c r="W39" s="667">
        <f t="shared" si="14"/>
        <v>100</v>
      </c>
      <c r="X39" s="1264"/>
      <c r="Y39" s="3386"/>
      <c r="Z39" s="1263" t="str">
        <f t="shared" si="15"/>
        <v>层高</v>
      </c>
      <c r="AA39" s="1263">
        <f t="shared" si="3"/>
        <v>1</v>
      </c>
      <c r="AB39" s="1263">
        <f t="shared" si="4"/>
        <v>1</v>
      </c>
      <c r="AC39" s="1263">
        <f t="shared" si="5"/>
        <v>1</v>
      </c>
    </row>
    <row r="40" spans="1:29" ht="15">
      <c r="A40" s="408"/>
      <c r="B40" s="363" t="s">
        <v>1788</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9"/>
      <c r="M40" s="2484"/>
      <c r="N40" s="2484"/>
      <c r="O40" s="2484"/>
      <c r="P40" s="3384"/>
      <c r="Q40" s="1262" t="str">
        <f t="shared" si="11"/>
        <v>单套建筑面积</v>
      </c>
      <c r="R40" s="666" t="s">
        <v>14</v>
      </c>
      <c r="S40" s="667">
        <f t="shared" si="12"/>
        <v>100</v>
      </c>
      <c r="T40" s="666" t="s">
        <v>14</v>
      </c>
      <c r="U40" s="667">
        <f t="shared" si="13"/>
        <v>100</v>
      </c>
      <c r="V40" s="666" t="s">
        <v>14</v>
      </c>
      <c r="W40" s="667">
        <f t="shared" si="14"/>
        <v>100</v>
      </c>
      <c r="X40" s="1264"/>
      <c r="Y40" s="3386"/>
      <c r="Z40" s="1263" t="str">
        <f t="shared" si="15"/>
        <v>单套建筑面积</v>
      </c>
      <c r="AA40" s="1263">
        <f t="shared" si="3"/>
        <v>1</v>
      </c>
      <c r="AB40" s="1263">
        <f t="shared" si="4"/>
        <v>1</v>
      </c>
      <c r="AC40" s="1263">
        <f t="shared" si="5"/>
        <v>1</v>
      </c>
    </row>
    <row r="41" spans="1:29" s="407" customFormat="1" ht="15">
      <c r="A41" s="405"/>
      <c r="B41" s="399" t="s">
        <v>1789</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v>2</v>
      </c>
      <c r="L41" s="2488"/>
      <c r="M41" s="2490"/>
      <c r="N41" s="2490"/>
      <c r="O41" s="2490"/>
      <c r="P41" s="3384"/>
      <c r="Q41" s="530" t="str">
        <f t="shared" si="11"/>
        <v>进深比</v>
      </c>
      <c r="R41" s="668" t="s">
        <v>14</v>
      </c>
      <c r="S41" s="669">
        <f t="shared" si="12"/>
        <v>100</v>
      </c>
      <c r="T41" s="668" t="s">
        <v>14</v>
      </c>
      <c r="U41" s="669">
        <f t="shared" si="13"/>
        <v>100</v>
      </c>
      <c r="V41" s="668" t="s">
        <v>14</v>
      </c>
      <c r="W41" s="669">
        <f t="shared" si="14"/>
        <v>100</v>
      </c>
      <c r="X41" s="670"/>
      <c r="Y41" s="3386"/>
      <c r="Z41" s="671" t="str">
        <f t="shared" si="15"/>
        <v>进深比</v>
      </c>
      <c r="AA41" s="1263">
        <f t="shared" si="3"/>
        <v>1</v>
      </c>
      <c r="AB41" s="1263">
        <f t="shared" si="4"/>
        <v>1</v>
      </c>
      <c r="AC41" s="1263">
        <f t="shared" si="5"/>
        <v>1</v>
      </c>
    </row>
    <row r="42" spans="1:29" ht="15">
      <c r="A42" s="408"/>
      <c r="B42" s="363" t="s">
        <v>1790</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v>2</v>
      </c>
      <c r="L42" s="2489"/>
      <c r="M42" s="2484"/>
      <c r="N42" s="2484"/>
      <c r="O42" s="2484"/>
      <c r="P42" s="3384"/>
      <c r="Q42" s="1262" t="str">
        <f t="shared" si="11"/>
        <v>内部装修</v>
      </c>
      <c r="R42" s="666" t="s">
        <v>14</v>
      </c>
      <c r="S42" s="667">
        <f t="shared" si="12"/>
        <v>100</v>
      </c>
      <c r="T42" s="666" t="s">
        <v>14</v>
      </c>
      <c r="U42" s="667">
        <f t="shared" si="13"/>
        <v>100</v>
      </c>
      <c r="V42" s="666" t="s">
        <v>14</v>
      </c>
      <c r="W42" s="667">
        <f t="shared" si="14"/>
        <v>100</v>
      </c>
      <c r="X42" s="1264"/>
      <c r="Y42" s="3386"/>
      <c r="Z42" s="1263" t="str">
        <f t="shared" si="15"/>
        <v>内部装修</v>
      </c>
      <c r="AA42" s="1263">
        <f t="shared" si="3"/>
        <v>1</v>
      </c>
      <c r="AB42" s="1263">
        <f t="shared" si="4"/>
        <v>1</v>
      </c>
      <c r="AC42" s="1263">
        <f t="shared" si="5"/>
        <v>1</v>
      </c>
    </row>
    <row r="43" spans="1:29" ht="15">
      <c r="A43" s="408"/>
      <c r="B43" s="363" t="s">
        <v>1705</v>
      </c>
      <c r="C43" s="1759" t="s">
        <v>3545</v>
      </c>
      <c r="D43" s="373">
        <v>100</v>
      </c>
      <c r="E43" s="1759" t="s">
        <v>3545</v>
      </c>
      <c r="F43" s="399">
        <f>SUMIF(124:124,E43,125:125)-SUMIF(124:124,C43,125:125)+100</f>
        <v>100</v>
      </c>
      <c r="G43" s="1759" t="s">
        <v>3545</v>
      </c>
      <c r="H43" s="373">
        <f>SUMIF(124:124,G43,125:125)-SUMIF(124:124,C43,125:125)+100</f>
        <v>100</v>
      </c>
      <c r="I43" s="1759" t="s">
        <v>3545</v>
      </c>
      <c r="J43" s="373">
        <f>SUMIF(124:124,I43,125:125)-SUMIF(124:124,C43,125:125)+100</f>
        <v>100</v>
      </c>
      <c r="K43" s="537">
        <v>2</v>
      </c>
      <c r="L43" s="2489"/>
      <c r="M43" s="2484"/>
      <c r="N43" s="2484"/>
      <c r="O43" s="2484"/>
      <c r="P43" s="3384"/>
      <c r="Q43" s="1262" t="str">
        <f t="shared" si="11"/>
        <v>内部装修维护情况</v>
      </c>
      <c r="R43" s="666" t="s">
        <v>14</v>
      </c>
      <c r="S43" s="667">
        <f t="shared" si="12"/>
        <v>100</v>
      </c>
      <c r="T43" s="666" t="s">
        <v>14</v>
      </c>
      <c r="U43" s="667">
        <f t="shared" si="13"/>
        <v>100</v>
      </c>
      <c r="V43" s="666" t="s">
        <v>14</v>
      </c>
      <c r="W43" s="667">
        <f t="shared" si="14"/>
        <v>100</v>
      </c>
      <c r="X43" s="1264"/>
      <c r="Y43" s="3386"/>
      <c r="Z43" s="1263" t="str">
        <f t="shared" si="15"/>
        <v>内部装修维护情况</v>
      </c>
      <c r="AA43" s="1263">
        <f t="shared" si="3"/>
        <v>1</v>
      </c>
      <c r="AB43" s="1263">
        <f t="shared" si="4"/>
        <v>1</v>
      </c>
      <c r="AC43" s="1263">
        <f t="shared" si="5"/>
        <v>1</v>
      </c>
    </row>
    <row r="44" spans="1:29" s="102" customFormat="1" ht="15">
      <c r="A44" s="409"/>
      <c r="B44" s="1065">
        <v>111</v>
      </c>
      <c r="C44" s="406"/>
      <c r="D44" s="119">
        <v>100</v>
      </c>
      <c r="E44" s="372"/>
      <c r="F44" s="363">
        <f>SUMIF(126:126,E44,127:127)-SUMIF(126:126,C44,127:127)+100</f>
        <v>100</v>
      </c>
      <c r="G44" s="372"/>
      <c r="H44" s="119">
        <f>SUMIF(126:126,G44,127:127)-SUMIF(126:126,C44,127:127)+100</f>
        <v>100</v>
      </c>
      <c r="I44" s="372"/>
      <c r="J44" s="119">
        <f>SUMIF(126:126,I44,127:127)-SUMIF(126:126,C44,127:127)+100</f>
        <v>100</v>
      </c>
      <c r="K44" s="538"/>
      <c r="L44" s="2485"/>
      <c r="M44" s="2436"/>
      <c r="N44" s="2436"/>
      <c r="O44" s="2436"/>
      <c r="P44" s="3384"/>
      <c r="Q44" s="529">
        <f t="shared" si="11"/>
        <v>111</v>
      </c>
      <c r="R44" s="663" t="s">
        <v>14</v>
      </c>
      <c r="S44" s="664">
        <f t="shared" si="12"/>
        <v>100</v>
      </c>
      <c r="T44" s="663" t="s">
        <v>14</v>
      </c>
      <c r="U44" s="664">
        <f t="shared" si="13"/>
        <v>100</v>
      </c>
      <c r="V44" s="663" t="s">
        <v>14</v>
      </c>
      <c r="W44" s="664">
        <f t="shared" si="14"/>
        <v>100</v>
      </c>
      <c r="X44" s="665"/>
      <c r="Y44" s="3386"/>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9"/>
      <c r="M45" s="2484"/>
      <c r="N45" s="2484"/>
      <c r="O45" s="2484"/>
      <c r="P45" s="3384"/>
      <c r="Q45" s="1262">
        <f t="shared" si="11"/>
        <v>111</v>
      </c>
      <c r="R45" s="666" t="s">
        <v>14</v>
      </c>
      <c r="S45" s="667">
        <f t="shared" si="12"/>
        <v>100</v>
      </c>
      <c r="T45" s="666" t="s">
        <v>14</v>
      </c>
      <c r="U45" s="667">
        <f t="shared" si="13"/>
        <v>100</v>
      </c>
      <c r="V45" s="666" t="s">
        <v>14</v>
      </c>
      <c r="W45" s="667">
        <f t="shared" si="14"/>
        <v>100</v>
      </c>
      <c r="X45" s="1264"/>
      <c r="Y45" s="3386"/>
      <c r="Z45" s="1263">
        <f t="shared" si="15"/>
        <v>111</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9"/>
      <c r="M46" s="2484"/>
      <c r="N46" s="2484"/>
      <c r="O46" s="2484"/>
      <c r="P46" s="3385"/>
      <c r="Q46" s="1262">
        <f t="shared" si="11"/>
        <v>111</v>
      </c>
      <c r="R46" s="666" t="s">
        <v>14</v>
      </c>
      <c r="S46" s="667">
        <f t="shared" si="12"/>
        <v>100</v>
      </c>
      <c r="T46" s="666" t="s">
        <v>14</v>
      </c>
      <c r="U46" s="667">
        <f t="shared" si="13"/>
        <v>100</v>
      </c>
      <c r="V46" s="666" t="s">
        <v>14</v>
      </c>
      <c r="W46" s="667">
        <f t="shared" si="14"/>
        <v>100</v>
      </c>
      <c r="X46" s="1264"/>
      <c r="Y46" s="3387"/>
      <c r="Z46" s="1263">
        <f t="shared" si="15"/>
        <v>111</v>
      </c>
      <c r="AA46" s="1263">
        <f t="shared" si="3"/>
        <v>1</v>
      </c>
      <c r="AB46" s="1263">
        <f t="shared" si="4"/>
        <v>1</v>
      </c>
      <c r="AC46" s="1263">
        <f t="shared" si="5"/>
        <v>1</v>
      </c>
    </row>
    <row r="47" spans="1:29" ht="15">
      <c r="A47" s="415" t="s">
        <v>1706</v>
      </c>
      <c r="B47" s="416"/>
      <c r="C47" s="1080" t="s">
        <v>0</v>
      </c>
      <c r="D47" s="417"/>
      <c r="E47" s="418">
        <f>案例!P4</f>
        <v>73333</v>
      </c>
      <c r="F47" s="419"/>
      <c r="G47" s="420">
        <f>案例!P29</f>
        <v>70833</v>
      </c>
      <c r="H47" s="421"/>
      <c r="I47" s="418">
        <f>案例!P59</f>
        <v>71000</v>
      </c>
      <c r="J47" s="421"/>
      <c r="K47" s="673"/>
      <c r="L47" s="2491"/>
      <c r="M47" s="2484"/>
      <c r="N47" s="2484"/>
      <c r="O47" s="2484"/>
      <c r="P47" s="3374" t="str">
        <f>A47</f>
        <v>成交单价（元/平方米）</v>
      </c>
      <c r="Q47" s="3374"/>
      <c r="R47" s="3375">
        <f>E47</f>
        <v>73333</v>
      </c>
      <c r="S47" s="3375"/>
      <c r="T47" s="3375">
        <f>G47</f>
        <v>70833</v>
      </c>
      <c r="U47" s="3375"/>
      <c r="V47" s="3375">
        <f>I47</f>
        <v>71000</v>
      </c>
      <c r="W47" s="3375"/>
      <c r="X47" s="384"/>
      <c r="Y47" s="672"/>
      <c r="Z47" s="384"/>
      <c r="AA47" s="384"/>
      <c r="AB47" s="384"/>
      <c r="AC47" s="384"/>
    </row>
    <row r="48" spans="1:29" ht="15.75" thickBot="1">
      <c r="A48" s="422" t="s">
        <v>1791</v>
      </c>
      <c r="B48" s="423"/>
      <c r="C48" s="1081">
        <f>R49</f>
        <v>68708</v>
      </c>
      <c r="D48" s="2139" t="s">
        <v>2134</v>
      </c>
      <c r="E48" s="1082">
        <f>R48</f>
        <v>68634</v>
      </c>
      <c r="F48" s="2140"/>
      <c r="G48" s="1081">
        <f>T48</f>
        <v>71039</v>
      </c>
      <c r="H48" s="2140"/>
      <c r="I48" s="1082">
        <f>V48</f>
        <v>66451</v>
      </c>
      <c r="J48" s="2140"/>
      <c r="K48" s="2142">
        <f>F48+H48+J48</f>
        <v>0</v>
      </c>
      <c r="L48" s="2491"/>
      <c r="M48" s="2484"/>
      <c r="N48" s="2484"/>
      <c r="O48" s="2484"/>
      <c r="P48" s="3374" t="str">
        <f>A48</f>
        <v>比较价值（元/平方米）</v>
      </c>
      <c r="Q48" s="3374"/>
      <c r="R48" s="3375">
        <f>IF(F1="售价",ROUND(PRODUCT(R47,AA7:AA46),0),ROUND(PRODUCT(R47,AA7:AA46),1))</f>
        <v>68634</v>
      </c>
      <c r="S48" s="3375"/>
      <c r="T48" s="3375">
        <f>IF(F1="售价",ROUND(PRODUCT(T47,AB7:AB46),0),ROUND(PRODUCT(T47,AB7:AB46),1))</f>
        <v>71039</v>
      </c>
      <c r="U48" s="3375"/>
      <c r="V48" s="3375">
        <f>IF(F1="售价",ROUND(PRODUCT(V47,AC7:AC46),0),ROUND(PRODUCT(V47,AC7:AC46),1))</f>
        <v>66451</v>
      </c>
      <c r="W48" s="3375"/>
      <c r="X48" s="384"/>
      <c r="Y48" s="384"/>
      <c r="Z48" s="384"/>
      <c r="AA48" s="384"/>
      <c r="AB48" s="384"/>
      <c r="AC48" s="384"/>
    </row>
    <row r="49" spans="1:29" ht="15.75" thickBot="1">
      <c r="A49" s="426" t="s">
        <v>1792</v>
      </c>
      <c r="B49" s="427"/>
      <c r="C49" s="350">
        <f>R49</f>
        <v>68708</v>
      </c>
      <c r="D49" s="350"/>
      <c r="E49" s="350"/>
      <c r="F49" s="350"/>
      <c r="G49" s="350"/>
      <c r="H49" s="350"/>
      <c r="I49" s="350"/>
      <c r="J49" s="350"/>
      <c r="K49" s="674"/>
      <c r="L49" s="2491"/>
      <c r="M49" s="2484"/>
      <c r="N49" s="2484"/>
      <c r="O49" s="2484"/>
      <c r="P49" s="3376" t="str">
        <f>A49</f>
        <v>估价对象XX用房的比较价值（楼面单价，元/平方米）</v>
      </c>
      <c r="Q49" s="3377"/>
      <c r="R49" s="3378">
        <f>IF(F1="售价",ROUND(IF(D48="简单平均",AVERAGE(R48:V48),R48*F48+T48*H48+V48*J48),0),ROUND(IF(D48="简单平均",AVERAGE(R48:V48),R48*F48+T48*H48+V48*J48),1))</f>
        <v>68708</v>
      </c>
      <c r="S49" s="3378"/>
      <c r="T49" s="3378"/>
      <c r="U49" s="3378"/>
      <c r="V49" s="3378"/>
      <c r="W49" s="3378"/>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1" t="s">
        <v>1793</v>
      </c>
      <c r="D52" s="432"/>
      <c r="E52" s="433">
        <f>IF(E47&lt;E48,E48/E47-1,E47/E48-1)</f>
        <v>6.8464609377276497E-2</v>
      </c>
      <c r="F52" s="434" t="str">
        <f>IF(OR(E52&gt;=0.3,E52&lt;=-0.3),"超过30%","")</f>
        <v/>
      </c>
      <c r="G52" s="433">
        <f>IF(G47&lt;G48,G48/G47-1,G47/G48-1)</f>
        <v>2.9082489799951983E-3</v>
      </c>
      <c r="H52" s="434" t="str">
        <f>IF(OR(G52&gt;=0.3,G52&lt;=-0.3),"超过30%","")</f>
        <v/>
      </c>
      <c r="I52" s="433">
        <f>IF(I47&lt;I48,I48/I47-1,I47/I48-1)</f>
        <v>6.8456456637221441E-2</v>
      </c>
      <c r="J52" s="434" t="str">
        <f>IF(OR(I52&gt;=0.3,I52&lt;=-0.3),"超过30%","")</f>
        <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1" t="s">
        <v>1794</v>
      </c>
      <c r="D53" s="435"/>
      <c r="E53" s="433">
        <f>IF(E48&lt;G48,G48/E48-1,E48/G48-1)</f>
        <v>3.5040941807267467E-2</v>
      </c>
      <c r="F53" s="434" t="str">
        <f>IF(OR(E53&gt;=0.2,E53&lt;=-0.2),"超过20%","")</f>
        <v/>
      </c>
      <c r="G53" s="433">
        <f>IF(G48&lt;I48,I48/G48-1,G48/I48-1)</f>
        <v>6.904335525424754E-2</v>
      </c>
      <c r="H53" s="434" t="str">
        <f>IF(OR(G53&gt;=0.2,G53&lt;=-0.2),"超过20%","")</f>
        <v/>
      </c>
      <c r="I53" s="433">
        <f>IF(I48&lt;E48,E48/I48-1,I48/E48-1)</f>
        <v>3.285127387097253E-2</v>
      </c>
      <c r="J53" s="434" t="str">
        <f>IF(OR(I53&gt;=0.2,I53&lt;=-0.2),"超过20%","")</f>
        <v/>
      </c>
      <c r="K53" s="2496"/>
      <c r="L53" s="2492"/>
      <c r="M53" s="2484"/>
      <c r="N53" s="2484"/>
      <c r="O53" s="2484"/>
      <c r="P53" s="2502"/>
      <c r="Q53" s="2484"/>
      <c r="R53" s="2484"/>
      <c r="S53" s="2484"/>
      <c r="T53" s="2484"/>
      <c r="U53" s="2484"/>
      <c r="V53" s="2484"/>
      <c r="W53" s="2484"/>
      <c r="X53" s="2484"/>
      <c r="Y53" s="2484"/>
      <c r="Z53" s="2484"/>
      <c r="AA53" s="2484"/>
      <c r="AB53" s="2484"/>
      <c r="AC53" s="2484"/>
    </row>
    <row r="54" spans="1:29" s="436" customFormat="1" ht="13.5" customHeight="1">
      <c r="A54" s="2494"/>
      <c r="B54" s="2494"/>
      <c r="C54" s="431" t="s">
        <v>1795</v>
      </c>
      <c r="D54" s="435"/>
      <c r="E54" s="433">
        <f>IF(E47&lt;G47,G47/E47-1,E47/G47-1)</f>
        <v>3.5294283737805854E-2</v>
      </c>
      <c r="F54" s="434" t="str">
        <f>IF(OR(E54&gt;=0.3,E54&lt;=-0.3),"超过30%","")</f>
        <v/>
      </c>
      <c r="G54" s="433">
        <f>IF(G47&lt;I47,I47/G47-1,G47/I47-1)</f>
        <v>2.3576581536854935E-3</v>
      </c>
      <c r="H54" s="434" t="str">
        <f>IF(OR(G54&gt;=0.3,G54&lt;=-0.3),"超过30%","")</f>
        <v/>
      </c>
      <c r="I54" s="433">
        <f>IF(I47&lt;E47,E47/I47-1,I47/E47-1)</f>
        <v>3.2859154929577361E-2</v>
      </c>
      <c r="J54" s="434" t="str">
        <f>IF(OR(I54&gt;=0.3,I54&lt;=-0.3),"超过30%","")</f>
        <v/>
      </c>
      <c r="K54" s="2499"/>
      <c r="L54" s="2493"/>
      <c r="M54" s="2494"/>
      <c r="N54" s="2494"/>
      <c r="O54" s="2494"/>
      <c r="P54" s="2503"/>
      <c r="Q54" s="2494"/>
      <c r="R54" s="2494"/>
      <c r="S54" s="2494"/>
      <c r="T54" s="2494"/>
      <c r="U54" s="2494"/>
      <c r="V54" s="2494"/>
      <c r="W54" s="2494"/>
      <c r="X54" s="2494"/>
      <c r="Y54" s="2494"/>
      <c r="Z54" s="2494"/>
      <c r="AA54" s="2494"/>
      <c r="AB54" s="2494"/>
      <c r="AC54" s="2494"/>
    </row>
    <row r="55" spans="1:29" s="436"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1.75" thickBot="1">
      <c r="A57" s="657" t="s">
        <v>1796</v>
      </c>
      <c r="B57" s="384"/>
      <c r="C57" s="658"/>
      <c r="D57" s="658"/>
      <c r="E57" s="658"/>
      <c r="F57" s="659"/>
      <c r="G57" s="659"/>
      <c r="H57" s="658"/>
      <c r="I57" s="658"/>
      <c r="J57" s="658"/>
      <c r="K57" s="660"/>
      <c r="L57" s="887"/>
      <c r="M57" s="885"/>
      <c r="N57" s="885"/>
      <c r="O57" s="885"/>
      <c r="P57" s="2504"/>
      <c r="Q57" s="2505"/>
      <c r="R57" s="2484"/>
      <c r="S57" s="2484"/>
      <c r="T57" s="2484"/>
      <c r="U57" s="2484"/>
      <c r="V57" s="2484"/>
      <c r="W57" s="2484"/>
      <c r="X57" s="2484"/>
      <c r="Y57" s="2484"/>
      <c r="Z57" s="2484"/>
      <c r="AA57" s="2484"/>
      <c r="AB57" s="2484"/>
      <c r="AC57" s="2484"/>
    </row>
    <row r="58" spans="1:29" s="441" customFormat="1" ht="15">
      <c r="A58" s="439" t="s">
        <v>1677</v>
      </c>
      <c r="B58" s="440"/>
      <c r="C58" s="1102" t="str">
        <f>YEAR(C7)&amp;"-"&amp;MONTH(C7)</f>
        <v>2023-4</v>
      </c>
      <c r="D58" s="1103">
        <f>EDATE(C58,-1)</f>
        <v>44986</v>
      </c>
      <c r="E58" s="1103">
        <f t="shared" ref="E58:N58" si="16">EDATE(D58,-1)</f>
        <v>44958</v>
      </c>
      <c r="F58" s="1103">
        <f t="shared" si="16"/>
        <v>44927</v>
      </c>
      <c r="G58" s="1103">
        <f t="shared" si="16"/>
        <v>44896</v>
      </c>
      <c r="H58" s="1103">
        <f t="shared" si="16"/>
        <v>44866</v>
      </c>
      <c r="I58" s="1103">
        <f t="shared" si="16"/>
        <v>44835</v>
      </c>
      <c r="J58" s="1103">
        <f t="shared" si="16"/>
        <v>44805</v>
      </c>
      <c r="K58" s="1103">
        <f t="shared" si="16"/>
        <v>44774</v>
      </c>
      <c r="L58" s="1103">
        <f t="shared" si="16"/>
        <v>44743</v>
      </c>
      <c r="M58" s="1103">
        <f t="shared" si="16"/>
        <v>44713</v>
      </c>
      <c r="N58" s="1103">
        <f t="shared" si="16"/>
        <v>44682</v>
      </c>
      <c r="O58" s="1103">
        <f>EDATE(N58,-1)</f>
        <v>44652</v>
      </c>
      <c r="P58" s="2506"/>
      <c r="Q58" s="2507"/>
      <c r="R58" s="2507"/>
      <c r="S58" s="2507"/>
      <c r="T58" s="2507"/>
      <c r="U58" s="2507"/>
      <c r="V58" s="2507"/>
      <c r="W58" s="2507"/>
      <c r="X58" s="2507"/>
      <c r="Y58" s="2507"/>
      <c r="Z58" s="2507"/>
      <c r="AA58" s="2507"/>
      <c r="AB58" s="2507"/>
      <c r="AC58" s="2507"/>
    </row>
    <row r="59" spans="1:29" s="102" customFormat="1" ht="15">
      <c r="A59" s="442"/>
      <c r="B59" s="443"/>
      <c r="C59" s="1101">
        <v>100</v>
      </c>
      <c r="D59" s="445"/>
      <c r="E59" s="445"/>
      <c r="F59" s="445"/>
      <c r="G59" s="445"/>
      <c r="H59" s="445"/>
      <c r="I59" s="445"/>
      <c r="J59" s="445"/>
      <c r="K59" s="445"/>
      <c r="L59" s="445"/>
      <c r="M59" s="446"/>
      <c r="N59" s="445"/>
      <c r="O59" s="446"/>
      <c r="P59" s="2508"/>
      <c r="Q59" s="2436"/>
      <c r="R59" s="2436"/>
      <c r="S59" s="2436"/>
      <c r="T59" s="2436"/>
      <c r="U59" s="2436"/>
      <c r="V59" s="2436"/>
      <c r="W59" s="2436"/>
      <c r="X59" s="2436"/>
      <c r="Y59" s="2436"/>
      <c r="Z59" s="2436"/>
      <c r="AA59" s="2436"/>
      <c r="AB59" s="2436"/>
      <c r="AC59" s="2436"/>
    </row>
    <row r="60" spans="1:29" s="102" customFormat="1" ht="15.75" thickBot="1">
      <c r="A60" s="448" t="s">
        <v>1714</v>
      </c>
      <c r="B60" s="449"/>
      <c r="C60" s="450"/>
      <c r="D60" s="451"/>
      <c r="E60" s="451"/>
      <c r="F60" s="451"/>
      <c r="G60" s="451"/>
      <c r="H60" s="451"/>
      <c r="I60" s="451"/>
      <c r="J60" s="451"/>
      <c r="K60" s="451"/>
      <c r="L60" s="451"/>
      <c r="M60" s="452"/>
      <c r="N60" s="451"/>
      <c r="O60" s="452"/>
      <c r="P60" s="2508"/>
      <c r="Q60" s="2505"/>
      <c r="R60" s="2436"/>
      <c r="S60" s="2436"/>
      <c r="T60" s="2436"/>
      <c r="U60" s="2436"/>
      <c r="V60" s="2436"/>
      <c r="W60" s="2436"/>
      <c r="X60" s="2436"/>
      <c r="Y60" s="2436"/>
      <c r="Z60" s="2436"/>
      <c r="AA60" s="2436"/>
      <c r="AB60" s="2436"/>
      <c r="AC60" s="2436"/>
    </row>
    <row r="61" spans="1:29" s="102" customFormat="1" ht="15">
      <c r="A61" s="454" t="s">
        <v>1679</v>
      </c>
      <c r="B61" s="443"/>
      <c r="C61" s="455" t="s">
        <v>1774</v>
      </c>
      <c r="D61" s="3165" t="s">
        <v>3657</v>
      </c>
      <c r="E61" s="31"/>
      <c r="F61" s="31"/>
      <c r="G61" s="31"/>
      <c r="H61" s="31"/>
      <c r="I61" s="31"/>
      <c r="J61" s="31"/>
      <c r="K61" s="31"/>
      <c r="L61" s="456"/>
      <c r="M61" s="457"/>
      <c r="N61" s="2517"/>
      <c r="O61" s="2517"/>
      <c r="P61" s="2509"/>
      <c r="Q61" s="2505"/>
      <c r="R61" s="2436"/>
      <c r="S61" s="2436"/>
      <c r="T61" s="2436"/>
      <c r="U61" s="2436"/>
      <c r="V61" s="2436"/>
      <c r="W61" s="2436"/>
      <c r="X61" s="2436"/>
      <c r="Y61" s="2436"/>
      <c r="Z61" s="2436"/>
      <c r="AA61" s="2436"/>
      <c r="AB61" s="2436"/>
      <c r="AC61" s="2436"/>
    </row>
    <row r="62" spans="1:29" s="102" customFormat="1" ht="15.75" thickBot="1">
      <c r="A62" s="454"/>
      <c r="B62" s="443"/>
      <c r="C62" s="444">
        <v>100</v>
      </c>
      <c r="D62" s="445">
        <v>105</v>
      </c>
      <c r="E62" s="445"/>
      <c r="F62" s="445"/>
      <c r="G62" s="445"/>
      <c r="H62" s="445"/>
      <c r="I62" s="445"/>
      <c r="J62" s="445"/>
      <c r="K62" s="445"/>
      <c r="L62" s="445"/>
      <c r="M62" s="447"/>
      <c r="N62" s="2517"/>
      <c r="O62" s="2517"/>
      <c r="P62" s="2508"/>
      <c r="Q62" s="2505"/>
      <c r="R62" s="2436"/>
      <c r="S62" s="2436"/>
      <c r="T62" s="2436"/>
      <c r="U62" s="2436"/>
      <c r="V62" s="2436"/>
      <c r="W62" s="2436"/>
      <c r="X62" s="2436"/>
      <c r="Y62" s="2436"/>
      <c r="Z62" s="2436"/>
      <c r="AA62" s="2436"/>
      <c r="AB62" s="2436"/>
      <c r="AC62" s="2436"/>
    </row>
    <row r="63" spans="1:29">
      <c r="A63" s="378" t="s">
        <v>1717</v>
      </c>
      <c r="B63" s="459" t="s">
        <v>1683</v>
      </c>
      <c r="C63" s="460" t="str">
        <f>C9</f>
        <v>商业</v>
      </c>
      <c r="D63" s="461"/>
      <c r="E63" s="461"/>
      <c r="F63" s="461"/>
      <c r="G63" s="461"/>
      <c r="H63" s="461"/>
      <c r="I63" s="461"/>
      <c r="J63" s="461"/>
      <c r="K63" s="462"/>
      <c r="L63" s="463"/>
      <c r="M63" s="464"/>
      <c r="N63" s="2518"/>
      <c r="O63" s="2518"/>
      <c r="P63" s="2510"/>
      <c r="Q63" s="2505"/>
      <c r="R63" s="2484"/>
      <c r="S63" s="2484"/>
      <c r="T63" s="2484"/>
      <c r="U63" s="2484"/>
      <c r="V63" s="2484"/>
      <c r="W63" s="2484"/>
      <c r="X63" s="2484"/>
      <c r="Y63" s="2484"/>
      <c r="Z63" s="2484"/>
      <c r="AA63" s="2484"/>
      <c r="AB63" s="2484"/>
      <c r="AC63" s="2484"/>
    </row>
    <row r="64" spans="1:29" ht="15.75" thickBot="1">
      <c r="A64" s="366"/>
      <c r="B64" s="465"/>
      <c r="C64" s="466">
        <v>100</v>
      </c>
      <c r="D64" s="466"/>
      <c r="E64" s="466"/>
      <c r="F64" s="466"/>
      <c r="G64" s="466"/>
      <c r="H64" s="466"/>
      <c r="I64" s="466"/>
      <c r="J64" s="466"/>
      <c r="K64" s="466"/>
      <c r="L64" s="466"/>
      <c r="M64" s="467"/>
      <c r="N64" s="2519"/>
      <c r="O64" s="2519"/>
      <c r="P64" s="2510"/>
      <c r="Q64" s="2505"/>
      <c r="R64" s="2484"/>
      <c r="S64" s="2484"/>
      <c r="T64" s="2484"/>
      <c r="U64" s="2484"/>
      <c r="V64" s="2484"/>
      <c r="W64" s="2484"/>
      <c r="X64" s="2484"/>
      <c r="Y64" s="2484"/>
      <c r="Z64" s="2484"/>
      <c r="AA64" s="2484"/>
      <c r="AB64" s="2484"/>
      <c r="AC64" s="2484"/>
    </row>
    <row r="65" spans="1:29" ht="27.75" thickTop="1">
      <c r="A65" s="366"/>
      <c r="B65" s="468" t="s">
        <v>1686</v>
      </c>
      <c r="C65" s="512" t="s">
        <v>3705</v>
      </c>
      <c r="D65" s="512" t="s">
        <v>3663</v>
      </c>
      <c r="E65" s="512" t="s">
        <v>3662</v>
      </c>
      <c r="F65" s="512" t="s">
        <v>3661</v>
      </c>
      <c r="G65" s="512" t="s">
        <v>3660</v>
      </c>
      <c r="H65" s="512" t="s">
        <v>3659</v>
      </c>
      <c r="I65" s="512"/>
      <c r="J65" s="512"/>
      <c r="K65" s="513"/>
      <c r="L65" s="514"/>
      <c r="M65" s="515"/>
      <c r="N65" s="2518"/>
      <c r="O65" s="2518"/>
      <c r="P65" s="2510"/>
      <c r="Q65" s="2505"/>
      <c r="R65" s="2484"/>
      <c r="S65" s="2484"/>
      <c r="T65" s="2484"/>
      <c r="U65" s="2484"/>
      <c r="V65" s="2484"/>
      <c r="W65" s="2484"/>
      <c r="X65" s="2484"/>
      <c r="Y65" s="2484"/>
      <c r="Z65" s="2484"/>
      <c r="AA65" s="2484"/>
      <c r="AB65" s="2484"/>
      <c r="AC65" s="2484"/>
    </row>
    <row r="66" spans="1:29" ht="15.75" thickBot="1">
      <c r="A66" s="366"/>
      <c r="B66" s="473"/>
      <c r="C66" s="466">
        <v>100</v>
      </c>
      <c r="D66" s="466">
        <v>101</v>
      </c>
      <c r="E66" s="466">
        <v>102</v>
      </c>
      <c r="F66" s="466">
        <v>103</v>
      </c>
      <c r="G66" s="466">
        <v>104</v>
      </c>
      <c r="H66" s="466">
        <v>105</v>
      </c>
      <c r="I66" s="466"/>
      <c r="J66" s="466"/>
      <c r="K66" s="466"/>
      <c r="L66" s="466"/>
      <c r="M66" s="467"/>
      <c r="N66" s="2519"/>
      <c r="O66" s="2519"/>
      <c r="P66" s="2510"/>
      <c r="Q66" s="2505"/>
      <c r="R66" s="2484"/>
      <c r="S66" s="2484"/>
      <c r="T66" s="2484"/>
      <c r="U66" s="2484"/>
      <c r="V66" s="2484"/>
      <c r="W66" s="2484"/>
      <c r="X66" s="2484"/>
      <c r="Y66" s="2484"/>
      <c r="Z66" s="2484"/>
      <c r="AA66" s="2484"/>
      <c r="AB66" s="2484"/>
      <c r="AC66" s="2484"/>
    </row>
    <row r="67" spans="1:29" ht="15.75" thickTop="1">
      <c r="A67" s="366"/>
      <c r="B67" s="476" t="s">
        <v>1687</v>
      </c>
      <c r="C67" s="477" t="str">
        <f>C68&amp;"（含）"&amp;"-"&amp;D68</f>
        <v>0（含）-1</v>
      </c>
      <c r="D67" s="477" t="str">
        <f t="shared" ref="D67:L67" si="17">D68&amp;"（含）"&amp;"-"&amp;E68</f>
        <v>1（含）-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9"/>
      <c r="O67" s="2519"/>
      <c r="P67" s="2510"/>
      <c r="Q67" s="2505"/>
      <c r="R67" s="2484"/>
      <c r="S67" s="2484"/>
      <c r="T67" s="2484"/>
      <c r="U67" s="2484"/>
      <c r="V67" s="2484"/>
      <c r="W67" s="2484"/>
      <c r="X67" s="2484"/>
      <c r="Y67" s="2484"/>
      <c r="Z67" s="2484"/>
      <c r="AA67" s="2484"/>
      <c r="AB67" s="2484"/>
      <c r="AC67" s="2484"/>
    </row>
    <row r="68" spans="1:29" ht="15">
      <c r="A68" s="366"/>
      <c r="B68" s="478"/>
      <c r="C68" s="479">
        <v>0</v>
      </c>
      <c r="D68" s="479">
        <v>1</v>
      </c>
      <c r="E68" s="479"/>
      <c r="F68" s="479"/>
      <c r="G68" s="479"/>
      <c r="H68" s="479"/>
      <c r="I68" s="479"/>
      <c r="J68" s="479"/>
      <c r="K68" s="480"/>
      <c r="L68" s="481"/>
      <c r="M68" s="482"/>
      <c r="N68" s="2518"/>
      <c r="O68" s="2518"/>
      <c r="P68" s="2510"/>
      <c r="Q68" s="2505"/>
      <c r="R68" s="2484"/>
      <c r="S68" s="2484"/>
      <c r="T68" s="2484"/>
      <c r="U68" s="2484"/>
      <c r="V68" s="2484"/>
      <c r="W68" s="2484"/>
      <c r="X68" s="2484"/>
      <c r="Y68" s="2484"/>
      <c r="Z68" s="2484"/>
      <c r="AA68" s="2484"/>
      <c r="AB68" s="2484"/>
      <c r="AC68" s="2484"/>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9"/>
      <c r="O69" s="2519"/>
      <c r="P69" s="2510"/>
      <c r="Q69" s="2505"/>
      <c r="R69" s="2484"/>
      <c r="S69" s="2484"/>
      <c r="T69" s="2484"/>
      <c r="U69" s="2484"/>
      <c r="V69" s="2484"/>
      <c r="W69" s="2484"/>
      <c r="X69" s="2484"/>
      <c r="Y69" s="2484"/>
      <c r="Z69" s="2484"/>
      <c r="AA69" s="2484"/>
      <c r="AB69" s="2484"/>
      <c r="AC69" s="2484"/>
    </row>
    <row r="70" spans="1:29" s="407" customFormat="1" ht="15.75" thickTop="1">
      <c r="A70" s="483"/>
      <c r="B70" s="468">
        <f>B12</f>
        <v>111</v>
      </c>
      <c r="C70" s="484"/>
      <c r="D70" s="484"/>
      <c r="E70" s="484"/>
      <c r="F70" s="484"/>
      <c r="G70" s="484"/>
      <c r="H70" s="485"/>
      <c r="I70" s="485"/>
      <c r="J70" s="485"/>
      <c r="K70" s="485"/>
      <c r="L70" s="486"/>
      <c r="M70" s="487"/>
      <c r="N70" s="2520"/>
      <c r="O70" s="2520"/>
      <c r="P70" s="2511"/>
      <c r="Q70" s="2512"/>
      <c r="R70" s="2490"/>
      <c r="S70" s="2490"/>
      <c r="T70" s="2490"/>
      <c r="U70" s="2490"/>
      <c r="V70" s="2490"/>
      <c r="W70" s="2490"/>
      <c r="X70" s="2490"/>
      <c r="Y70" s="2490"/>
      <c r="Z70" s="2490"/>
      <c r="AA70" s="2490"/>
      <c r="AB70" s="2490"/>
      <c r="AC70" s="2490"/>
    </row>
    <row r="71" spans="1:29" s="407" customFormat="1" ht="15.75" thickBot="1">
      <c r="A71" s="483"/>
      <c r="B71" s="473"/>
      <c r="C71" s="490"/>
      <c r="D71" s="466"/>
      <c r="E71" s="466"/>
      <c r="F71" s="466"/>
      <c r="G71" s="466"/>
      <c r="H71" s="466"/>
      <c r="I71" s="466"/>
      <c r="J71" s="466"/>
      <c r="K71" s="466"/>
      <c r="L71" s="466"/>
      <c r="M71" s="467"/>
      <c r="N71" s="2519"/>
      <c r="O71" s="2519"/>
      <c r="P71" s="2511"/>
      <c r="Q71" s="2512"/>
      <c r="R71" s="2490"/>
      <c r="S71" s="2490"/>
      <c r="T71" s="2490"/>
      <c r="U71" s="2490"/>
      <c r="V71" s="2490"/>
      <c r="W71" s="2490"/>
      <c r="X71" s="2490"/>
      <c r="Y71" s="2490"/>
      <c r="Z71" s="2490"/>
      <c r="AA71" s="2490"/>
      <c r="AB71" s="2490"/>
      <c r="AC71" s="2490"/>
    </row>
    <row r="72" spans="1:29" s="407" customFormat="1" ht="15.75" thickTop="1">
      <c r="A72" s="483"/>
      <c r="B72" s="468">
        <f>B13</f>
        <v>111</v>
      </c>
      <c r="C72" s="484"/>
      <c r="D72" s="484"/>
      <c r="E72" s="484"/>
      <c r="F72" s="484"/>
      <c r="G72" s="484"/>
      <c r="H72" s="485"/>
      <c r="I72" s="485"/>
      <c r="J72" s="485"/>
      <c r="K72" s="485"/>
      <c r="L72" s="486"/>
      <c r="M72" s="487"/>
      <c r="N72" s="2520"/>
      <c r="O72" s="2520"/>
      <c r="P72" s="2513"/>
      <c r="Q72" s="2514"/>
      <c r="R72" s="2490"/>
      <c r="S72" s="2490"/>
      <c r="T72" s="2490"/>
      <c r="U72" s="2490"/>
      <c r="V72" s="2490"/>
      <c r="W72" s="2490"/>
      <c r="X72" s="2490"/>
      <c r="Y72" s="2490"/>
      <c r="Z72" s="2490"/>
      <c r="AA72" s="2490"/>
      <c r="AB72" s="2490"/>
      <c r="AC72" s="2490"/>
    </row>
    <row r="73" spans="1:29" s="407" customFormat="1" ht="15.75" thickBot="1">
      <c r="A73" s="483"/>
      <c r="B73" s="473"/>
      <c r="C73" s="490"/>
      <c r="D73" s="466"/>
      <c r="E73" s="466"/>
      <c r="F73" s="466"/>
      <c r="G73" s="490"/>
      <c r="H73" s="492"/>
      <c r="I73" s="492"/>
      <c r="J73" s="492"/>
      <c r="K73" s="492"/>
      <c r="L73" s="492"/>
      <c r="M73" s="493"/>
      <c r="N73" s="2520"/>
      <c r="O73" s="2520"/>
      <c r="P73" s="2511"/>
      <c r="Q73" s="2512"/>
      <c r="R73" s="2490"/>
      <c r="S73" s="2490"/>
      <c r="T73" s="2490"/>
      <c r="U73" s="2490"/>
      <c r="V73" s="2490"/>
      <c r="W73" s="2490"/>
      <c r="X73" s="2490"/>
      <c r="Y73" s="2490"/>
      <c r="Z73" s="2490"/>
      <c r="AA73" s="2490"/>
      <c r="AB73" s="2490"/>
      <c r="AC73" s="2490"/>
    </row>
    <row r="74" spans="1:29" s="407" customFormat="1" ht="15.75" thickTop="1">
      <c r="A74" s="483"/>
      <c r="B74" s="476">
        <f>B14</f>
        <v>111</v>
      </c>
      <c r="C74" s="484"/>
      <c r="D74" s="484"/>
      <c r="E74" s="484"/>
      <c r="F74" s="484"/>
      <c r="G74" s="31"/>
      <c r="H74" s="494"/>
      <c r="I74" s="494"/>
      <c r="J74" s="494"/>
      <c r="K74" s="494"/>
      <c r="L74" s="495"/>
      <c r="M74" s="496"/>
      <c r="N74" s="2520"/>
      <c r="O74" s="2520"/>
      <c r="P74" s="2515"/>
      <c r="Q74" s="2512"/>
      <c r="R74" s="2490"/>
      <c r="S74" s="2490"/>
      <c r="T74" s="2490"/>
      <c r="U74" s="2490"/>
      <c r="V74" s="2490"/>
      <c r="W74" s="2490"/>
      <c r="X74" s="2490"/>
      <c r="Y74" s="2490"/>
      <c r="Z74" s="2490"/>
      <c r="AA74" s="2490"/>
      <c r="AB74" s="2490"/>
      <c r="AC74" s="2490"/>
    </row>
    <row r="75" spans="1:29" s="407" customFormat="1" ht="15.75" thickBot="1">
      <c r="A75" s="498"/>
      <c r="B75" s="499"/>
      <c r="C75" s="500"/>
      <c r="D75" s="500"/>
      <c r="E75" s="500"/>
      <c r="F75" s="500"/>
      <c r="G75" s="500"/>
      <c r="H75" s="501"/>
      <c r="I75" s="501"/>
      <c r="J75" s="501"/>
      <c r="K75" s="501"/>
      <c r="L75" s="501"/>
      <c r="M75" s="502"/>
      <c r="N75" s="2520"/>
      <c r="O75" s="2520"/>
      <c r="P75" s="2511"/>
      <c r="Q75" s="2512"/>
      <c r="R75" s="2490"/>
      <c r="S75" s="2490"/>
      <c r="T75" s="2490"/>
      <c r="U75" s="2490"/>
      <c r="V75" s="2490"/>
      <c r="W75" s="2490"/>
      <c r="X75" s="2490"/>
      <c r="Y75" s="2490"/>
      <c r="Z75" s="2490"/>
      <c r="AA75" s="2490"/>
      <c r="AB75" s="2490"/>
      <c r="AC75" s="2490"/>
    </row>
    <row r="76" spans="1:29">
      <c r="A76" s="378" t="s">
        <v>1688</v>
      </c>
      <c r="B76" s="459" t="s">
        <v>1718</v>
      </c>
      <c r="C76" s="503" t="s">
        <v>1719</v>
      </c>
      <c r="D76" s="503" t="s">
        <v>1720</v>
      </c>
      <c r="E76" s="503" t="s">
        <v>1721</v>
      </c>
      <c r="F76" s="503" t="s">
        <v>1722</v>
      </c>
      <c r="G76" s="503" t="s">
        <v>1723</v>
      </c>
      <c r="H76" s="460"/>
      <c r="I76" s="460"/>
      <c r="J76" s="460"/>
      <c r="K76" s="504"/>
      <c r="L76" s="505"/>
      <c r="M76" s="506"/>
      <c r="N76" s="2518"/>
      <c r="O76" s="2518"/>
      <c r="P76" s="2516"/>
      <c r="Q76" s="2505"/>
      <c r="R76" s="2484"/>
      <c r="S76" s="2484"/>
      <c r="T76" s="2484"/>
      <c r="U76" s="2484"/>
      <c r="V76" s="2484"/>
      <c r="W76" s="2484"/>
      <c r="X76" s="2484"/>
      <c r="Y76" s="2484"/>
      <c r="Z76" s="2484"/>
      <c r="AA76" s="2484"/>
      <c r="AB76" s="2484"/>
      <c r="AC76" s="2484"/>
    </row>
    <row r="77" spans="1:29" ht="15.75" thickBot="1">
      <c r="A77" s="366"/>
      <c r="B77" s="473"/>
      <c r="C77" s="474">
        <v>100</v>
      </c>
      <c r="D77" s="474">
        <f>C77-$K15</f>
        <v>95</v>
      </c>
      <c r="E77" s="474">
        <f>D77-$K15</f>
        <v>90</v>
      </c>
      <c r="F77" s="474">
        <f>E77-$K15</f>
        <v>85</v>
      </c>
      <c r="G77" s="474">
        <f>F77-$K15</f>
        <v>80</v>
      </c>
      <c r="H77" s="474"/>
      <c r="I77" s="474"/>
      <c r="J77" s="474"/>
      <c r="K77" s="474"/>
      <c r="L77" s="474"/>
      <c r="M77" s="475"/>
      <c r="N77" s="2519"/>
      <c r="O77" s="2519"/>
      <c r="P77" s="2510"/>
      <c r="Q77" s="2505"/>
      <c r="R77" s="2484"/>
      <c r="S77" s="2484"/>
      <c r="T77" s="2484"/>
      <c r="U77" s="2484"/>
      <c r="V77" s="2484"/>
      <c r="W77" s="2484"/>
      <c r="X77" s="2484"/>
      <c r="Y77" s="2484"/>
      <c r="Z77" s="2484"/>
      <c r="AA77" s="2484"/>
      <c r="AB77" s="2484"/>
      <c r="AC77" s="2484"/>
    </row>
    <row r="78" spans="1:29" ht="15.75" thickTop="1">
      <c r="A78" s="366"/>
      <c r="B78" s="468" t="s">
        <v>1724</v>
      </c>
      <c r="C78" s="508" t="s">
        <v>1719</v>
      </c>
      <c r="D78" s="508" t="s">
        <v>1720</v>
      </c>
      <c r="E78" s="508" t="s">
        <v>1721</v>
      </c>
      <c r="F78" s="508" t="s">
        <v>1722</v>
      </c>
      <c r="G78" s="508" t="s">
        <v>1723</v>
      </c>
      <c r="H78" s="469"/>
      <c r="I78" s="469"/>
      <c r="J78" s="469"/>
      <c r="K78" s="470"/>
      <c r="L78" s="471"/>
      <c r="M78" s="472"/>
      <c r="N78" s="2518"/>
      <c r="O78" s="2518"/>
      <c r="P78" s="2510"/>
      <c r="Q78" s="2505"/>
      <c r="R78" s="2484"/>
      <c r="S78" s="2484"/>
      <c r="T78" s="2484"/>
      <c r="U78" s="2484"/>
      <c r="V78" s="2484"/>
      <c r="W78" s="2484"/>
      <c r="X78" s="2484"/>
      <c r="Y78" s="2484"/>
      <c r="Z78" s="2484"/>
      <c r="AA78" s="2484"/>
      <c r="AB78" s="2484"/>
      <c r="AC78" s="2484"/>
    </row>
    <row r="79" spans="1:29" ht="15.75" thickBot="1">
      <c r="A79" s="366"/>
      <c r="B79" s="473"/>
      <c r="C79" s="474">
        <v>100</v>
      </c>
      <c r="D79" s="474">
        <f>C79-$K17</f>
        <v>98</v>
      </c>
      <c r="E79" s="474">
        <f>D79-$K17</f>
        <v>96</v>
      </c>
      <c r="F79" s="474">
        <f>E79-$K17</f>
        <v>94</v>
      </c>
      <c r="G79" s="474">
        <f>F79-$K17</f>
        <v>92</v>
      </c>
      <c r="H79" s="474"/>
      <c r="I79" s="474"/>
      <c r="J79" s="474"/>
      <c r="K79" s="474"/>
      <c r="L79" s="474"/>
      <c r="M79" s="475"/>
      <c r="N79" s="2519"/>
      <c r="O79" s="2519"/>
      <c r="P79" s="2510"/>
      <c r="Q79" s="2505"/>
      <c r="R79" s="2484"/>
      <c r="S79" s="2484"/>
      <c r="T79" s="2484"/>
      <c r="U79" s="2484"/>
      <c r="V79" s="2484"/>
      <c r="W79" s="2484"/>
      <c r="X79" s="2484"/>
      <c r="Y79" s="2484"/>
      <c r="Z79" s="2484"/>
      <c r="AA79" s="2484"/>
      <c r="AB79" s="2484"/>
      <c r="AC79" s="2484"/>
    </row>
    <row r="80" spans="1:29" ht="15.75" thickTop="1">
      <c r="A80" s="366"/>
      <c r="B80" s="468" t="s">
        <v>1725</v>
      </c>
      <c r="C80" s="508" t="s">
        <v>1719</v>
      </c>
      <c r="D80" s="508" t="s">
        <v>1720</v>
      </c>
      <c r="E80" s="508" t="s">
        <v>1721</v>
      </c>
      <c r="F80" s="508" t="s">
        <v>1722</v>
      </c>
      <c r="G80" s="508" t="s">
        <v>1723</v>
      </c>
      <c r="H80" s="469"/>
      <c r="I80" s="469"/>
      <c r="J80" s="469"/>
      <c r="K80" s="470"/>
      <c r="L80" s="471"/>
      <c r="M80" s="472"/>
      <c r="N80" s="2518"/>
      <c r="O80" s="2518"/>
      <c r="P80" s="2510"/>
      <c r="Q80" s="2505"/>
      <c r="R80" s="2484"/>
      <c r="S80" s="2484"/>
      <c r="T80" s="2484"/>
      <c r="U80" s="2484"/>
      <c r="V80" s="2484"/>
      <c r="W80" s="2484"/>
      <c r="X80" s="2484"/>
      <c r="Y80" s="2484"/>
      <c r="Z80" s="2484"/>
      <c r="AA80" s="2484"/>
      <c r="AB80" s="2484"/>
      <c r="AC80" s="2484"/>
    </row>
    <row r="81" spans="1:29" ht="15.75" thickBot="1">
      <c r="A81" s="366"/>
      <c r="B81" s="473"/>
      <c r="C81" s="474">
        <v>100</v>
      </c>
      <c r="D81" s="474">
        <f>C81-$K19</f>
        <v>98</v>
      </c>
      <c r="E81" s="474">
        <f>D81-$K19</f>
        <v>96</v>
      </c>
      <c r="F81" s="474">
        <f>E81-$K19</f>
        <v>94</v>
      </c>
      <c r="G81" s="474">
        <f>F81-$K19</f>
        <v>92</v>
      </c>
      <c r="H81" s="474"/>
      <c r="I81" s="474"/>
      <c r="J81" s="474"/>
      <c r="K81" s="474"/>
      <c r="L81" s="474"/>
      <c r="M81" s="475"/>
      <c r="N81" s="2519"/>
      <c r="O81" s="2519"/>
      <c r="P81" s="2510"/>
      <c r="Q81" s="2505"/>
      <c r="R81" s="2484"/>
      <c r="S81" s="2484"/>
      <c r="T81" s="2484"/>
      <c r="U81" s="2484"/>
      <c r="V81" s="2484"/>
      <c r="W81" s="2484"/>
      <c r="X81" s="2484"/>
      <c r="Y81" s="2484"/>
      <c r="Z81" s="2484"/>
      <c r="AA81" s="2484"/>
      <c r="AB81" s="2484"/>
      <c r="AC81" s="2484"/>
    </row>
    <row r="82" spans="1:29" ht="15.75" thickTop="1">
      <c r="A82" s="366"/>
      <c r="B82" s="476" t="s">
        <v>1777</v>
      </c>
      <c r="C82" s="580" t="s">
        <v>1797</v>
      </c>
      <c r="D82" s="580" t="s">
        <v>1798</v>
      </c>
      <c r="E82" s="580" t="s">
        <v>1799</v>
      </c>
      <c r="F82" s="580" t="s">
        <v>1800</v>
      </c>
      <c r="G82" s="580" t="s">
        <v>1801</v>
      </c>
      <c r="H82" s="469"/>
      <c r="I82" s="469"/>
      <c r="J82" s="469"/>
      <c r="K82" s="469"/>
      <c r="L82" s="469"/>
      <c r="M82" s="1062"/>
      <c r="N82" s="2519"/>
      <c r="O82" s="2519"/>
      <c r="P82" s="2510"/>
      <c r="Q82" s="2505"/>
      <c r="R82" s="2484"/>
      <c r="S82" s="2484"/>
      <c r="T82" s="2484"/>
      <c r="U82" s="2484"/>
      <c r="V82" s="2484"/>
      <c r="W82" s="2484"/>
      <c r="X82" s="2484"/>
      <c r="Y82" s="2484"/>
      <c r="Z82" s="2484"/>
      <c r="AA82" s="2484"/>
      <c r="AB82" s="2484"/>
      <c r="AC82" s="2484"/>
    </row>
    <row r="83" spans="1:29" ht="15.75" thickBot="1">
      <c r="A83" s="366"/>
      <c r="B83" s="476"/>
      <c r="C83" s="474">
        <v>100</v>
      </c>
      <c r="D83" s="474">
        <f>C83-$K21</f>
        <v>98</v>
      </c>
      <c r="E83" s="474">
        <f t="shared" ref="E83:G83" si="19">D83-$K21</f>
        <v>96</v>
      </c>
      <c r="F83" s="474">
        <f t="shared" si="19"/>
        <v>94</v>
      </c>
      <c r="G83" s="474">
        <f t="shared" si="19"/>
        <v>92</v>
      </c>
      <c r="H83" s="580"/>
      <c r="I83" s="580"/>
      <c r="J83" s="580"/>
      <c r="K83" s="580"/>
      <c r="L83" s="580"/>
      <c r="M83" s="388"/>
      <c r="N83" s="2519"/>
      <c r="O83" s="2519"/>
      <c r="P83" s="2510"/>
      <c r="Q83" s="2505"/>
      <c r="R83" s="2484"/>
      <c r="S83" s="2484"/>
      <c r="T83" s="2484"/>
      <c r="U83" s="2484"/>
      <c r="V83" s="2484"/>
      <c r="W83" s="2484"/>
      <c r="X83" s="2484"/>
      <c r="Y83" s="2484"/>
      <c r="Z83" s="2484"/>
      <c r="AA83" s="2484"/>
      <c r="AB83" s="2484"/>
      <c r="AC83" s="2484"/>
    </row>
    <row r="84" spans="1:29" ht="15.75" thickTop="1">
      <c r="A84" s="366"/>
      <c r="B84" s="468" t="s">
        <v>1731</v>
      </c>
      <c r="C84" s="508" t="s">
        <v>1719</v>
      </c>
      <c r="D84" s="508" t="s">
        <v>1720</v>
      </c>
      <c r="E84" s="508" t="s">
        <v>1721</v>
      </c>
      <c r="F84" s="508" t="s">
        <v>1722</v>
      </c>
      <c r="G84" s="508" t="s">
        <v>1723</v>
      </c>
      <c r="H84" s="469"/>
      <c r="I84" s="469"/>
      <c r="J84" s="469"/>
      <c r="K84" s="470"/>
      <c r="L84" s="471"/>
      <c r="M84" s="472"/>
      <c r="N84" s="2518"/>
      <c r="O84" s="2518"/>
      <c r="P84" s="2510"/>
      <c r="Q84" s="2505"/>
      <c r="R84" s="2484"/>
      <c r="S84" s="2484"/>
      <c r="T84" s="2484"/>
      <c r="U84" s="2484"/>
      <c r="V84" s="2484"/>
      <c r="W84" s="2484"/>
      <c r="X84" s="2484"/>
      <c r="Y84" s="2484"/>
      <c r="Z84" s="2484"/>
      <c r="AA84" s="2484"/>
      <c r="AB84" s="2484"/>
      <c r="AC84" s="2484"/>
    </row>
    <row r="85" spans="1:29" ht="15.75" thickBot="1">
      <c r="A85" s="366"/>
      <c r="B85" s="473"/>
      <c r="C85" s="474">
        <v>100</v>
      </c>
      <c r="D85" s="474">
        <f>C85-$K23</f>
        <v>98</v>
      </c>
      <c r="E85" s="474">
        <f>D85-$K23</f>
        <v>96</v>
      </c>
      <c r="F85" s="474">
        <f>E85-$K23</f>
        <v>94</v>
      </c>
      <c r="G85" s="474">
        <f>F85-$K23</f>
        <v>92</v>
      </c>
      <c r="H85" s="474"/>
      <c r="I85" s="474"/>
      <c r="J85" s="474"/>
      <c r="K85" s="474"/>
      <c r="L85" s="474"/>
      <c r="M85" s="475"/>
      <c r="N85" s="2519"/>
      <c r="O85" s="2519"/>
      <c r="P85" s="2510"/>
      <c r="Q85" s="2505"/>
      <c r="R85" s="2484"/>
      <c r="S85" s="2484"/>
      <c r="T85" s="2484"/>
      <c r="U85" s="2484"/>
      <c r="V85" s="2484"/>
      <c r="W85" s="2484"/>
      <c r="X85" s="2484"/>
      <c r="Y85" s="2484"/>
      <c r="Z85" s="2484"/>
      <c r="AA85" s="2484"/>
      <c r="AB85" s="2484"/>
      <c r="AC85" s="2484"/>
    </row>
    <row r="86" spans="1:29" s="102" customFormat="1" ht="15.75" thickTop="1">
      <c r="A86" s="369"/>
      <c r="B86" s="468" t="s">
        <v>1802</v>
      </c>
      <c r="C86" s="3167" t="s">
        <v>3731</v>
      </c>
      <c r="D86" s="3167" t="s">
        <v>3732</v>
      </c>
      <c r="E86" s="3167" t="s">
        <v>3734</v>
      </c>
      <c r="F86" s="3167"/>
      <c r="G86" s="484"/>
      <c r="H86" s="484"/>
      <c r="I86" s="484"/>
      <c r="J86" s="484"/>
      <c r="K86" s="484"/>
      <c r="L86" s="509"/>
      <c r="M86" s="510"/>
      <c r="N86" s="2517"/>
      <c r="O86" s="2517"/>
      <c r="P86" s="2510"/>
      <c r="Q86" s="2505"/>
      <c r="R86" s="2436"/>
      <c r="S86" s="2436"/>
      <c r="T86" s="2436"/>
      <c r="U86" s="2436"/>
      <c r="V86" s="2436"/>
      <c r="W86" s="2436"/>
      <c r="X86" s="2436"/>
      <c r="Y86" s="2436"/>
      <c r="Z86" s="2436"/>
      <c r="AA86" s="2436"/>
      <c r="AB86" s="2436"/>
      <c r="AC86" s="2436"/>
    </row>
    <row r="87" spans="1:29" s="102" customFormat="1" ht="15.75" thickBot="1">
      <c r="A87" s="369"/>
      <c r="B87" s="473"/>
      <c r="C87" s="511">
        <v>100</v>
      </c>
      <c r="D87" s="474">
        <f t="shared" ref="D87:M87" si="20">C87-$K25</f>
        <v>98</v>
      </c>
      <c r="E87" s="474">
        <f t="shared" si="20"/>
        <v>96</v>
      </c>
      <c r="F87" s="474">
        <f t="shared" si="20"/>
        <v>94</v>
      </c>
      <c r="G87" s="474">
        <f t="shared" si="20"/>
        <v>92</v>
      </c>
      <c r="H87" s="474">
        <f t="shared" si="20"/>
        <v>90</v>
      </c>
      <c r="I87" s="474">
        <f t="shared" si="20"/>
        <v>88</v>
      </c>
      <c r="J87" s="474">
        <f t="shared" si="20"/>
        <v>86</v>
      </c>
      <c r="K87" s="474">
        <f t="shared" si="20"/>
        <v>84</v>
      </c>
      <c r="L87" s="474">
        <f t="shared" si="20"/>
        <v>82</v>
      </c>
      <c r="M87" s="474">
        <f t="shared" si="20"/>
        <v>80</v>
      </c>
      <c r="N87" s="2519"/>
      <c r="O87" s="2519"/>
      <c r="P87" s="2510"/>
      <c r="Q87" s="2505"/>
      <c r="R87" s="2436"/>
      <c r="S87" s="2436"/>
      <c r="T87" s="2436"/>
      <c r="U87" s="2436"/>
      <c r="V87" s="2436"/>
      <c r="W87" s="2436"/>
      <c r="X87" s="2436"/>
      <c r="Y87" s="2436"/>
      <c r="Z87" s="2436"/>
      <c r="AA87" s="2436"/>
      <c r="AB87" s="2436"/>
      <c r="AC87" s="2436"/>
    </row>
    <row r="88" spans="1:29" s="102" customFormat="1" ht="15.75" thickTop="1">
      <c r="A88" s="369"/>
      <c r="B88" s="468" t="str">
        <f>B26</f>
        <v>平面位置/可视性</v>
      </c>
      <c r="C88" s="3167" t="s">
        <v>3664</v>
      </c>
      <c r="D88" s="3167" t="s">
        <v>3665</v>
      </c>
      <c r="E88" s="3167" t="s">
        <v>3666</v>
      </c>
      <c r="F88" s="1779"/>
      <c r="G88" s="484"/>
      <c r="H88" s="484"/>
      <c r="I88" s="484"/>
      <c r="J88" s="484"/>
      <c r="K88" s="484"/>
      <c r="L88" s="484"/>
      <c r="M88" s="510"/>
      <c r="N88" s="2517"/>
      <c r="O88" s="2517"/>
      <c r="P88" s="2510"/>
      <c r="Q88" s="2505"/>
      <c r="R88" s="2436"/>
      <c r="S88" s="2436"/>
      <c r="T88" s="2436"/>
      <c r="U88" s="2436"/>
      <c r="V88" s="2436"/>
      <c r="W88" s="2436"/>
      <c r="X88" s="2436"/>
      <c r="Y88" s="2436"/>
      <c r="Z88" s="2436"/>
      <c r="AA88" s="2436"/>
      <c r="AB88" s="2436"/>
      <c r="AC88" s="2436"/>
    </row>
    <row r="89" spans="1:29" s="102" customFormat="1" ht="15.75" thickBot="1">
      <c r="A89" s="369"/>
      <c r="B89" s="473"/>
      <c r="C89" s="490">
        <v>100</v>
      </c>
      <c r="D89" s="466">
        <v>98</v>
      </c>
      <c r="E89" s="466">
        <v>96</v>
      </c>
      <c r="F89" s="466"/>
      <c r="G89" s="466"/>
      <c r="H89" s="466"/>
      <c r="I89" s="466"/>
      <c r="J89" s="466"/>
      <c r="K89" s="466"/>
      <c r="L89" s="466"/>
      <c r="M89" s="466"/>
      <c r="N89" s="2519"/>
      <c r="O89" s="2519"/>
      <c r="P89" s="2510"/>
      <c r="Q89" s="2505"/>
      <c r="R89" s="2436"/>
      <c r="S89" s="2436"/>
      <c r="T89" s="2436"/>
      <c r="U89" s="2436"/>
      <c r="V89" s="2436"/>
      <c r="W89" s="2436"/>
      <c r="X89" s="2436"/>
      <c r="Y89" s="2436"/>
      <c r="Z89" s="2436"/>
      <c r="AA89" s="2436"/>
      <c r="AB89" s="2436"/>
      <c r="AC89" s="2436"/>
    </row>
    <row r="90" spans="1:29" s="407" customFormat="1" ht="15.75" thickTop="1">
      <c r="A90" s="483"/>
      <c r="B90" s="468" t="str">
        <f>B27</f>
        <v>人流量</v>
      </c>
      <c r="C90" s="3167" t="s">
        <v>3667</v>
      </c>
      <c r="D90" s="3167" t="s">
        <v>3668</v>
      </c>
      <c r="E90" s="3167" t="s">
        <v>3666</v>
      </c>
      <c r="F90" s="3167" t="s">
        <v>3669</v>
      </c>
      <c r="G90" s="3167" t="s">
        <v>3670</v>
      </c>
      <c r="H90" s="485"/>
      <c r="I90" s="485"/>
      <c r="J90" s="485"/>
      <c r="K90" s="485"/>
      <c r="L90" s="486"/>
      <c r="M90" s="487"/>
      <c r="N90" s="2520"/>
      <c r="O90" s="2520"/>
      <c r="P90" s="2511"/>
      <c r="Q90" s="2512"/>
      <c r="R90" s="2490"/>
      <c r="S90" s="2490"/>
      <c r="T90" s="2490"/>
      <c r="U90" s="2490"/>
      <c r="V90" s="2490"/>
      <c r="W90" s="2490"/>
      <c r="X90" s="2490"/>
      <c r="Y90" s="2490"/>
      <c r="Z90" s="2490"/>
      <c r="AA90" s="2490"/>
      <c r="AB90" s="2490"/>
      <c r="AC90" s="2490"/>
    </row>
    <row r="91" spans="1:29" s="407" customFormat="1" ht="15.75" thickBot="1">
      <c r="A91" s="483"/>
      <c r="B91" s="473"/>
      <c r="C91" s="511">
        <v>100</v>
      </c>
      <c r="D91" s="474">
        <f>C91-$K27</f>
        <v>98</v>
      </c>
      <c r="E91" s="474">
        <f t="shared" ref="E91:M91" si="21">D91-$K27</f>
        <v>96</v>
      </c>
      <c r="F91" s="474">
        <f t="shared" si="21"/>
        <v>94</v>
      </c>
      <c r="G91" s="474">
        <f t="shared" si="21"/>
        <v>92</v>
      </c>
      <c r="H91" s="474">
        <f t="shared" si="21"/>
        <v>90</v>
      </c>
      <c r="I91" s="474">
        <f t="shared" si="21"/>
        <v>88</v>
      </c>
      <c r="J91" s="474">
        <f t="shared" si="21"/>
        <v>86</v>
      </c>
      <c r="K91" s="474">
        <f t="shared" si="21"/>
        <v>84</v>
      </c>
      <c r="L91" s="474">
        <f t="shared" si="21"/>
        <v>82</v>
      </c>
      <c r="M91" s="474">
        <f t="shared" si="21"/>
        <v>80</v>
      </c>
      <c r="N91" s="2520"/>
      <c r="O91" s="2520"/>
      <c r="P91" s="2511"/>
      <c r="Q91" s="2512"/>
      <c r="R91" s="2490"/>
      <c r="S91" s="2490"/>
      <c r="T91" s="2490"/>
      <c r="U91" s="2490"/>
      <c r="V91" s="2490"/>
      <c r="W91" s="2490"/>
      <c r="X91" s="2490"/>
      <c r="Y91" s="2490"/>
      <c r="Z91" s="2490"/>
      <c r="AA91" s="2490"/>
      <c r="AB91" s="2490"/>
      <c r="AC91" s="2490"/>
    </row>
    <row r="92" spans="1:29" ht="15.75" thickTop="1">
      <c r="A92" s="366"/>
      <c r="B92" s="468" t="str">
        <f>B28</f>
        <v>楼层</v>
      </c>
      <c r="C92" s="484">
        <v>1</v>
      </c>
      <c r="D92" s="484">
        <v>2</v>
      </c>
      <c r="E92" s="484">
        <v>3</v>
      </c>
      <c r="F92" s="3173" t="s">
        <v>3711</v>
      </c>
      <c r="G92" s="484"/>
      <c r="H92" s="484"/>
      <c r="I92" s="484"/>
      <c r="J92" s="484"/>
      <c r="K92" s="484"/>
      <c r="L92" s="509"/>
      <c r="M92" s="510"/>
      <c r="N92" s="2518"/>
      <c r="O92" s="2518"/>
      <c r="P92" s="2510"/>
      <c r="Q92" s="2505"/>
      <c r="R92" s="2484"/>
      <c r="S92" s="2484"/>
      <c r="T92" s="2484"/>
      <c r="U92" s="2484"/>
      <c r="V92" s="2484"/>
      <c r="W92" s="2484"/>
      <c r="X92" s="2484"/>
      <c r="Y92" s="2484"/>
      <c r="Z92" s="2484"/>
      <c r="AA92" s="2484"/>
      <c r="AB92" s="2484"/>
      <c r="AC92" s="2484"/>
    </row>
    <row r="93" spans="1:29" ht="15.75" thickBot="1">
      <c r="A93" s="366"/>
      <c r="B93" s="473"/>
      <c r="C93" s="466">
        <v>100</v>
      </c>
      <c r="D93" s="466">
        <v>60</v>
      </c>
      <c r="E93" s="466">
        <v>55</v>
      </c>
      <c r="F93" s="466">
        <v>50</v>
      </c>
      <c r="G93" s="466"/>
      <c r="H93" s="466"/>
      <c r="I93" s="466"/>
      <c r="J93" s="466"/>
      <c r="K93" s="466"/>
      <c r="L93" s="466"/>
      <c r="M93" s="467"/>
      <c r="N93" s="2519"/>
      <c r="O93" s="2519"/>
      <c r="P93" s="2510"/>
      <c r="Q93" s="2505"/>
      <c r="R93" s="2484"/>
      <c r="S93" s="2484"/>
      <c r="T93" s="2484"/>
      <c r="U93" s="2484"/>
      <c r="V93" s="2484"/>
      <c r="W93" s="2484"/>
      <c r="X93" s="2484"/>
      <c r="Y93" s="2484"/>
      <c r="Z93" s="2484"/>
      <c r="AA93" s="2484"/>
      <c r="AB93" s="2484"/>
      <c r="AC93" s="2484"/>
    </row>
    <row r="94" spans="1:29" ht="15.75" thickTop="1">
      <c r="A94" s="366"/>
      <c r="B94" s="468">
        <f>B29</f>
        <v>111</v>
      </c>
      <c r="C94" s="484"/>
      <c r="D94" s="484"/>
      <c r="E94" s="484"/>
      <c r="F94" s="484"/>
      <c r="G94" s="512"/>
      <c r="H94" s="512"/>
      <c r="I94" s="512"/>
      <c r="J94" s="512"/>
      <c r="K94" s="513"/>
      <c r="L94" s="514"/>
      <c r="M94" s="515"/>
      <c r="N94" s="2518"/>
      <c r="O94" s="2518"/>
      <c r="P94" s="2510"/>
      <c r="Q94" s="2505"/>
      <c r="R94" s="2484"/>
      <c r="S94" s="2484"/>
      <c r="T94" s="2484"/>
      <c r="U94" s="2484"/>
      <c r="V94" s="2484"/>
      <c r="W94" s="2484"/>
      <c r="X94" s="2484"/>
      <c r="Y94" s="2484"/>
      <c r="Z94" s="2484"/>
      <c r="AA94" s="2484"/>
      <c r="AB94" s="2484"/>
      <c r="AC94" s="2484"/>
    </row>
    <row r="95" spans="1:29" ht="15.75" thickBot="1">
      <c r="A95" s="366"/>
      <c r="B95" s="473"/>
      <c r="C95" s="490"/>
      <c r="D95" s="466"/>
      <c r="E95" s="466"/>
      <c r="F95" s="466"/>
      <c r="G95" s="466"/>
      <c r="H95" s="466"/>
      <c r="I95" s="466"/>
      <c r="J95" s="466"/>
      <c r="K95" s="466"/>
      <c r="L95" s="466"/>
      <c r="M95" s="467"/>
      <c r="N95" s="2519"/>
      <c r="O95" s="2519"/>
      <c r="P95" s="2510"/>
      <c r="Q95" s="2505"/>
      <c r="R95" s="2484"/>
      <c r="S95" s="2484"/>
      <c r="T95" s="2484"/>
      <c r="U95" s="2484"/>
      <c r="V95" s="2484"/>
      <c r="W95" s="2484"/>
      <c r="X95" s="2484"/>
      <c r="Y95" s="2484"/>
      <c r="Z95" s="2484"/>
      <c r="AA95" s="2484"/>
      <c r="AB95" s="2484"/>
      <c r="AC95" s="2484"/>
    </row>
    <row r="96" spans="1:29" ht="15.75" thickTop="1">
      <c r="A96" s="366"/>
      <c r="B96" s="468">
        <f>B30</f>
        <v>111</v>
      </c>
      <c r="C96" s="484"/>
      <c r="D96" s="484"/>
      <c r="E96" s="484"/>
      <c r="F96" s="484"/>
      <c r="G96" s="512"/>
      <c r="H96" s="512"/>
      <c r="I96" s="512"/>
      <c r="J96" s="512"/>
      <c r="K96" s="513"/>
      <c r="L96" s="514"/>
      <c r="M96" s="515"/>
      <c r="N96" s="2518"/>
      <c r="O96" s="2518"/>
      <c r="P96" s="2510"/>
      <c r="Q96" s="2505"/>
      <c r="R96" s="2484"/>
      <c r="S96" s="2484"/>
      <c r="T96" s="2484"/>
      <c r="U96" s="2484"/>
      <c r="V96" s="2484"/>
      <c r="W96" s="2484"/>
      <c r="X96" s="2484"/>
      <c r="Y96" s="2484"/>
      <c r="Z96" s="2484"/>
      <c r="AA96" s="2484"/>
      <c r="AB96" s="2484"/>
      <c r="AC96" s="2484"/>
    </row>
    <row r="97" spans="1:29" ht="15.75" thickBot="1">
      <c r="A97" s="366"/>
      <c r="B97" s="473"/>
      <c r="C97" s="490"/>
      <c r="D97" s="466"/>
      <c r="E97" s="466"/>
      <c r="F97" s="466"/>
      <c r="G97" s="466"/>
      <c r="H97" s="466"/>
      <c r="I97" s="466"/>
      <c r="J97" s="466"/>
      <c r="K97" s="466"/>
      <c r="L97" s="466"/>
      <c r="M97" s="467"/>
      <c r="N97" s="2519"/>
      <c r="O97" s="2519"/>
      <c r="P97" s="2510"/>
      <c r="Q97" s="2505"/>
      <c r="R97" s="2484"/>
      <c r="S97" s="2484"/>
      <c r="T97" s="2484"/>
      <c r="U97" s="2484"/>
      <c r="V97" s="2484"/>
      <c r="W97" s="2484"/>
      <c r="X97" s="2484"/>
      <c r="Y97" s="2484"/>
      <c r="Z97" s="2484"/>
      <c r="AA97" s="2484"/>
      <c r="AB97" s="2484"/>
      <c r="AC97" s="2484"/>
    </row>
    <row r="98" spans="1:29" ht="15.75" thickTop="1">
      <c r="A98" s="366"/>
      <c r="B98" s="476">
        <f>B31</f>
        <v>111</v>
      </c>
      <c r="C98" s="484"/>
      <c r="D98" s="484"/>
      <c r="E98" s="484"/>
      <c r="F98" s="484"/>
      <c r="G98" s="516"/>
      <c r="H98" s="516"/>
      <c r="I98" s="516"/>
      <c r="J98" s="516"/>
      <c r="K98" s="517"/>
      <c r="L98" s="518"/>
      <c r="M98" s="519"/>
      <c r="N98" s="2518"/>
      <c r="O98" s="2518"/>
      <c r="P98" s="2510"/>
      <c r="Q98" s="2505"/>
      <c r="R98" s="2484"/>
      <c r="S98" s="2484"/>
      <c r="T98" s="2484"/>
      <c r="U98" s="2484"/>
      <c r="V98" s="2484"/>
      <c r="W98" s="2484"/>
      <c r="X98" s="2484"/>
      <c r="Y98" s="2484"/>
      <c r="Z98" s="2484"/>
      <c r="AA98" s="2484"/>
      <c r="AB98" s="2484"/>
      <c r="AC98" s="2484"/>
    </row>
    <row r="99" spans="1:29" ht="15.75" thickBot="1">
      <c r="A99" s="374"/>
      <c r="B99" s="499"/>
      <c r="C99" s="500"/>
      <c r="D99" s="500"/>
      <c r="E99" s="500"/>
      <c r="F99" s="500"/>
      <c r="G99" s="520"/>
      <c r="H99" s="520"/>
      <c r="I99" s="520"/>
      <c r="J99" s="520"/>
      <c r="K99" s="520"/>
      <c r="L99" s="520"/>
      <c r="M99" s="521"/>
      <c r="N99" s="2519"/>
      <c r="O99" s="2519"/>
      <c r="P99" s="2510"/>
      <c r="Q99" s="2505"/>
      <c r="R99" s="2484"/>
      <c r="S99" s="2484"/>
      <c r="T99" s="2484"/>
      <c r="U99" s="2484"/>
      <c r="V99" s="2484"/>
      <c r="W99" s="2484"/>
      <c r="X99" s="2484"/>
      <c r="Y99" s="2484"/>
      <c r="Z99" s="2484"/>
      <c r="AA99" s="2484"/>
      <c r="AB99" s="2484"/>
      <c r="AC99" s="2484"/>
    </row>
    <row r="100" spans="1:29">
      <c r="A100" s="378" t="s">
        <v>1692</v>
      </c>
      <c r="B100" s="459" t="s">
        <v>1803</v>
      </c>
      <c r="C100" s="3168" t="s">
        <v>3671</v>
      </c>
      <c r="D100" s="3168" t="s">
        <v>3673</v>
      </c>
      <c r="E100" s="3168" t="s">
        <v>3675</v>
      </c>
      <c r="F100" s="461"/>
      <c r="G100" s="461"/>
      <c r="H100" s="461"/>
      <c r="I100" s="461"/>
      <c r="J100" s="461"/>
      <c r="K100" s="462"/>
      <c r="L100" s="463"/>
      <c r="M100" s="464"/>
      <c r="N100" s="2518"/>
      <c r="O100" s="2518"/>
      <c r="P100" s="2510"/>
      <c r="Q100" s="2505"/>
      <c r="R100" s="2484"/>
      <c r="S100" s="2484"/>
      <c r="T100" s="2484"/>
      <c r="U100" s="2484"/>
      <c r="V100" s="2484"/>
      <c r="W100" s="2484"/>
      <c r="X100" s="2484"/>
      <c r="Y100" s="2484"/>
      <c r="Z100" s="2484"/>
      <c r="AA100" s="2484"/>
      <c r="AB100" s="2484"/>
      <c r="AC100" s="2484"/>
    </row>
    <row r="101" spans="1:29" ht="15.75" thickBot="1">
      <c r="A101" s="366"/>
      <c r="B101" s="473"/>
      <c r="C101" s="474">
        <v>100</v>
      </c>
      <c r="D101" s="474">
        <f t="shared" ref="D101:M101" si="22">C101-$K32</f>
        <v>97</v>
      </c>
      <c r="E101" s="474">
        <f t="shared" si="22"/>
        <v>94</v>
      </c>
      <c r="F101" s="474">
        <f t="shared" si="22"/>
        <v>91</v>
      </c>
      <c r="G101" s="474">
        <f t="shared" si="22"/>
        <v>88</v>
      </c>
      <c r="H101" s="474">
        <f t="shared" si="22"/>
        <v>85</v>
      </c>
      <c r="I101" s="474">
        <f t="shared" si="22"/>
        <v>82</v>
      </c>
      <c r="J101" s="474">
        <f t="shared" si="22"/>
        <v>79</v>
      </c>
      <c r="K101" s="474">
        <f t="shared" si="22"/>
        <v>76</v>
      </c>
      <c r="L101" s="474">
        <f t="shared" si="22"/>
        <v>73</v>
      </c>
      <c r="M101" s="475">
        <f t="shared" si="22"/>
        <v>70</v>
      </c>
      <c r="N101" s="2519"/>
      <c r="O101" s="2519"/>
      <c r="P101" s="2510"/>
      <c r="Q101" s="2505"/>
      <c r="R101" s="2484"/>
      <c r="S101" s="2484"/>
      <c r="T101" s="2484"/>
      <c r="U101" s="2484"/>
      <c r="V101" s="2484"/>
      <c r="W101" s="2484"/>
      <c r="X101" s="2484"/>
      <c r="Y101" s="2484"/>
      <c r="Z101" s="2484"/>
      <c r="AA101" s="2484"/>
      <c r="AB101" s="2484"/>
      <c r="AC101" s="2484"/>
    </row>
    <row r="102" spans="1:29" ht="15.75" thickTop="1">
      <c r="A102" s="366"/>
      <c r="B102" s="468" t="s">
        <v>1735</v>
      </c>
      <c r="C102" s="508" t="str">
        <f>C103&amp;"(含)"&amp;"-"&amp;D103</f>
        <v>0(含)-50</v>
      </c>
      <c r="D102" s="508" t="str">
        <f t="shared" ref="D102:L102" si="23">D103&amp;"(含)"&amp;"-"&amp;E103</f>
        <v>50(含)-100</v>
      </c>
      <c r="E102" s="508" t="str">
        <f t="shared" si="23"/>
        <v>100(含)-200</v>
      </c>
      <c r="F102" s="508" t="str">
        <f t="shared" si="23"/>
        <v>200(含)-500</v>
      </c>
      <c r="G102" s="508" t="str">
        <f t="shared" si="23"/>
        <v>500(含)-</v>
      </c>
      <c r="H102" s="508" t="str">
        <f t="shared" si="23"/>
        <v>(含)-</v>
      </c>
      <c r="I102" s="508" t="str">
        <f t="shared" si="23"/>
        <v>(含)-</v>
      </c>
      <c r="J102" s="508" t="str">
        <f t="shared" si="23"/>
        <v>(含)-</v>
      </c>
      <c r="K102" s="508" t="str">
        <f t="shared" si="23"/>
        <v>(含)-</v>
      </c>
      <c r="L102" s="508" t="str">
        <f t="shared" si="23"/>
        <v>(含)-</v>
      </c>
      <c r="M102" s="546"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7" customFormat="1">
      <c r="A103" s="405"/>
      <c r="B103" s="522"/>
      <c r="C103" s="6">
        <v>0</v>
      </c>
      <c r="D103" s="6">
        <v>50</v>
      </c>
      <c r="E103" s="6">
        <v>100</v>
      </c>
      <c r="F103" s="6">
        <v>200</v>
      </c>
      <c r="G103" s="6">
        <v>500</v>
      </c>
      <c r="H103" s="6"/>
      <c r="I103" s="6"/>
      <c r="J103" s="523"/>
      <c r="K103" s="523"/>
      <c r="L103" s="524"/>
      <c r="M103" s="525"/>
      <c r="N103" s="2520"/>
      <c r="O103" s="2520"/>
      <c r="P103" s="2511"/>
      <c r="Q103" s="2512"/>
      <c r="R103" s="2490"/>
      <c r="S103" s="2490"/>
      <c r="T103" s="2490"/>
      <c r="U103" s="2490"/>
      <c r="V103" s="2490"/>
      <c r="W103" s="2490"/>
      <c r="X103" s="2490"/>
      <c r="Y103" s="2490"/>
      <c r="Z103" s="2490"/>
      <c r="AA103" s="2490"/>
      <c r="AB103" s="2490"/>
      <c r="AC103" s="2490"/>
    </row>
    <row r="104" spans="1:29" s="407" customFormat="1" ht="15.75" thickBot="1">
      <c r="A104" s="483"/>
      <c r="B104" s="473"/>
      <c r="C104" s="490">
        <v>100</v>
      </c>
      <c r="D104" s="466">
        <v>98</v>
      </c>
      <c r="E104" s="466">
        <v>96</v>
      </c>
      <c r="F104" s="466">
        <v>94</v>
      </c>
      <c r="G104" s="466">
        <v>92</v>
      </c>
      <c r="H104" s="466"/>
      <c r="I104" s="466"/>
      <c r="J104" s="466"/>
      <c r="K104" s="466"/>
      <c r="L104" s="466"/>
      <c r="M104" s="467"/>
      <c r="N104" s="2519"/>
      <c r="O104" s="2519"/>
      <c r="P104" s="2511"/>
      <c r="Q104" s="2512"/>
      <c r="R104" s="2490"/>
      <c r="S104" s="2490"/>
      <c r="T104" s="2490"/>
      <c r="U104" s="2490"/>
      <c r="V104" s="2490"/>
      <c r="W104" s="2490"/>
      <c r="X104" s="2490"/>
      <c r="Y104" s="2490"/>
      <c r="Z104" s="2490"/>
      <c r="AA104" s="2490"/>
      <c r="AB104" s="2490"/>
      <c r="AC104" s="2490"/>
    </row>
    <row r="105" spans="1:29" ht="15" thickTop="1">
      <c r="A105" s="408"/>
      <c r="B105" s="468" t="s">
        <v>1736</v>
      </c>
      <c r="C105" s="3167" t="s">
        <v>3676</v>
      </c>
      <c r="D105" s="3167" t="s">
        <v>3677</v>
      </c>
      <c r="E105" s="512"/>
      <c r="F105" s="512"/>
      <c r="G105" s="512"/>
      <c r="H105" s="512"/>
      <c r="I105" s="512"/>
      <c r="J105" s="512"/>
      <c r="K105" s="513"/>
      <c r="L105" s="514"/>
      <c r="M105" s="515"/>
      <c r="N105" s="2518"/>
      <c r="O105" s="2518"/>
      <c r="P105" s="2510"/>
      <c r="Q105" s="2505"/>
      <c r="R105" s="2484"/>
      <c r="S105" s="2484"/>
      <c r="T105" s="2484"/>
      <c r="U105" s="2484"/>
      <c r="V105" s="2484"/>
      <c r="W105" s="2484"/>
      <c r="X105" s="2484"/>
      <c r="Y105" s="2484"/>
      <c r="Z105" s="2484"/>
      <c r="AA105" s="2484"/>
      <c r="AB105" s="2484"/>
      <c r="AC105" s="2484"/>
    </row>
    <row r="106" spans="1:29" ht="15.75" thickBot="1">
      <c r="A106" s="366"/>
      <c r="B106" s="473"/>
      <c r="C106" s="474">
        <v>100</v>
      </c>
      <c r="D106" s="474">
        <f t="shared" ref="D106:M106" si="24">C106-$K34</f>
        <v>98</v>
      </c>
      <c r="E106" s="474">
        <f t="shared" si="24"/>
        <v>96</v>
      </c>
      <c r="F106" s="474">
        <f t="shared" si="24"/>
        <v>94</v>
      </c>
      <c r="G106" s="474">
        <f t="shared" si="24"/>
        <v>92</v>
      </c>
      <c r="H106" s="474">
        <f t="shared" si="24"/>
        <v>90</v>
      </c>
      <c r="I106" s="474">
        <f t="shared" si="24"/>
        <v>88</v>
      </c>
      <c r="J106" s="474">
        <f t="shared" si="24"/>
        <v>86</v>
      </c>
      <c r="K106" s="474">
        <f t="shared" si="24"/>
        <v>84</v>
      </c>
      <c r="L106" s="474">
        <f t="shared" si="24"/>
        <v>82</v>
      </c>
      <c r="M106" s="475">
        <f t="shared" si="24"/>
        <v>80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8"/>
      <c r="B107" s="468" t="s">
        <v>1738</v>
      </c>
      <c r="C107" s="3167" t="s">
        <v>3678</v>
      </c>
      <c r="D107" s="484"/>
      <c r="E107" s="484"/>
      <c r="F107" s="512"/>
      <c r="G107" s="512"/>
      <c r="H107" s="512"/>
      <c r="I107" s="512"/>
      <c r="J107" s="512"/>
      <c r="K107" s="513"/>
      <c r="L107" s="514"/>
      <c r="M107" s="515"/>
      <c r="N107" s="2518"/>
      <c r="O107" s="2518"/>
      <c r="P107" s="2510"/>
      <c r="Q107" s="2505"/>
      <c r="R107" s="2484"/>
      <c r="S107" s="2484"/>
      <c r="T107" s="2484"/>
      <c r="U107" s="2484"/>
      <c r="V107" s="2484"/>
      <c r="W107" s="2484"/>
      <c r="X107" s="2484"/>
      <c r="Y107" s="2484"/>
      <c r="Z107" s="2484"/>
      <c r="AA107" s="2484"/>
      <c r="AB107" s="2484"/>
      <c r="AC107" s="2484"/>
    </row>
    <row r="108" spans="1:29" ht="15.75" thickBot="1">
      <c r="A108" s="366"/>
      <c r="B108" s="473"/>
      <c r="C108" s="474">
        <v>100</v>
      </c>
      <c r="D108" s="474">
        <f t="shared" ref="D108:M108" si="25">C108-$K35</f>
        <v>98</v>
      </c>
      <c r="E108" s="474">
        <f t="shared" si="25"/>
        <v>96</v>
      </c>
      <c r="F108" s="474">
        <f t="shared" si="25"/>
        <v>94</v>
      </c>
      <c r="G108" s="474">
        <f t="shared" si="25"/>
        <v>92</v>
      </c>
      <c r="H108" s="474">
        <f t="shared" si="25"/>
        <v>90</v>
      </c>
      <c r="I108" s="474">
        <f t="shared" si="25"/>
        <v>88</v>
      </c>
      <c r="J108" s="474">
        <f t="shared" si="25"/>
        <v>86</v>
      </c>
      <c r="K108" s="474">
        <f t="shared" si="25"/>
        <v>84</v>
      </c>
      <c r="L108" s="474">
        <f t="shared" si="25"/>
        <v>82</v>
      </c>
      <c r="M108" s="475">
        <f t="shared" si="25"/>
        <v>80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8"/>
      <c r="O109" s="2518"/>
      <c r="P109" s="2510"/>
      <c r="Q109" s="2505"/>
      <c r="R109" s="2484"/>
      <c r="S109" s="2484"/>
      <c r="T109" s="2484"/>
      <c r="U109" s="2484"/>
      <c r="V109" s="2484"/>
      <c r="W109" s="2484"/>
      <c r="X109" s="2484"/>
      <c r="Y109" s="2484"/>
      <c r="Z109" s="2484"/>
      <c r="AA109" s="2484"/>
      <c r="AB109" s="2484"/>
      <c r="AC109" s="2484"/>
    </row>
    <row r="110" spans="1:29">
      <c r="A110" s="408"/>
      <c r="B110" s="476"/>
      <c r="C110" s="529">
        <v>0.5</v>
      </c>
      <c r="D110" s="529">
        <v>0.6</v>
      </c>
      <c r="E110" s="529">
        <v>0.7</v>
      </c>
      <c r="F110" s="529">
        <v>0.8</v>
      </c>
      <c r="G110" s="529">
        <v>0.9</v>
      </c>
      <c r="H110" s="529">
        <v>1.0001</v>
      </c>
      <c r="I110" s="547"/>
      <c r="J110" s="547"/>
      <c r="K110" s="548"/>
      <c r="L110" s="549"/>
      <c r="M110" s="550"/>
      <c r="N110" s="2518"/>
      <c r="O110" s="2518"/>
      <c r="P110" s="2510"/>
      <c r="Q110" s="2505"/>
      <c r="R110" s="2484"/>
      <c r="S110" s="2484"/>
      <c r="T110" s="2484"/>
      <c r="U110" s="2484"/>
      <c r="V110" s="2484"/>
      <c r="W110" s="2484"/>
      <c r="X110" s="2484"/>
      <c r="Y110" s="2484"/>
      <c r="Z110" s="2484"/>
      <c r="AA110" s="2484"/>
      <c r="AB110" s="2484"/>
      <c r="AC110" s="2484"/>
    </row>
    <row r="111" spans="1:29" ht="15.75" thickBot="1">
      <c r="A111" s="366"/>
      <c r="B111" s="473"/>
      <c r="C111" s="511">
        <v>100</v>
      </c>
      <c r="D111" s="474">
        <f>C111+$K36</f>
        <v>101</v>
      </c>
      <c r="E111" s="474">
        <f t="shared" ref="E111:M111" si="26">D111+$K36</f>
        <v>102</v>
      </c>
      <c r="F111" s="474">
        <f t="shared" si="26"/>
        <v>103</v>
      </c>
      <c r="G111" s="474">
        <f t="shared" si="26"/>
        <v>104</v>
      </c>
      <c r="H111" s="474">
        <f t="shared" si="26"/>
        <v>105</v>
      </c>
      <c r="I111" s="474">
        <f t="shared" si="26"/>
        <v>106</v>
      </c>
      <c r="J111" s="474">
        <f t="shared" si="26"/>
        <v>107</v>
      </c>
      <c r="K111" s="474">
        <f t="shared" si="26"/>
        <v>108</v>
      </c>
      <c r="L111" s="474">
        <f t="shared" si="26"/>
        <v>109</v>
      </c>
      <c r="M111" s="474">
        <f t="shared" si="26"/>
        <v>110</v>
      </c>
      <c r="N111" s="2519"/>
      <c r="O111" s="2519"/>
      <c r="P111" s="2510"/>
      <c r="Q111" s="2505"/>
      <c r="R111" s="2484"/>
      <c r="S111" s="2484"/>
      <c r="T111" s="2484"/>
      <c r="U111" s="2484"/>
      <c r="V111" s="2484"/>
      <c r="W111" s="2484"/>
      <c r="X111" s="2484"/>
      <c r="Y111" s="2484"/>
      <c r="Z111" s="2484"/>
      <c r="AA111" s="2484"/>
      <c r="AB111" s="2484"/>
      <c r="AC111" s="2484"/>
    </row>
    <row r="112" spans="1:29" s="407" customFormat="1" ht="15" thickTop="1">
      <c r="A112" s="405"/>
      <c r="B112" s="468" t="s">
        <v>1740</v>
      </c>
      <c r="C112" s="3167" t="s">
        <v>3680</v>
      </c>
      <c r="D112" s="3167" t="s">
        <v>3682</v>
      </c>
      <c r="E112" s="3167" t="s">
        <v>3683</v>
      </c>
      <c r="F112" s="484"/>
      <c r="G112" s="484"/>
      <c r="H112" s="512"/>
      <c r="I112" s="512"/>
      <c r="J112" s="512"/>
      <c r="K112" s="513"/>
      <c r="L112" s="514"/>
      <c r="M112" s="515"/>
      <c r="N112" s="2520"/>
      <c r="O112" s="2520"/>
      <c r="P112" s="2511"/>
      <c r="Q112" s="2512"/>
      <c r="R112" s="2490"/>
      <c r="S112" s="2490"/>
      <c r="T112" s="2490"/>
      <c r="U112" s="2490"/>
      <c r="V112" s="2490"/>
      <c r="W112" s="2490"/>
      <c r="X112" s="2490"/>
      <c r="Y112" s="2490"/>
      <c r="Z112" s="2490"/>
      <c r="AA112" s="2490"/>
      <c r="AB112" s="2490"/>
      <c r="AC112" s="2490"/>
    </row>
    <row r="113" spans="1:29" s="407" customFormat="1" ht="15.75" thickBot="1">
      <c r="A113" s="483"/>
      <c r="B113" s="473"/>
      <c r="C113" s="474">
        <v>100</v>
      </c>
      <c r="D113" s="474">
        <f>C113-$K37</f>
        <v>99</v>
      </c>
      <c r="E113" s="474">
        <f t="shared" ref="E113:M113" si="27">D113-$K37</f>
        <v>98</v>
      </c>
      <c r="F113" s="474">
        <f t="shared" si="27"/>
        <v>97</v>
      </c>
      <c r="G113" s="474">
        <f t="shared" si="27"/>
        <v>96</v>
      </c>
      <c r="H113" s="474">
        <f t="shared" si="27"/>
        <v>95</v>
      </c>
      <c r="I113" s="474">
        <f t="shared" si="27"/>
        <v>94</v>
      </c>
      <c r="J113" s="474">
        <f t="shared" si="27"/>
        <v>93</v>
      </c>
      <c r="K113" s="474">
        <f t="shared" si="27"/>
        <v>92</v>
      </c>
      <c r="L113" s="474">
        <f t="shared" si="27"/>
        <v>91</v>
      </c>
      <c r="M113" s="474">
        <f t="shared" si="27"/>
        <v>90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8"/>
      <c r="B114" s="468" t="s">
        <v>1804</v>
      </c>
      <c r="C114" s="3167" t="s">
        <v>3687</v>
      </c>
      <c r="D114" s="3167" t="s">
        <v>3689</v>
      </c>
      <c r="E114" s="512"/>
      <c r="F114" s="512"/>
      <c r="G114" s="512"/>
      <c r="H114" s="512"/>
      <c r="I114" s="512"/>
      <c r="J114" s="512"/>
      <c r="K114" s="513"/>
      <c r="L114" s="514"/>
      <c r="M114" s="515"/>
      <c r="N114" s="2518"/>
      <c r="O114" s="2518"/>
      <c r="P114" s="2510"/>
      <c r="Q114" s="2505"/>
      <c r="R114" s="2484"/>
      <c r="S114" s="2484"/>
      <c r="T114" s="2484"/>
      <c r="U114" s="2484"/>
      <c r="V114" s="2484"/>
      <c r="W114" s="2484"/>
      <c r="X114" s="2484"/>
      <c r="Y114" s="2484"/>
      <c r="Z114" s="2484"/>
      <c r="AA114" s="2484"/>
      <c r="AB114" s="2484"/>
      <c r="AC114" s="2484"/>
    </row>
    <row r="115" spans="1:29" ht="15.75" thickBot="1">
      <c r="A115" s="366"/>
      <c r="B115" s="473"/>
      <c r="C115" s="474">
        <v>100</v>
      </c>
      <c r="D115" s="474">
        <f t="shared" ref="D115:M115" si="28">C115-$K38</f>
        <v>95</v>
      </c>
      <c r="E115" s="474">
        <f t="shared" si="28"/>
        <v>90</v>
      </c>
      <c r="F115" s="474">
        <f t="shared" si="28"/>
        <v>85</v>
      </c>
      <c r="G115" s="474">
        <f t="shared" si="28"/>
        <v>80</v>
      </c>
      <c r="H115" s="474">
        <f t="shared" si="28"/>
        <v>75</v>
      </c>
      <c r="I115" s="474">
        <f t="shared" si="28"/>
        <v>70</v>
      </c>
      <c r="J115" s="474">
        <f t="shared" si="28"/>
        <v>65</v>
      </c>
      <c r="K115" s="474">
        <f t="shared" si="28"/>
        <v>60</v>
      </c>
      <c r="L115" s="474">
        <f t="shared" si="28"/>
        <v>55</v>
      </c>
      <c r="M115" s="475">
        <f t="shared" si="28"/>
        <v>50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8"/>
      <c r="B116" s="468" t="s">
        <v>1805</v>
      </c>
      <c r="C116" s="484" t="s">
        <v>3684</v>
      </c>
      <c r="D116" s="484" t="s">
        <v>3685</v>
      </c>
      <c r="E116" s="484"/>
      <c r="F116" s="484"/>
      <c r="G116" s="484"/>
      <c r="H116" s="512"/>
      <c r="I116" s="512"/>
      <c r="J116" s="512"/>
      <c r="K116" s="513"/>
      <c r="L116" s="514"/>
      <c r="M116" s="515"/>
      <c r="N116" s="2518"/>
      <c r="O116" s="2518"/>
      <c r="P116" s="2510"/>
      <c r="Q116" s="2505"/>
      <c r="R116" s="2484"/>
      <c r="S116" s="2484"/>
      <c r="T116" s="2484"/>
      <c r="U116" s="2484"/>
      <c r="V116" s="2484"/>
      <c r="W116" s="2484"/>
      <c r="X116" s="2484"/>
      <c r="Y116" s="2484"/>
      <c r="Z116" s="2484"/>
      <c r="AA116" s="2484"/>
      <c r="AB116" s="2484"/>
      <c r="AC116" s="2484"/>
    </row>
    <row r="117" spans="1:29" ht="15.75" thickBot="1">
      <c r="A117" s="366"/>
      <c r="B117" s="473"/>
      <c r="C117" s="474">
        <v>100</v>
      </c>
      <c r="D117" s="474">
        <f>C117-$K39</f>
        <v>98</v>
      </c>
      <c r="E117" s="474">
        <f>D117-$K39</f>
        <v>96</v>
      </c>
      <c r="F117" s="474">
        <f>E117-$K39</f>
        <v>94</v>
      </c>
      <c r="G117" s="474">
        <f>F117-$K39</f>
        <v>92</v>
      </c>
      <c r="H117" s="474"/>
      <c r="I117" s="474"/>
      <c r="J117" s="474"/>
      <c r="K117" s="474"/>
      <c r="L117" s="474"/>
      <c r="M117" s="475"/>
      <c r="N117" s="2519"/>
      <c r="O117" s="2519"/>
      <c r="P117" s="2510"/>
      <c r="Q117" s="2505"/>
      <c r="R117" s="2484"/>
      <c r="S117" s="2484"/>
      <c r="T117" s="2484"/>
      <c r="U117" s="2484"/>
      <c r="V117" s="2484"/>
      <c r="W117" s="2484"/>
      <c r="X117" s="2484"/>
      <c r="Y117" s="2484"/>
      <c r="Z117" s="2484"/>
      <c r="AA117" s="2484"/>
      <c r="AB117" s="2484"/>
      <c r="AC117" s="2484"/>
    </row>
    <row r="118" spans="1:29" ht="15" thickTop="1">
      <c r="A118" s="408"/>
      <c r="B118" s="468" t="s">
        <v>1806</v>
      </c>
      <c r="C118" s="551"/>
      <c r="D118" s="551"/>
      <c r="E118" s="551"/>
      <c r="F118" s="551"/>
      <c r="G118" s="551"/>
      <c r="H118" s="485"/>
      <c r="I118" s="485"/>
      <c r="J118" s="485"/>
      <c r="K118" s="485"/>
      <c r="L118" s="486"/>
      <c r="M118" s="487"/>
      <c r="N118" s="2518"/>
      <c r="O118" s="2518"/>
      <c r="P118" s="2510"/>
      <c r="Q118" s="2505"/>
      <c r="R118" s="2484"/>
      <c r="S118" s="2484"/>
      <c r="T118" s="2484"/>
      <c r="U118" s="2484"/>
      <c r="V118" s="2484"/>
      <c r="W118" s="2484"/>
      <c r="X118" s="2484"/>
      <c r="Y118" s="2484"/>
      <c r="Z118" s="2484"/>
      <c r="AA118" s="2484"/>
      <c r="AB118" s="2484"/>
      <c r="AC118" s="2484"/>
    </row>
    <row r="119" spans="1:29" ht="15.75" thickBot="1">
      <c r="A119" s="366"/>
      <c r="B119" s="473"/>
      <c r="C119" s="490"/>
      <c r="D119" s="466"/>
      <c r="E119" s="466"/>
      <c r="F119" s="466"/>
      <c r="G119" s="466"/>
      <c r="H119" s="466"/>
      <c r="I119" s="466"/>
      <c r="J119" s="466"/>
      <c r="K119" s="466"/>
      <c r="L119" s="466"/>
      <c r="M119" s="467"/>
      <c r="N119" s="2519"/>
      <c r="O119" s="2519"/>
      <c r="P119" s="2510"/>
      <c r="Q119" s="2505"/>
      <c r="R119" s="2484"/>
      <c r="S119" s="2484"/>
      <c r="T119" s="2484"/>
      <c r="U119" s="2484"/>
      <c r="V119" s="2484"/>
      <c r="W119" s="2484"/>
      <c r="X119" s="2484"/>
      <c r="Y119" s="2484"/>
      <c r="Z119" s="2484"/>
      <c r="AA119" s="2484"/>
      <c r="AB119" s="2484"/>
      <c r="AC119" s="2484"/>
    </row>
    <row r="120" spans="1:29" s="407" customFormat="1" ht="15" thickTop="1">
      <c r="A120" s="405"/>
      <c r="B120" s="468" t="s">
        <v>1807</v>
      </c>
      <c r="C120" s="512"/>
      <c r="D120" s="512"/>
      <c r="E120" s="512"/>
      <c r="F120" s="512"/>
      <c r="G120" s="485"/>
      <c r="H120" s="485"/>
      <c r="I120" s="485"/>
      <c r="J120" s="485"/>
      <c r="K120" s="485"/>
      <c r="L120" s="486"/>
      <c r="M120" s="487"/>
      <c r="N120" s="2520"/>
      <c r="O120" s="2520"/>
      <c r="P120" s="2511"/>
      <c r="Q120" s="2512"/>
      <c r="R120" s="2490"/>
      <c r="S120" s="2490"/>
      <c r="T120" s="2490"/>
      <c r="U120" s="2490"/>
      <c r="V120" s="2490"/>
      <c r="W120" s="2490"/>
      <c r="X120" s="2490"/>
      <c r="Y120" s="2490"/>
      <c r="Z120" s="2490"/>
      <c r="AA120" s="2490"/>
      <c r="AB120" s="2490"/>
      <c r="AC120" s="2490"/>
    </row>
    <row r="121" spans="1:29" s="407" customFormat="1" ht="15.75" thickBot="1">
      <c r="A121" s="483"/>
      <c r="B121" s="465"/>
      <c r="C121" s="511">
        <v>100</v>
      </c>
      <c r="D121" s="474">
        <f>C121-$K41</f>
        <v>98</v>
      </c>
      <c r="E121" s="474">
        <f t="shared" ref="E121:M121" si="29">D121-$K41</f>
        <v>96</v>
      </c>
      <c r="F121" s="474">
        <f t="shared" si="29"/>
        <v>94</v>
      </c>
      <c r="G121" s="474">
        <f t="shared" si="29"/>
        <v>92</v>
      </c>
      <c r="H121" s="474">
        <f t="shared" si="29"/>
        <v>90</v>
      </c>
      <c r="I121" s="474">
        <f t="shared" si="29"/>
        <v>88</v>
      </c>
      <c r="J121" s="474">
        <f t="shared" si="29"/>
        <v>86</v>
      </c>
      <c r="K121" s="474">
        <f t="shared" si="29"/>
        <v>84</v>
      </c>
      <c r="L121" s="474">
        <f t="shared" si="29"/>
        <v>82</v>
      </c>
      <c r="M121" s="475">
        <f t="shared" si="29"/>
        <v>80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8"/>
      <c r="B122" s="468" t="s">
        <v>1742</v>
      </c>
      <c r="C122" s="484"/>
      <c r="D122" s="484"/>
      <c r="E122" s="484"/>
      <c r="F122" s="512"/>
      <c r="G122" s="512"/>
      <c r="H122" s="512"/>
      <c r="I122" s="512"/>
      <c r="J122" s="512"/>
      <c r="K122" s="513"/>
      <c r="L122" s="514"/>
      <c r="M122" s="515"/>
      <c r="N122" s="2518"/>
      <c r="O122" s="2518"/>
      <c r="P122" s="2510"/>
      <c r="Q122" s="2505"/>
      <c r="R122" s="2484"/>
      <c r="S122" s="2484"/>
      <c r="T122" s="2484"/>
      <c r="U122" s="2484"/>
      <c r="V122" s="2484"/>
      <c r="W122" s="2484"/>
      <c r="X122" s="2484"/>
      <c r="Y122" s="2484"/>
      <c r="Z122" s="2484"/>
      <c r="AA122" s="2484"/>
      <c r="AB122" s="2484"/>
      <c r="AC122" s="2484"/>
    </row>
    <row r="123" spans="1:29" ht="15.75" thickBot="1">
      <c r="A123" s="366"/>
      <c r="B123" s="473"/>
      <c r="C123" s="474">
        <v>100</v>
      </c>
      <c r="D123" s="474">
        <f t="shared" ref="D123:M123" si="30">C123-$K42</f>
        <v>98</v>
      </c>
      <c r="E123" s="474">
        <f t="shared" si="30"/>
        <v>96</v>
      </c>
      <c r="F123" s="474">
        <f t="shared" si="30"/>
        <v>94</v>
      </c>
      <c r="G123" s="474">
        <f t="shared" si="30"/>
        <v>92</v>
      </c>
      <c r="H123" s="474">
        <f t="shared" si="30"/>
        <v>90</v>
      </c>
      <c r="I123" s="474">
        <f t="shared" si="30"/>
        <v>88</v>
      </c>
      <c r="J123" s="474">
        <f t="shared" si="30"/>
        <v>86</v>
      </c>
      <c r="K123" s="474">
        <f t="shared" si="30"/>
        <v>84</v>
      </c>
      <c r="L123" s="474">
        <f t="shared" si="30"/>
        <v>82</v>
      </c>
      <c r="M123" s="475">
        <f t="shared" si="30"/>
        <v>80</v>
      </c>
      <c r="N123" s="2519"/>
      <c r="O123" s="2519"/>
      <c r="P123" s="2510"/>
      <c r="Q123" s="2505"/>
      <c r="R123" s="2484"/>
      <c r="S123" s="2484"/>
      <c r="T123" s="2484"/>
      <c r="U123" s="2484"/>
      <c r="V123" s="2484"/>
      <c r="W123" s="2484"/>
      <c r="X123" s="2484"/>
      <c r="Y123" s="2484"/>
      <c r="Z123" s="2484"/>
      <c r="AA123" s="2484"/>
      <c r="AB123" s="2484"/>
      <c r="AC123" s="2484"/>
    </row>
    <row r="124" spans="1:29" ht="15" thickTop="1">
      <c r="A124" s="408"/>
      <c r="B124" s="468" t="s">
        <v>1743</v>
      </c>
      <c r="C124" s="508" t="s">
        <v>1719</v>
      </c>
      <c r="D124" s="508" t="s">
        <v>1720</v>
      </c>
      <c r="E124" s="508" t="s">
        <v>1721</v>
      </c>
      <c r="F124" s="508" t="s">
        <v>1722</v>
      </c>
      <c r="G124" s="508" t="s">
        <v>1723</v>
      </c>
      <c r="H124" s="469"/>
      <c r="I124" s="469"/>
      <c r="J124" s="469"/>
      <c r="K124" s="470"/>
      <c r="L124" s="471"/>
      <c r="M124" s="472"/>
      <c r="N124" s="2518"/>
      <c r="O124" s="2518"/>
      <c r="P124" s="2511"/>
      <c r="Q124" s="2505"/>
      <c r="R124" s="2484"/>
      <c r="S124" s="2484"/>
      <c r="T124" s="2484"/>
      <c r="U124" s="2484"/>
      <c r="V124" s="2484"/>
      <c r="W124" s="2484"/>
      <c r="X124" s="2484"/>
      <c r="Y124" s="2484"/>
      <c r="Z124" s="2484"/>
      <c r="AA124" s="2484"/>
      <c r="AB124" s="2484"/>
      <c r="AC124" s="2484"/>
    </row>
    <row r="125" spans="1:29" ht="15.75" thickBot="1">
      <c r="A125" s="366"/>
      <c r="B125" s="473"/>
      <c r="C125" s="474">
        <v>100</v>
      </c>
      <c r="D125" s="474">
        <f>C125-$K43</f>
        <v>98</v>
      </c>
      <c r="E125" s="474">
        <f>D125-$K43</f>
        <v>96</v>
      </c>
      <c r="F125" s="474">
        <f>E125-$K43</f>
        <v>94</v>
      </c>
      <c r="G125" s="474">
        <f>F125-$K43</f>
        <v>92</v>
      </c>
      <c r="H125" s="474"/>
      <c r="I125" s="474"/>
      <c r="J125" s="474"/>
      <c r="K125" s="474"/>
      <c r="L125" s="474"/>
      <c r="M125" s="475"/>
      <c r="N125" s="2519"/>
      <c r="O125" s="2519"/>
      <c r="P125" s="2510"/>
      <c r="Q125" s="2505"/>
      <c r="R125" s="2484"/>
      <c r="S125" s="2484"/>
      <c r="T125" s="2484"/>
      <c r="U125" s="2484"/>
      <c r="V125" s="2484"/>
      <c r="W125" s="2484"/>
      <c r="X125" s="2484"/>
      <c r="Y125" s="2484"/>
      <c r="Z125" s="2484"/>
      <c r="AA125" s="2484"/>
      <c r="AB125" s="2484"/>
      <c r="AC125" s="2484"/>
    </row>
    <row r="126" spans="1:29" s="407" customFormat="1" ht="15" thickTop="1">
      <c r="A126" s="405"/>
      <c r="B126" s="468">
        <f>B44</f>
        <v>111</v>
      </c>
      <c r="C126" s="484"/>
      <c r="D126" s="484"/>
      <c r="E126" s="484"/>
      <c r="F126" s="484"/>
      <c r="G126" s="484"/>
      <c r="H126" s="485"/>
      <c r="I126" s="485"/>
      <c r="J126" s="485"/>
      <c r="K126" s="485"/>
      <c r="L126" s="486"/>
      <c r="M126" s="487"/>
      <c r="N126" s="2520"/>
      <c r="O126" s="2520"/>
      <c r="P126" s="2511"/>
      <c r="Q126" s="2512"/>
      <c r="R126" s="2490"/>
      <c r="S126" s="2490"/>
      <c r="T126" s="2490"/>
      <c r="U126" s="2490"/>
      <c r="V126" s="2490"/>
      <c r="W126" s="2490"/>
      <c r="X126" s="2490"/>
      <c r="Y126" s="2490"/>
      <c r="Z126" s="2490"/>
      <c r="AA126" s="2490"/>
      <c r="AB126" s="2490"/>
      <c r="AC126" s="2490"/>
    </row>
    <row r="127" spans="1:29" s="407" customFormat="1" ht="15.75" thickBot="1">
      <c r="A127" s="483"/>
      <c r="B127" s="473"/>
      <c r="C127" s="490"/>
      <c r="D127" s="466"/>
      <c r="E127" s="466"/>
      <c r="F127" s="466"/>
      <c r="G127" s="490"/>
      <c r="H127" s="492"/>
      <c r="I127" s="492"/>
      <c r="J127" s="492"/>
      <c r="K127" s="492"/>
      <c r="L127" s="492"/>
      <c r="M127" s="493"/>
      <c r="N127" s="2520"/>
      <c r="O127" s="2520"/>
      <c r="P127" s="2511"/>
      <c r="Q127" s="2512"/>
      <c r="R127" s="2490"/>
      <c r="S127" s="2490"/>
      <c r="T127" s="2490"/>
      <c r="U127" s="2490"/>
      <c r="V127" s="2490"/>
      <c r="W127" s="2490"/>
      <c r="X127" s="2490"/>
      <c r="Y127" s="2490"/>
      <c r="Z127" s="2490"/>
      <c r="AA127" s="2490"/>
      <c r="AB127" s="2490"/>
      <c r="AC127" s="2490"/>
    </row>
    <row r="128" spans="1:29" ht="15" thickTop="1">
      <c r="A128" s="408"/>
      <c r="B128" s="468">
        <f>B45</f>
        <v>111</v>
      </c>
      <c r="C128" s="484"/>
      <c r="D128" s="484"/>
      <c r="E128" s="484"/>
      <c r="F128" s="484"/>
      <c r="G128" s="512"/>
      <c r="H128" s="512"/>
      <c r="I128" s="512"/>
      <c r="J128" s="512"/>
      <c r="K128" s="513"/>
      <c r="L128" s="514"/>
      <c r="M128" s="515"/>
      <c r="N128" s="2518"/>
      <c r="O128" s="2518"/>
      <c r="P128" s="2510"/>
      <c r="Q128" s="2505"/>
      <c r="R128" s="2484"/>
      <c r="S128" s="2484"/>
      <c r="T128" s="2484"/>
      <c r="U128" s="2484"/>
      <c r="V128" s="2484"/>
      <c r="W128" s="2484"/>
      <c r="X128" s="2484"/>
      <c r="Y128" s="2484"/>
      <c r="Z128" s="2484"/>
      <c r="AA128" s="2484"/>
      <c r="AB128" s="2484"/>
      <c r="AC128" s="2484"/>
    </row>
    <row r="129" spans="1:29" ht="15.75" thickBot="1">
      <c r="A129" s="366"/>
      <c r="B129" s="473"/>
      <c r="C129" s="490"/>
      <c r="D129" s="466"/>
      <c r="E129" s="466"/>
      <c r="F129" s="466"/>
      <c r="G129" s="466"/>
      <c r="H129" s="466"/>
      <c r="I129" s="466"/>
      <c r="J129" s="466"/>
      <c r="K129" s="466"/>
      <c r="L129" s="466"/>
      <c r="M129" s="467"/>
      <c r="N129" s="2519"/>
      <c r="O129" s="2519"/>
      <c r="P129" s="2510"/>
      <c r="Q129" s="2505"/>
      <c r="R129" s="2484"/>
      <c r="S129" s="2484"/>
      <c r="T129" s="2484"/>
      <c r="U129" s="2484"/>
      <c r="V129" s="2484"/>
      <c r="W129" s="2484"/>
      <c r="X129" s="2484"/>
      <c r="Y129" s="2484"/>
      <c r="Z129" s="2484"/>
      <c r="AA129" s="2484"/>
      <c r="AB129" s="2484"/>
      <c r="AC129" s="2484"/>
    </row>
    <row r="130" spans="1:29" ht="15" thickTop="1">
      <c r="A130" s="408"/>
      <c r="B130" s="476">
        <f>B46</f>
        <v>111</v>
      </c>
      <c r="C130" s="484"/>
      <c r="D130" s="484"/>
      <c r="E130" s="484"/>
      <c r="F130" s="484"/>
      <c r="G130" s="516"/>
      <c r="H130" s="516"/>
      <c r="I130" s="516"/>
      <c r="J130" s="516"/>
      <c r="K130" s="31"/>
      <c r="L130" s="456"/>
      <c r="M130" s="519"/>
      <c r="N130" s="2518"/>
      <c r="O130" s="2518"/>
      <c r="P130" s="2510"/>
      <c r="Q130" s="2505"/>
      <c r="R130" s="2484"/>
      <c r="S130" s="2484"/>
      <c r="T130" s="2484"/>
      <c r="U130" s="2484"/>
      <c r="V130" s="2484"/>
      <c r="W130" s="2484"/>
      <c r="X130" s="2484"/>
      <c r="Y130" s="2484"/>
      <c r="Z130" s="2484"/>
      <c r="AA130" s="2484"/>
      <c r="AB130" s="2484"/>
      <c r="AC130" s="2484"/>
    </row>
    <row r="131" spans="1:29" ht="15.75" thickBot="1">
      <c r="A131" s="374"/>
      <c r="B131" s="499"/>
      <c r="C131" s="500"/>
      <c r="D131" s="500"/>
      <c r="E131" s="500"/>
      <c r="F131" s="500"/>
      <c r="G131" s="520"/>
      <c r="H131" s="520"/>
      <c r="I131" s="520"/>
      <c r="J131" s="520"/>
      <c r="K131" s="520"/>
      <c r="L131" s="520"/>
      <c r="M131" s="521"/>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C43 E43 G43 I43" xr:uid="{00000000-0002-0000-1600-000001000000}">
      <formula1>内部装修维护情况</formula1>
    </dataValidation>
    <dataValidation type="list" allowBlank="1" showInputMessage="1" showErrorMessage="1" sqref="E20 I20 G20 C20" xr:uid="{00000000-0002-0000-1600-000002000000}">
      <formula1>公共配套设施</formula1>
    </dataValidation>
    <dataValidation type="list" allowBlank="1" showInputMessage="1" showErrorMessage="1" sqref="E18 G18 I18 C18" xr:uid="{00000000-0002-0000-1600-000003000000}">
      <formula1>交通便捷度</formula1>
    </dataValidation>
    <dataValidation type="list" allowBlank="1" showInputMessage="1" showErrorMessage="1" sqref="E24 G24 I24 C24" xr:uid="{00000000-0002-0000-1600-000004000000}">
      <formula1>环境</formula1>
    </dataValidation>
    <dataValidation type="list" allowBlank="1" showInputMessage="1" showErrorMessage="1" sqref="C25 E25 G25 I25" xr:uid="{00000000-0002-0000-1600-000005000000}">
      <formula1>商业临街状况</formula1>
    </dataValidation>
    <dataValidation type="list" allowBlank="1" showInputMessage="1" showErrorMessage="1" sqref="C27 E27 G27 I27" xr:uid="{00000000-0002-0000-1600-000006000000}">
      <formula1>商业人流量</formula1>
    </dataValidation>
    <dataValidation type="list" allowBlank="1" showInputMessage="1" showErrorMessage="1" sqref="C28 E28 G28 I28" xr:uid="{00000000-0002-0000-1600-000007000000}">
      <formula1>商业楼层</formula1>
    </dataValidation>
    <dataValidation type="list" allowBlank="1" showInputMessage="1" showErrorMessage="1" sqref="C32 E32 G32 I32" xr:uid="{00000000-0002-0000-1600-000008000000}">
      <formula1>商业类型</formula1>
    </dataValidation>
    <dataValidation type="list" allowBlank="1" showInputMessage="1" showErrorMessage="1" sqref="C34 E34 G34 I34" xr:uid="{00000000-0002-0000-1600-000009000000}">
      <formula1>商业建筑结构</formula1>
    </dataValidation>
    <dataValidation type="list" allowBlank="1" showInputMessage="1" showErrorMessage="1" sqref="C35 E35 G35 I35" xr:uid="{00000000-0002-0000-1600-00000A000000}">
      <formula1>商业公共部分装修</formula1>
    </dataValidation>
    <dataValidation type="list" allowBlank="1" showInputMessage="1" showErrorMessage="1" sqref="C37 E37 G37 I37" xr:uid="{00000000-0002-0000-1600-00000B000000}">
      <formula1>商业基础设施水平</formula1>
    </dataValidation>
    <dataValidation type="list" allowBlank="1" showInputMessage="1" showErrorMessage="1" sqref="C41 E41 G41 I41" xr:uid="{00000000-0002-0000-1600-00000C000000}">
      <formula1>商业进深比</formula1>
    </dataValidation>
    <dataValidation type="list" allowBlank="1" showInputMessage="1" showErrorMessage="1" sqref="C42 E42 G42 I42" xr:uid="{00000000-0002-0000-1600-00000D000000}">
      <formula1>商业内部装修</formula1>
    </dataValidation>
    <dataValidation type="list" allowBlank="1" showInputMessage="1" showErrorMessage="1" sqref="E9 G9 I9" xr:uid="{00000000-0002-0000-1600-00000E000000}">
      <formula1>商业用途</formula1>
    </dataValidation>
    <dataValidation type="list" allowBlank="1" showInputMessage="1" showErrorMessage="1" sqref="C38 E38 G38 I38" xr:uid="{00000000-0002-0000-1600-00000F000000}">
      <formula1>商业业态</formula1>
    </dataValidation>
    <dataValidation type="list" allowBlank="1" showInputMessage="1" showErrorMessage="1" sqref="C39 E39 G39 I39" xr:uid="{00000000-0002-0000-1600-000010000000}">
      <formula1>商业层高</formula1>
    </dataValidation>
    <dataValidation type="list" allowBlank="1" showInputMessage="1" showErrorMessage="1" sqref="C8 E8 G8 I8" xr:uid="{00000000-0002-0000-1600-000011000000}">
      <formula1>商业交易情况</formula1>
    </dataValidation>
    <dataValidation type="list" allowBlank="1" showInputMessage="1" showErrorMessage="1" sqref="C16 E16 G16 I16" xr:uid="{00000000-0002-0000-1600-000012000000}">
      <formula1>商业繁华度</formula1>
    </dataValidation>
    <dataValidation type="list" allowBlank="1" showInputMessage="1" showErrorMessage="1" sqref="C22 E22 G22 I22" xr:uid="{00000000-0002-0000-1600-000013000000}">
      <formula1>基础设施水平</formula1>
    </dataValidation>
    <dataValidation type="list" allowBlank="1" showInputMessage="1" showErrorMessage="1" sqref="F1" xr:uid="{00000000-0002-0000-1600-000014000000}">
      <formula1>"售价,租金"</formula1>
    </dataValidation>
    <dataValidation type="list" allowBlank="1" showInputMessage="1" showErrorMessage="1" sqref="C2" xr:uid="{00000000-0002-0000-1600-000015000000}">
      <formula1>"需扣减承租人权益,——"</formula1>
    </dataValidation>
    <dataValidation type="list" allowBlank="1" showInputMessage="1" showErrorMessage="1" sqref="F2" xr:uid="{00000000-0002-0000-1600-000016000000}">
      <formula1>估价方法</formula1>
    </dataValidation>
    <dataValidation type="list" allowBlank="1" showInputMessage="1" showErrorMessage="1" sqref="D48" xr:uid="{00000000-0002-0000-1600-000017000000}">
      <formula1>"简单平均,加权平均"</formula1>
    </dataValidation>
    <dataValidation type="list" allowBlank="1" showInputMessage="1" showErrorMessage="1" sqref="E1" xr:uid="{00000000-0002-0000-16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M3:R59"/>
  <sheetViews>
    <sheetView topLeftCell="C4" workbookViewId="0">
      <selection activeCell="M38" sqref="M38"/>
    </sheetView>
  </sheetViews>
  <sheetFormatPr defaultRowHeight="13.5"/>
  <cols>
    <col min="13" max="13" width="13" bestFit="1" customWidth="1"/>
  </cols>
  <sheetData>
    <row r="3" spans="13:18">
      <c r="M3" s="1404" t="s">
        <v>3696</v>
      </c>
      <c r="N3" s="1404" t="s">
        <v>3700</v>
      </c>
      <c r="O3" s="1404" t="s">
        <v>3699</v>
      </c>
      <c r="P3" s="1404" t="s">
        <v>3702</v>
      </c>
      <c r="Q3" s="1404" t="s">
        <v>3698</v>
      </c>
    </row>
    <row r="4" spans="13:18">
      <c r="M4" s="1404" t="s">
        <v>3697</v>
      </c>
      <c r="N4">
        <v>150</v>
      </c>
      <c r="O4">
        <v>1100</v>
      </c>
      <c r="P4">
        <f>ROUND(O4/N4*10000,0)</f>
        <v>73333</v>
      </c>
      <c r="Q4">
        <v>2007</v>
      </c>
      <c r="R4" s="1404" t="s">
        <v>3701</v>
      </c>
    </row>
    <row r="28" spans="13:17">
      <c r="M28" s="1404" t="s">
        <v>3703</v>
      </c>
      <c r="N28" s="1404" t="s">
        <v>3700</v>
      </c>
      <c r="O28" s="1404" t="s">
        <v>3699</v>
      </c>
      <c r="P28" s="1404" t="s">
        <v>3702</v>
      </c>
      <c r="Q28" s="1404" t="s">
        <v>3698</v>
      </c>
    </row>
    <row r="29" spans="13:17">
      <c r="M29" s="1404" t="s">
        <v>3704</v>
      </c>
      <c r="N29">
        <v>87.53</v>
      </c>
      <c r="O29">
        <v>620</v>
      </c>
      <c r="P29">
        <f>ROUND(O29/N29*10000,0)</f>
        <v>70833</v>
      </c>
      <c r="Q29" s="1404" t="s">
        <v>3706</v>
      </c>
    </row>
    <row r="58" spans="13:17">
      <c r="M58" s="1404" t="s">
        <v>3696</v>
      </c>
      <c r="N58" s="1404" t="s">
        <v>3700</v>
      </c>
      <c r="O58" s="1404" t="s">
        <v>3699</v>
      </c>
      <c r="P58" s="1404" t="s">
        <v>3702</v>
      </c>
      <c r="Q58" s="1404" t="s">
        <v>3698</v>
      </c>
    </row>
    <row r="59" spans="13:17">
      <c r="M59" s="1404" t="s">
        <v>3697</v>
      </c>
      <c r="N59">
        <v>117.3</v>
      </c>
      <c r="O59">
        <v>832.83</v>
      </c>
      <c r="P59">
        <f>ROUND(O59/N59*10000,0)</f>
        <v>71000</v>
      </c>
      <c r="Q59">
        <v>2007</v>
      </c>
    </row>
  </sheetData>
  <phoneticPr fontId="135"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H57"/>
  <sheetViews>
    <sheetView view="pageBreakPreview" zoomScale="80" zoomScaleNormal="70" zoomScaleSheetLayoutView="80" workbookViewId="0">
      <selection activeCell="C7" sqref="C7"/>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1459</v>
      </c>
      <c r="B1" s="1373" t="s">
        <v>3649</v>
      </c>
      <c r="C1" s="1716" t="s">
        <v>1561</v>
      </c>
      <c r="D1" s="189"/>
      <c r="E1" s="189"/>
      <c r="F1" s="189"/>
      <c r="G1" s="1061">
        <f>MATCH(B1,'数据-取费表'!A6:A16,0)+5</f>
        <v>6</v>
      </c>
      <c r="H1" s="997" t="str">
        <f>IF(ISERROR(FIND("住宅",B1)),"非住宅","住宅")</f>
        <v>非住宅</v>
      </c>
    </row>
    <row r="2" spans="1:8" s="191" customFormat="1" ht="18" customHeight="1">
      <c r="A2" s="192" t="s">
        <v>1460</v>
      </c>
      <c r="B2" s="3119">
        <f ca="1">ROUND(IF(D2="——",C52/10000,C52/10000-E2),4)</f>
        <v>865.79449999999997</v>
      </c>
      <c r="C2" s="190" t="s">
        <v>1461</v>
      </c>
      <c r="D2" s="1710" t="s">
        <v>43</v>
      </c>
      <c r="E2" s="1088" t="e">
        <f ca="1">SUMIF(INDIRECT("'"&amp;G2&amp;"'"&amp;"!A:A"),"承租人权益价值",INDIRECT("'"&amp;G2&amp;"'"&amp;"!c:c"))</f>
        <v>#REF!</v>
      </c>
      <c r="F2" s="1711" t="s">
        <v>1461</v>
      </c>
      <c r="G2" s="1712"/>
    </row>
    <row r="3" spans="1:8" s="191" customFormat="1" ht="18" customHeight="1" thickBot="1">
      <c r="A3" s="194" t="s">
        <v>1462</v>
      </c>
      <c r="B3" s="195">
        <f ca="1">ROUND(B2*10000/(IF(B1="",'数据-汇总表'!E3,INDIRECT("'数据-取费表'!k"&amp;$G$1))),0)</f>
        <v>76342</v>
      </c>
      <c r="C3" s="190" t="s">
        <v>1463</v>
      </c>
      <c r="D3" s="190"/>
      <c r="E3" s="190"/>
      <c r="F3" s="190"/>
      <c r="G3" s="190"/>
    </row>
    <row r="4" spans="1:8" s="199" customFormat="1" ht="15.75">
      <c r="A4" s="196" t="s">
        <v>1464</v>
      </c>
      <c r="B4" s="197"/>
      <c r="C4" s="197"/>
      <c r="D4" s="197"/>
      <c r="E4" s="197"/>
      <c r="F4" s="197"/>
      <c r="G4" s="198"/>
    </row>
    <row r="5" spans="1:8" s="205" customFormat="1" ht="13.5" customHeight="1">
      <c r="A5" s="246" t="s">
        <v>1465</v>
      </c>
      <c r="B5" s="201" t="s">
        <v>1466</v>
      </c>
      <c r="C5" s="202">
        <f ca="1">C6+C7+C8</f>
        <v>5802439</v>
      </c>
      <c r="D5" s="202" t="s">
        <v>1467</v>
      </c>
      <c r="E5" s="203" t="s">
        <v>1468</v>
      </c>
      <c r="F5" s="203" t="s">
        <v>1469</v>
      </c>
      <c r="G5" s="204"/>
    </row>
    <row r="6" spans="1:8" s="205" customFormat="1" ht="13.5" customHeight="1">
      <c r="A6" s="731" t="s">
        <v>1470</v>
      </c>
      <c r="B6" s="206" t="s">
        <v>1471</v>
      </c>
      <c r="C6" s="207">
        <f ca="1">ROUND(基准地价修正!C33*D10,0)</f>
        <v>5608692</v>
      </c>
      <c r="D6" s="208"/>
      <c r="E6" s="209"/>
      <c r="F6" s="209"/>
      <c r="G6" s="210"/>
    </row>
    <row r="7" spans="1:8" s="205" customFormat="1" ht="13.5" customHeight="1">
      <c r="A7" s="731" t="s">
        <v>1472</v>
      </c>
      <c r="B7" s="206" t="s">
        <v>1473</v>
      </c>
      <c r="C7" s="211">
        <f ca="1">ROUND(C6*F7,0)</f>
        <v>171065</v>
      </c>
      <c r="D7" s="211"/>
      <c r="E7" s="209"/>
      <c r="F7" s="212">
        <f>IF(项目基本情况!B8="出让",0,'数据-取费表'!B48+'数据-取费表'!B49)</f>
        <v>3.0499999999999999E-2</v>
      </c>
      <c r="G7" s="210"/>
    </row>
    <row r="8" spans="1:8" s="214" customFormat="1">
      <c r="A8" s="731" t="s">
        <v>1474</v>
      </c>
      <c r="B8" s="206" t="s">
        <v>1475</v>
      </c>
      <c r="C8" s="211">
        <f ca="1">IF(G8="已包含在土地购买价格中",0,C9+C10)</f>
        <v>22682</v>
      </c>
      <c r="D8" s="213"/>
      <c r="E8" s="211"/>
      <c r="F8" s="212"/>
      <c r="G8" s="1713"/>
    </row>
    <row r="9" spans="1:8" s="205" customFormat="1" ht="13.5" customHeight="1">
      <c r="A9" s="732" t="s">
        <v>355</v>
      </c>
      <c r="B9" s="215" t="s">
        <v>1476</v>
      </c>
      <c r="C9" s="216">
        <f ca="1">ROUND(D9*E9,0)</f>
        <v>0</v>
      </c>
      <c r="D9" s="794">
        <f ca="1">IF(B1="",'数据-汇总表'!E5,IF(INDIRECT("'数据-取费表'!c"&amp;$G$1)="住宅",INDIRECT("'数据-取费表'!k"&amp;$G$1),0))</f>
        <v>0</v>
      </c>
      <c r="E9" s="216">
        <f>'数据-取费表'!B27</f>
        <v>160</v>
      </c>
      <c r="F9" s="212"/>
      <c r="G9" s="217"/>
    </row>
    <row r="10" spans="1:8" s="205" customFormat="1" ht="13.5" customHeight="1">
      <c r="A10" s="732" t="s">
        <v>356</v>
      </c>
      <c r="B10" s="215" t="s">
        <v>1478</v>
      </c>
      <c r="C10" s="216">
        <f ca="1">ROUND(D10*E10,0)</f>
        <v>22682</v>
      </c>
      <c r="D10" s="794">
        <f ca="1">IF(B1="",'数据-汇总表'!E6,IF(INDIRECT("'数据-取费表'!c"&amp;$G$1)="住宅",INDIRECT("'数据-取费表'!s"&amp;$G$1),INDIRECT("'数据-取费表'!k"&amp;$G$1)+INDIRECT("'数据-取费表'!s"&amp;$G$1)))</f>
        <v>113.41</v>
      </c>
      <c r="E10" s="216">
        <f>'数据-取费表'!B28</f>
        <v>200</v>
      </c>
      <c r="F10" s="212"/>
      <c r="G10" s="217"/>
    </row>
    <row r="11" spans="1:8" s="205" customFormat="1" ht="13.5" hidden="1" customHeight="1">
      <c r="A11" s="218" t="s">
        <v>4</v>
      </c>
      <c r="B11" s="206" t="s">
        <v>1479</v>
      </c>
      <c r="C11" s="202"/>
      <c r="D11" s="209"/>
      <c r="E11" s="209"/>
      <c r="F11" s="209"/>
      <c r="G11" s="210"/>
    </row>
    <row r="12" spans="1:8" s="205" customFormat="1" ht="13.5" hidden="1" customHeight="1">
      <c r="A12" s="218" t="s">
        <v>5</v>
      </c>
      <c r="B12" s="206" t="s">
        <v>1562</v>
      </c>
      <c r="C12" s="202">
        <v>0</v>
      </c>
      <c r="D12" s="209"/>
      <c r="E12" s="219"/>
      <c r="F12" s="212">
        <v>3.0499999999999999E-2</v>
      </c>
      <c r="G12" s="210"/>
    </row>
    <row r="13" spans="1:8" s="205" customFormat="1" ht="13.5" hidden="1" customHeight="1">
      <c r="A13" s="218" t="s">
        <v>6</v>
      </c>
      <c r="B13" s="206" t="s">
        <v>1563</v>
      </c>
      <c r="C13" s="202"/>
      <c r="D13" s="209"/>
      <c r="E13" s="209"/>
      <c r="F13" s="209"/>
      <c r="G13" s="210"/>
    </row>
    <row r="14" spans="1:8" s="205" customFormat="1" ht="13.5" hidden="1" customHeight="1">
      <c r="A14" s="218" t="s">
        <v>7</v>
      </c>
      <c r="B14" s="206" t="s">
        <v>1475</v>
      </c>
      <c r="C14" s="202"/>
      <c r="D14" s="209"/>
      <c r="E14" s="209"/>
      <c r="F14" s="209"/>
      <c r="G14" s="210" t="s">
        <v>1564</v>
      </c>
    </row>
    <row r="15" spans="1:8" s="205" customFormat="1" ht="13.5" hidden="1" customHeight="1">
      <c r="A15" s="218" t="s">
        <v>8</v>
      </c>
      <c r="B15" s="206" t="s">
        <v>1565</v>
      </c>
      <c r="C15" s="211"/>
      <c r="D15" s="209"/>
      <c r="E15" s="209"/>
      <c r="F15" s="209"/>
      <c r="G15" s="210" t="s">
        <v>1566</v>
      </c>
    </row>
    <row r="16" spans="1:8" s="205" customFormat="1" ht="13.5" hidden="1" customHeight="1">
      <c r="A16" s="218" t="s">
        <v>9</v>
      </c>
      <c r="B16" s="206" t="s">
        <v>1475</v>
      </c>
      <c r="C16" s="211"/>
      <c r="D16" s="209"/>
      <c r="E16" s="209"/>
      <c r="F16" s="209"/>
      <c r="G16" s="210"/>
    </row>
    <row r="17" spans="1:7" s="205" customFormat="1" ht="13.5" hidden="1" customHeight="1">
      <c r="A17" s="218" t="s">
        <v>10</v>
      </c>
      <c r="B17" s="206" t="s">
        <v>1567</v>
      </c>
      <c r="C17" s="220"/>
      <c r="D17" s="220"/>
      <c r="E17" s="220"/>
      <c r="F17" s="220"/>
      <c r="G17" s="210" t="s">
        <v>1566</v>
      </c>
    </row>
    <row r="18" spans="1:7" s="205" customFormat="1" ht="13.5" hidden="1" customHeight="1">
      <c r="A18" s="218" t="s">
        <v>11</v>
      </c>
      <c r="B18" s="206" t="s">
        <v>1568</v>
      </c>
      <c r="C18" s="211">
        <v>0</v>
      </c>
      <c r="D18" s="209"/>
      <c r="E18" s="209"/>
      <c r="F18" s="212">
        <v>3.0499999999999999E-2</v>
      </c>
      <c r="G18" s="210" t="s">
        <v>1569</v>
      </c>
    </row>
    <row r="19" spans="1:7" s="214" customFormat="1" ht="13.5" customHeight="1">
      <c r="A19" s="246" t="s">
        <v>1570</v>
      </c>
      <c r="B19" s="201" t="s">
        <v>1571</v>
      </c>
      <c r="C19" s="202" t="str">
        <f>IF(G19="已包含在土地取得成本中","0",ROUND(D19*E19,0))</f>
        <v>0</v>
      </c>
      <c r="D19" s="203">
        <f ca="1">D9+D10</f>
        <v>113.41</v>
      </c>
      <c r="E19" s="202">
        <f>'数据-取费表'!B31</f>
        <v>200</v>
      </c>
      <c r="F19" s="222"/>
      <c r="G19" s="1713" t="s">
        <v>3548</v>
      </c>
    </row>
    <row r="20" spans="1:7" s="205" customFormat="1" ht="13.5" customHeight="1">
      <c r="A20" s="246" t="s">
        <v>1572</v>
      </c>
      <c r="B20" s="201" t="s">
        <v>1573</v>
      </c>
      <c r="C20" s="223">
        <f ca="1">ROUND((C5+C19)*F20,0)</f>
        <v>116049</v>
      </c>
      <c r="D20" s="223"/>
      <c r="E20" s="223"/>
      <c r="F20" s="224">
        <f>'数据-取费表'!B37</f>
        <v>0.02</v>
      </c>
      <c r="G20" s="225" t="s">
        <v>1574</v>
      </c>
    </row>
    <row r="21" spans="1:7" s="205" customFormat="1" ht="13.5" customHeight="1">
      <c r="A21" s="246" t="s">
        <v>1575</v>
      </c>
      <c r="B21" s="201" t="s">
        <v>1576</v>
      </c>
      <c r="C21" s="226">
        <f>F21</f>
        <v>0.02</v>
      </c>
      <c r="D21" s="227" t="s">
        <v>1577</v>
      </c>
      <c r="E21" s="223"/>
      <c r="F21" s="224">
        <f>'数据-取费表'!B38</f>
        <v>0.02</v>
      </c>
      <c r="G21" s="225" t="s">
        <v>1578</v>
      </c>
    </row>
    <row r="22" spans="1:7" s="205" customFormat="1" ht="13.5" customHeight="1">
      <c r="A22" s="246" t="s">
        <v>1579</v>
      </c>
      <c r="B22" s="201" t="s">
        <v>1580</v>
      </c>
      <c r="C22" s="223">
        <f ca="1">ROUND(SUM(C23:C25),0)</f>
        <v>496412</v>
      </c>
      <c r="D22" s="226">
        <f ca="1">C26</f>
        <v>8.0000000000000004E-4</v>
      </c>
      <c r="E22" s="227" t="s">
        <v>1577</v>
      </c>
      <c r="F22" s="228">
        <f ca="1">'数据-取费表'!B40</f>
        <v>4.1499999999999995E-2</v>
      </c>
      <c r="G22" s="225" t="str">
        <f>IF('数据-取费表'!B22&lt;=1,"单利计息","复利计息")</f>
        <v>复利计息</v>
      </c>
    </row>
    <row r="23" spans="1:7" s="205" customFormat="1" ht="13.5" customHeight="1">
      <c r="A23" s="733" t="s">
        <v>1470</v>
      </c>
      <c r="B23" s="206" t="s">
        <v>1581</v>
      </c>
      <c r="C23" s="229">
        <f ca="1">ROUND(IF('数据-取费表'!B22&lt;=1,C5*F22*'数据-取费表'!B22,C5*(POWER((1+F22),'数据-取费表'!B22)-1)),0)</f>
        <v>491596</v>
      </c>
      <c r="D23" s="229"/>
      <c r="E23" s="229"/>
      <c r="F23" s="230"/>
      <c r="G23" s="231" t="s">
        <v>1582</v>
      </c>
    </row>
    <row r="24" spans="1:7" s="205" customFormat="1" ht="13.5" customHeight="1">
      <c r="A24" s="733" t="s">
        <v>1472</v>
      </c>
      <c r="B24" s="206" t="s">
        <v>1583</v>
      </c>
      <c r="C24" s="229">
        <f ca="1">ROUND(IF('数据-取费表'!B22&lt;=1,C19*F22*('数据-取费表'!B19/2+'数据-取费表'!B20),C19*(POWER((1+F22),('数据-取费表'!B19/2+'数据-取费表'!B20))-1)),0)</f>
        <v>0</v>
      </c>
      <c r="D24" s="229"/>
      <c r="E24" s="229"/>
      <c r="F24" s="230"/>
      <c r="G24" s="231" t="s">
        <v>1584</v>
      </c>
    </row>
    <row r="25" spans="1:7" s="205" customFormat="1" ht="24">
      <c r="A25" s="733" t="s">
        <v>1474</v>
      </c>
      <c r="B25" s="206" t="s">
        <v>1585</v>
      </c>
      <c r="C25" s="229">
        <f ca="1">ROUND(IF('数据-取费表'!B22&lt;=1,C20*F22*'数据-取费表'!B22/2,C20*(POWER((1+F22),'数据-取费表'!B22/2)-1)),0)</f>
        <v>4816</v>
      </c>
      <c r="D25" s="229"/>
      <c r="E25" s="232"/>
      <c r="F25" s="230"/>
      <c r="G25" s="233" t="s">
        <v>1586</v>
      </c>
    </row>
    <row r="26" spans="1:7" s="205" customFormat="1">
      <c r="A26" s="733" t="s">
        <v>350</v>
      </c>
      <c r="B26" s="206" t="s">
        <v>1509</v>
      </c>
      <c r="C26" s="229">
        <f ca="1">ROUND(IF('数据-取费表'!B22&lt;=1,F21*F22*'数据-取费表'!B22/2,F21*(POWER((1+F22),'数据-取费表'!B22/2)-1)),4)</f>
        <v>8.0000000000000004E-4</v>
      </c>
      <c r="D26" s="229"/>
      <c r="E26" s="232"/>
      <c r="F26" s="230"/>
      <c r="G26" s="234"/>
    </row>
    <row r="27" spans="1:7" s="205" customFormat="1" ht="24.75">
      <c r="A27" s="246" t="s">
        <v>1510</v>
      </c>
      <c r="B27" s="235" t="s">
        <v>1511</v>
      </c>
      <c r="C27" s="236">
        <f ca="1">C28</f>
        <v>1183698</v>
      </c>
      <c r="D27" s="226">
        <f ca="1">C29</f>
        <v>4.0000000000000001E-3</v>
      </c>
      <c r="E27" s="227" t="s">
        <v>1512</v>
      </c>
      <c r="F27" s="237">
        <f ca="1">IF(B1="",'数据-取费表'!Q16,INDIRECT("'数据-取费表'!q"&amp;$G$1))</f>
        <v>0.2</v>
      </c>
      <c r="G27" s="238" t="s">
        <v>1513</v>
      </c>
    </row>
    <row r="28" spans="1:7" s="205" customFormat="1" ht="13.5" customHeight="1">
      <c r="A28" s="733" t="s">
        <v>346</v>
      </c>
      <c r="B28" s="239" t="s">
        <v>1514</v>
      </c>
      <c r="C28" s="240">
        <f ca="1">ROUND((C5+C19+C20)*F27,0)</f>
        <v>1183698</v>
      </c>
      <c r="D28" s="226"/>
      <c r="E28" s="227"/>
      <c r="F28" s="237"/>
      <c r="G28" s="238"/>
    </row>
    <row r="29" spans="1:7" s="205" customFormat="1" ht="13.5" customHeight="1">
      <c r="A29" s="733" t="s">
        <v>347</v>
      </c>
      <c r="B29" s="239" t="s">
        <v>1515</v>
      </c>
      <c r="C29" s="229">
        <f ca="1">ROUND(C21*F27,4)</f>
        <v>4.0000000000000001E-3</v>
      </c>
      <c r="D29" s="226"/>
      <c r="E29" s="227"/>
      <c r="F29" s="237"/>
      <c r="G29" s="238"/>
    </row>
    <row r="30" spans="1:7" s="205" customFormat="1" ht="13.5" customHeight="1">
      <c r="A30" s="246" t="s">
        <v>1516</v>
      </c>
      <c r="B30" s="201" t="s">
        <v>1517</v>
      </c>
      <c r="C30" s="226">
        <f>ROUND(F30/(1+'数据-取费表'!C42),4)</f>
        <v>5.33E-2</v>
      </c>
      <c r="D30" s="227" t="s">
        <v>1512</v>
      </c>
      <c r="E30" s="232"/>
      <c r="F30" s="228">
        <f>'数据-取费表'!B41</f>
        <v>5.6000000000000001E-2</v>
      </c>
      <c r="G30" s="225" t="s">
        <v>1518</v>
      </c>
    </row>
    <row r="31" spans="1:7" ht="16.5" customHeight="1">
      <c r="A31" s="200">
        <v>1</v>
      </c>
      <c r="B31" s="201" t="s">
        <v>1519</v>
      </c>
      <c r="C31" s="202">
        <f ca="1">ROUND((C5+C19+C20+C22+C27)/(1-C21-D22-D27-C30),0)</f>
        <v>8242323</v>
      </c>
      <c r="D31" s="221"/>
      <c r="E31" s="202"/>
      <c r="F31" s="241"/>
      <c r="G31" s="225" t="s">
        <v>1520</v>
      </c>
    </row>
    <row r="32" spans="1:7" s="199" customFormat="1" ht="15.75">
      <c r="A32" s="243" t="s">
        <v>1587</v>
      </c>
      <c r="B32" s="244"/>
      <c r="C32" s="244"/>
      <c r="D32" s="244"/>
      <c r="E32" s="244"/>
      <c r="F32" s="244"/>
      <c r="G32" s="245"/>
    </row>
    <row r="33" spans="1:8" s="205" customFormat="1" ht="13.5" customHeight="1">
      <c r="A33" s="246" t="s">
        <v>337</v>
      </c>
      <c r="B33" s="201" t="s">
        <v>1588</v>
      </c>
      <c r="C33" s="247">
        <f ca="1">SUM(C34:C38)</f>
        <v>378222</v>
      </c>
      <c r="D33" s="223"/>
      <c r="E33" s="203"/>
      <c r="F33" s="232"/>
      <c r="G33" s="225"/>
    </row>
    <row r="34" spans="1:8" s="249" customFormat="1" ht="13.5" customHeight="1">
      <c r="A34" s="733" t="s">
        <v>346</v>
      </c>
      <c r="B34" s="206" t="s">
        <v>1523</v>
      </c>
      <c r="C34" s="211">
        <f ca="1">ROUND(IF(B1="",SUMPRODUCT('数据-取费表'!K6:K14,'数据-取费表'!L6:L14),INDIRECT("'数据-取费表'!l"&amp;$G$1)*INDIRECT("'数据-取费表'!k"&amp;$G$1)+'数据-取费表'!L14*INDIRECT("'数据-取费表'!S"&amp;$G$1)),0)</f>
        <v>340230</v>
      </c>
      <c r="D34" s="208"/>
      <c r="E34" s="211"/>
      <c r="F34" s="248"/>
      <c r="G34" s="210"/>
      <c r="H34" s="249">
        <f>3000*113.41</f>
        <v>340230</v>
      </c>
    </row>
    <row r="35" spans="1:8" ht="13.5" customHeight="1">
      <c r="A35" s="733" t="s">
        <v>351</v>
      </c>
      <c r="B35" s="206" t="s">
        <v>1525</v>
      </c>
      <c r="C35" s="211">
        <f ca="1">ROUND(C34*F35,0)</f>
        <v>10207</v>
      </c>
      <c r="D35" s="211"/>
      <c r="E35" s="211"/>
      <c r="F35" s="250">
        <f>'数据-取费表'!B33</f>
        <v>0.03</v>
      </c>
      <c r="G35" s="210" t="s">
        <v>1526</v>
      </c>
    </row>
    <row r="36" spans="1:8" ht="24">
      <c r="A36" s="733" t="s">
        <v>352</v>
      </c>
      <c r="B36" s="206" t="s">
        <v>1527</v>
      </c>
      <c r="C36" s="211">
        <f ca="1">ROUND(IF(B1="",SUM('数据-取费表'!AP6:AP13)*F36,IF(INDIRECT("'数据-取费表'!c"&amp;$G$1)="住宅",INDIRECT("'数据-取费表'!k"&amp;$G$1)*INDIRECT("'数据-取费表'!l"&amp;$G$1)*F36,0)),0)</f>
        <v>0</v>
      </c>
      <c r="D36" s="211"/>
      <c r="E36" s="211"/>
      <c r="F36" s="250">
        <f>'数据-取费表'!B34</f>
        <v>0</v>
      </c>
      <c r="G36" s="251" t="s">
        <v>1528</v>
      </c>
    </row>
    <row r="37" spans="1:8" s="249" customFormat="1" ht="13.5" customHeight="1">
      <c r="A37" s="733" t="s">
        <v>353</v>
      </c>
      <c r="B37" s="206" t="s">
        <v>1529</v>
      </c>
      <c r="C37" s="240">
        <f ca="1">ROUND(E37*D37,0)</f>
        <v>22682</v>
      </c>
      <c r="D37" s="208">
        <f ca="1">D19</f>
        <v>113.41</v>
      </c>
      <c r="E37" s="240">
        <f>'数据-取费表'!B35</f>
        <v>200</v>
      </c>
      <c r="F37" s="250"/>
      <c r="G37" s="252"/>
    </row>
    <row r="38" spans="1:8" ht="13.5" customHeight="1">
      <c r="A38" s="733" t="s">
        <v>354</v>
      </c>
      <c r="B38" s="206" t="s">
        <v>1531</v>
      </c>
      <c r="C38" s="211">
        <f ca="1">ROUND(C34*F38,0)</f>
        <v>5103</v>
      </c>
      <c r="D38" s="211"/>
      <c r="E38" s="211"/>
      <c r="F38" s="250">
        <f>'数据-取费表'!B36</f>
        <v>1.4999999999999999E-2</v>
      </c>
      <c r="G38" s="210" t="s">
        <v>1526</v>
      </c>
    </row>
    <row r="39" spans="1:8" s="205" customFormat="1" ht="13.5" customHeight="1">
      <c r="A39" s="246" t="s">
        <v>1532</v>
      </c>
      <c r="B39" s="201" t="s">
        <v>1533</v>
      </c>
      <c r="C39" s="223">
        <f ca="1">ROUND(C33*F20,0)</f>
        <v>7564</v>
      </c>
      <c r="D39" s="223"/>
      <c r="E39" s="223"/>
      <c r="F39" s="224">
        <f>F20</f>
        <v>0.02</v>
      </c>
      <c r="G39" s="225" t="s">
        <v>1534</v>
      </c>
    </row>
    <row r="40" spans="1:8" s="205" customFormat="1" ht="13.5" customHeight="1">
      <c r="A40" s="246" t="s">
        <v>1535</v>
      </c>
      <c r="B40" s="201" t="s">
        <v>1536</v>
      </c>
      <c r="C40" s="226">
        <f>F21</f>
        <v>0.02</v>
      </c>
      <c r="D40" s="227" t="s">
        <v>1537</v>
      </c>
      <c r="E40" s="223"/>
      <c r="F40" s="224">
        <f>F21</f>
        <v>0.02</v>
      </c>
      <c r="G40" s="225" t="s">
        <v>1538</v>
      </c>
      <c r="H40" s="205">
        <f>378222+7564</f>
        <v>385786</v>
      </c>
    </row>
    <row r="41" spans="1:8" s="205" customFormat="1" ht="13.5" customHeight="1">
      <c r="A41" s="246" t="s">
        <v>1539</v>
      </c>
      <c r="B41" s="201" t="s">
        <v>1540</v>
      </c>
      <c r="C41" s="223">
        <f ca="1">ROUND(SUM(C42:C43),0)</f>
        <v>16010</v>
      </c>
      <c r="D41" s="226">
        <f ca="1">C44</f>
        <v>8.0000000000000004E-4</v>
      </c>
      <c r="E41" s="227" t="s">
        <v>1537</v>
      </c>
      <c r="F41" s="228">
        <f ca="1">F22</f>
        <v>4.1499999999999995E-2</v>
      </c>
      <c r="G41" s="225" t="str">
        <f>IF('数据-取费表'!B22&lt;=1,"单利计息","复利计息")</f>
        <v>复利计息</v>
      </c>
      <c r="H41" s="205">
        <f>H40*0.2</f>
        <v>77157.2</v>
      </c>
    </row>
    <row r="42" spans="1:8" ht="13.5" customHeight="1">
      <c r="A42" s="733" t="s">
        <v>346</v>
      </c>
      <c r="B42" s="206" t="s">
        <v>1541</v>
      </c>
      <c r="C42" s="229">
        <f ca="1">ROUND(IF('数据-取费表'!B22&lt;=1,C33*F22*'数据-取费表'!B20/2,C33*(POWER((1+F22),'数据-取费表'!B20/2)-1)),0)</f>
        <v>15696</v>
      </c>
      <c r="D42" s="229"/>
      <c r="E42" s="229"/>
      <c r="F42" s="230"/>
      <c r="G42" s="3420" t="s">
        <v>1589</v>
      </c>
    </row>
    <row r="43" spans="1:8" ht="13.5" customHeight="1">
      <c r="A43" s="733" t="s">
        <v>347</v>
      </c>
      <c r="B43" s="206" t="s">
        <v>1543</v>
      </c>
      <c r="C43" s="229">
        <f ca="1">ROUND(IF('数据-取费表'!B22&lt;=1,C39*F22*'数据-取费表'!B20/2,C39*(POWER((1+F22),'数据-取费表'!B20/2)-1)),0)</f>
        <v>314</v>
      </c>
      <c r="D43" s="229"/>
      <c r="E43" s="229"/>
      <c r="F43" s="230"/>
      <c r="G43" s="3421"/>
    </row>
    <row r="44" spans="1:8" ht="13.5" customHeight="1">
      <c r="A44" s="733" t="s">
        <v>348</v>
      </c>
      <c r="B44" s="206" t="s">
        <v>1544</v>
      </c>
      <c r="C44" s="229">
        <f ca="1">ROUND(IF('数据-取费表'!B22&lt;=1,C40*F22*'数据-取费表'!B20/2,C40*(POWER((1+F22),'数据-取费表'!B20/2)-1)),4)</f>
        <v>8.0000000000000004E-4</v>
      </c>
      <c r="D44" s="229"/>
      <c r="E44" s="229"/>
      <c r="F44" s="230"/>
      <c r="G44" s="3422"/>
    </row>
    <row r="45" spans="1:8" s="205" customFormat="1" ht="13.5" customHeight="1">
      <c r="A45" s="246" t="s">
        <v>1545</v>
      </c>
      <c r="B45" s="235" t="s">
        <v>1511</v>
      </c>
      <c r="C45" s="236">
        <f ca="1">C46</f>
        <v>77157</v>
      </c>
      <c r="D45" s="226">
        <f ca="1">C47</f>
        <v>4.0000000000000001E-3</v>
      </c>
      <c r="E45" s="227" t="s">
        <v>1537</v>
      </c>
      <c r="F45" s="237">
        <f ca="1">F27</f>
        <v>0.2</v>
      </c>
      <c r="G45" s="238" t="s">
        <v>1546</v>
      </c>
    </row>
    <row r="46" spans="1:8" s="205" customFormat="1" ht="13.5" customHeight="1">
      <c r="A46" s="733" t="s">
        <v>346</v>
      </c>
      <c r="B46" s="239" t="s">
        <v>1547</v>
      </c>
      <c r="C46" s="240">
        <f ca="1">ROUND((C33+C39)*F27,0)</f>
        <v>77157</v>
      </c>
      <c r="D46" s="254"/>
      <c r="E46" s="227"/>
      <c r="F46" s="237"/>
      <c r="G46" s="238"/>
    </row>
    <row r="47" spans="1:8" s="205" customFormat="1" ht="13.5" customHeight="1">
      <c r="A47" s="733" t="s">
        <v>347</v>
      </c>
      <c r="B47" s="239" t="s">
        <v>1548</v>
      </c>
      <c r="C47" s="229">
        <f ca="1">ROUND(C40*F27,4)</f>
        <v>4.0000000000000001E-3</v>
      </c>
      <c r="D47" s="254"/>
      <c r="E47" s="227"/>
      <c r="F47" s="237"/>
      <c r="G47" s="238"/>
    </row>
    <row r="48" spans="1:8" s="205" customFormat="1" ht="13.5" customHeight="1">
      <c r="A48" s="246" t="s">
        <v>1510</v>
      </c>
      <c r="B48" s="201" t="s">
        <v>1549</v>
      </c>
      <c r="C48" s="253">
        <f>ROUND(F30/(1+'数据-取费表'!C42),4)</f>
        <v>5.33E-2</v>
      </c>
      <c r="D48" s="227" t="s">
        <v>1537</v>
      </c>
      <c r="E48" s="223"/>
      <c r="F48" s="228">
        <f>F30</f>
        <v>5.6000000000000001E-2</v>
      </c>
      <c r="G48" s="225" t="s">
        <v>1550</v>
      </c>
    </row>
    <row r="49" spans="1:7" ht="16.5" customHeight="1">
      <c r="A49" s="246" t="s">
        <v>1516</v>
      </c>
      <c r="B49" s="201" t="s">
        <v>1590</v>
      </c>
      <c r="C49" s="223">
        <f ca="1">ROUND((C33+C39+C41+C45)/(1-C40-D41-D45-C48),0)</f>
        <v>519528</v>
      </c>
      <c r="D49" s="223"/>
      <c r="E49" s="223"/>
      <c r="F49" s="255"/>
      <c r="G49" s="225" t="s">
        <v>1552</v>
      </c>
    </row>
    <row r="50" spans="1:7" s="249" customFormat="1">
      <c r="A50" s="246" t="s">
        <v>1553</v>
      </c>
      <c r="B50" s="201" t="s">
        <v>1554</v>
      </c>
      <c r="C50" s="223"/>
      <c r="D50" s="223"/>
      <c r="E50" s="223"/>
      <c r="F50" s="255">
        <f>IF('数据-取费表'!B24=0,'数据-取费表'!N16,1)</f>
        <v>0.8</v>
      </c>
      <c r="G50" s="238"/>
    </row>
    <row r="51" spans="1:7" ht="16.5" customHeight="1">
      <c r="A51" s="246" t="s">
        <v>1556</v>
      </c>
      <c r="B51" s="201" t="s">
        <v>1591</v>
      </c>
      <c r="C51" s="223">
        <f ca="1">ROUND(C49*F50,0)</f>
        <v>415622</v>
      </c>
      <c r="D51" s="223"/>
      <c r="E51" s="223"/>
      <c r="F51" s="255"/>
      <c r="G51" s="225" t="s">
        <v>1558</v>
      </c>
    </row>
    <row r="52" spans="1:7" s="199" customFormat="1" ht="16.5" thickBot="1">
      <c r="A52" s="256" t="s">
        <v>1559</v>
      </c>
      <c r="B52" s="257"/>
      <c r="C52" s="258">
        <f ca="1">C31+C51</f>
        <v>8657945</v>
      </c>
      <c r="D52" s="257"/>
      <c r="E52" s="257"/>
      <c r="F52" s="257"/>
      <c r="G52" s="259"/>
    </row>
    <row r="55" spans="1:7" ht="15">
      <c r="B55" s="261" t="s">
        <v>1560</v>
      </c>
      <c r="C55" s="262"/>
    </row>
    <row r="56" spans="1:7">
      <c r="B56" s="264" t="s">
        <v>802</v>
      </c>
      <c r="C56" s="266">
        <f ca="1">1-C57</f>
        <v>0.95199999999999996</v>
      </c>
    </row>
    <row r="57" spans="1:7">
      <c r="B57" s="264" t="s">
        <v>803</v>
      </c>
      <c r="C57" s="265">
        <f ca="1">ROUND(C51/C52,3)</f>
        <v>4.8000000000000001E-2</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800-000000000000}">
      <formula1>"已包含在土地购买价格中,未包含在土地购买价格中"</formula1>
    </dataValidation>
    <dataValidation type="list" allowBlank="1" showInputMessage="1" showErrorMessage="1" sqref="G19" xr:uid="{00000000-0002-0000-1800-000001000000}">
      <formula1>"已包含在土地取得成本中,未包含在土地取得成本中"</formula1>
    </dataValidation>
    <dataValidation type="list" allowBlank="1" showInputMessage="1" showErrorMessage="1" sqref="B1" xr:uid="{00000000-0002-0000-1800-000002000000}">
      <formula1>项目类型</formula1>
    </dataValidation>
    <dataValidation type="list" allowBlank="1" showInputMessage="1" showErrorMessage="1" sqref="G2" xr:uid="{00000000-0002-0000-1800-000003000000}">
      <formula1>估价方法</formula1>
    </dataValidation>
    <dataValidation type="list" allowBlank="1" showInputMessage="1" showErrorMessage="1" sqref="D2" xr:uid="{00000000-0002-0000-1800-000004000000}">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122"/>
  <sheetViews>
    <sheetView view="pageBreakPreview" topLeftCell="A28" zoomScale="80" zoomScaleNormal="80" zoomScaleSheetLayoutView="80" workbookViewId="0">
      <selection activeCell="D33" sqref="D33"/>
    </sheetView>
  </sheetViews>
  <sheetFormatPr defaultColWidth="12" defaultRowHeight="12.75"/>
  <cols>
    <col min="1" max="1" width="9.75" style="1894" customWidth="1"/>
    <col min="2" max="2" width="22.5" style="1981"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1924</v>
      </c>
      <c r="B1" s="188"/>
      <c r="C1" s="192" t="s">
        <v>1925</v>
      </c>
      <c r="D1" s="332">
        <f ca="1">SUM(D33:D34,D37:D42)</f>
        <v>113.41</v>
      </c>
      <c r="E1" s="1841"/>
      <c r="F1" s="1841"/>
      <c r="G1" s="1841"/>
      <c r="H1" s="1841"/>
      <c r="I1" s="1841"/>
      <c r="J1" s="1841"/>
      <c r="K1" s="1055"/>
      <c r="L1" s="1842" t="s">
        <v>1926</v>
      </c>
      <c r="M1" s="809">
        <f>SUMPRODUCT((区片价!B5:B9=I2)*(区片价!C3:G3=E2)*(区片价!C5:G9))</f>
        <v>0</v>
      </c>
      <c r="N1" s="812">
        <f>SUMPRODUCT((因素修正幅度!B5:B9=I2)*(因素修正幅度!C3:G3=E2)*(因素修正幅度!C5:G9))</f>
        <v>0</v>
      </c>
      <c r="O1" s="1843"/>
      <c r="P1" s="1843"/>
      <c r="Q1" s="1055"/>
      <c r="R1" s="1128" t="s">
        <v>1927</v>
      </c>
      <c r="S1" s="1128" t="s">
        <v>1928</v>
      </c>
      <c r="T1" s="1128" t="s">
        <v>1929</v>
      </c>
      <c r="U1" s="1128" t="s">
        <v>1930</v>
      </c>
      <c r="V1" s="1128" t="s">
        <v>1931</v>
      </c>
      <c r="W1" s="1132"/>
      <c r="X1" s="1132"/>
      <c r="Y1" s="1132"/>
      <c r="Z1" s="1132"/>
      <c r="AA1" s="1132"/>
      <c r="AB1" s="1132"/>
      <c r="AC1" s="1133"/>
      <c r="AD1" s="1134"/>
      <c r="AE1" s="1134"/>
      <c r="AF1" s="1134"/>
      <c r="AG1" s="1134"/>
      <c r="AH1" s="1134"/>
      <c r="AI1" s="1134"/>
      <c r="AJ1" s="1135"/>
    </row>
    <row r="2" spans="1:36" ht="15.75">
      <c r="A2" s="192" t="s">
        <v>1932</v>
      </c>
      <c r="B2" s="195">
        <f>C30</f>
        <v>17049</v>
      </c>
      <c r="C2" s="1845" t="s">
        <v>1933</v>
      </c>
      <c r="D2" s="162" t="s">
        <v>1934</v>
      </c>
      <c r="E2" s="3117" t="s">
        <v>673</v>
      </c>
      <c r="F2" s="162" t="s">
        <v>1935</v>
      </c>
      <c r="G2" s="163" t="str">
        <f>IF(E2="商业",项目基本情况!B37,IF(E2="办公",项目基本情况!C37,IF(E2="住宅",项目基本情况!D37,IF(E2="工业",项目基本情况!E37,项目基本情况!F37))))</f>
        <v>二级</v>
      </c>
      <c r="H2" s="162" t="s">
        <v>1936</v>
      </c>
      <c r="I2" s="163" t="str">
        <f>IF(E2="商业",项目基本情况!B38,IF(E2="办公",项目基本情况!C38,IF(E2="住宅",项目基本情况!D38,IF(E2="工业",项目基本情况!E38,项目基本情况!F38))))</f>
        <v>Ⅱ—13</v>
      </c>
      <c r="J2" s="1841"/>
      <c r="K2" s="1055"/>
      <c r="L2" s="1846" t="s">
        <v>1937</v>
      </c>
      <c r="M2" s="810">
        <f>SUMPRODUCT((区片价!B10:B29=I2)*(区片价!C3:G3=E2)*(区片价!C10:G29))</f>
        <v>29830</v>
      </c>
      <c r="N2" s="812">
        <f>SUMPRODUCT((因素修正幅度!B10:B29=I2)*(因素修正幅度!C3:G3=E2)*(因素修正幅度!C10:G29))</f>
        <v>9.5000000000000001E-2</v>
      </c>
      <c r="O2" s="1055"/>
      <c r="P2" s="1055"/>
      <c r="Q2" s="1055"/>
      <c r="R2" s="1128">
        <v>1</v>
      </c>
      <c r="S2" s="3060">
        <f>ROUND(SUMPRODUCT((B106:B110=R2)*(C105:N105=G2)*(C106:N110)),4)</f>
        <v>1.5206</v>
      </c>
      <c r="T2" s="3060">
        <f t="shared" ref="T2:T16" si="0">ROUND($C$5*$C$22*$C$23*$C$24*S2*$C$28,0)</f>
        <v>49455</v>
      </c>
      <c r="U2" s="1129">
        <f>面积!O2</f>
        <v>776.8</v>
      </c>
      <c r="V2" s="3060">
        <f>ROUND(T2*U2/10000,0)</f>
        <v>3842</v>
      </c>
      <c r="W2" s="1132"/>
      <c r="X2" s="1132"/>
      <c r="Y2" s="1132"/>
      <c r="Z2" s="1132"/>
      <c r="AA2" s="1132"/>
      <c r="AB2" s="1132"/>
      <c r="AC2" s="1133"/>
      <c r="AD2" s="1134"/>
      <c r="AE2" s="1134"/>
      <c r="AF2" s="1134"/>
      <c r="AG2" s="1134"/>
      <c r="AH2" s="1134"/>
      <c r="AI2" s="1134"/>
      <c r="AJ2" s="1135"/>
    </row>
    <row r="3" spans="1:36" ht="15.75">
      <c r="A3" s="194" t="s">
        <v>1938</v>
      </c>
      <c r="B3" s="195">
        <f ca="1">ROUND(B2*10000/D1,0)</f>
        <v>1503307</v>
      </c>
      <c r="C3" s="1845" t="s">
        <v>1939</v>
      </c>
      <c r="D3" s="162" t="s">
        <v>1940</v>
      </c>
      <c r="E3" s="3115" t="s">
        <v>2426</v>
      </c>
      <c r="F3" s="1847" t="s">
        <v>3541</v>
      </c>
      <c r="G3" s="707">
        <f>IF(F3="宗地容积率",'数据-汇总表'!I4,IF(F3="估价对象容积率",'数据-汇总表'!I6,'数据-汇总表'!I7))</f>
        <v>3.97</v>
      </c>
      <c r="H3" s="162" t="s">
        <v>1941</v>
      </c>
      <c r="I3" s="728">
        <v>1</v>
      </c>
      <c r="J3" s="1841" t="s">
        <v>1942</v>
      </c>
      <c r="K3" s="1055"/>
      <c r="L3" s="1846" t="s">
        <v>1943</v>
      </c>
      <c r="M3" s="810">
        <f>SUMPRODUCT((区片价!B30:B54=I2)*(区片价!C3:G3=E2)*(区片价!C30:G54))</f>
        <v>0</v>
      </c>
      <c r="N3" s="812">
        <f>SUMPRODUCT((因素修正幅度!B30:B54=I2)*(因素修正幅度!C3:G3=E2)*(因素修正幅度!C30:G54))</f>
        <v>0</v>
      </c>
      <c r="O3" s="1055"/>
      <c r="P3" s="1055"/>
      <c r="Q3" s="1055"/>
      <c r="R3" s="1128">
        <v>2</v>
      </c>
      <c r="S3" s="3060">
        <f>ROUND(SUMPRODUCT((B106:B110=R3)*(C105:N105=G2)*(C106:N110)),4)</f>
        <v>1.2072000000000001</v>
      </c>
      <c r="T3" s="3060">
        <f t="shared" si="0"/>
        <v>39262</v>
      </c>
      <c r="U3" s="1129">
        <f>面积!O3</f>
        <v>1523.92</v>
      </c>
      <c r="V3" s="3060">
        <f t="shared" ref="V3:V16" si="1">ROUND(T3*U3/10000,0)</f>
        <v>5983</v>
      </c>
      <c r="W3" s="1132"/>
      <c r="X3" s="1132"/>
      <c r="Y3" s="1132"/>
      <c r="Z3" s="1132"/>
      <c r="AA3" s="1132"/>
      <c r="AB3" s="1132"/>
      <c r="AC3" s="1133"/>
      <c r="AD3" s="1134"/>
      <c r="AE3" s="1134"/>
      <c r="AF3" s="1134"/>
      <c r="AG3" s="1134"/>
      <c r="AH3" s="1134"/>
      <c r="AI3" s="1134"/>
      <c r="AJ3" s="1135"/>
    </row>
    <row r="4" spans="1:36" ht="15.75">
      <c r="A4" s="3430"/>
      <c r="B4" s="3431"/>
      <c r="C4" s="3431"/>
      <c r="D4" s="3432"/>
      <c r="E4" s="3432"/>
      <c r="F4" s="3432"/>
      <c r="G4" s="3432"/>
      <c r="H4" s="3432"/>
      <c r="I4" s="3432"/>
      <c r="J4" s="3433"/>
      <c r="K4" s="1055"/>
      <c r="L4" s="1846" t="s">
        <v>1944</v>
      </c>
      <c r="M4" s="810">
        <f>SUMPRODUCT((区片价!B55:B86=I2)*(区片价!C3:G3=E2)*(区片价!C55:G86))</f>
        <v>0</v>
      </c>
      <c r="N4" s="812">
        <f>SUMPRODUCT((因素修正幅度!B55:B86=I2)*(因素修正幅度!C3:G3=E2)*(因素修正幅度!C55:G86))</f>
        <v>0</v>
      </c>
      <c r="O4" s="1055"/>
      <c r="P4" s="1055"/>
      <c r="Q4" s="1055"/>
      <c r="R4" s="1128">
        <v>3</v>
      </c>
      <c r="S4" s="3060">
        <f>ROUND(SUMPRODUCT((B106:B110=R4)*(C105:N105=G2)*(C106:N110)),4)</f>
        <v>1.0430999999999999</v>
      </c>
      <c r="T4" s="3060">
        <f t="shared" si="0"/>
        <v>33925</v>
      </c>
      <c r="U4" s="1129">
        <f>面积!O4</f>
        <v>2129.29</v>
      </c>
      <c r="V4" s="3060">
        <f t="shared" si="1"/>
        <v>7224</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1945</v>
      </c>
      <c r="C5" s="708">
        <f>ROUND(IF(E2="商业",C6*C7*C17+C20,(IF(E2="住宅",C6*C13*C17+C20,IF(E2="办公",C6*C12*C17+C20,C6+C20)))),0)</f>
        <v>29830</v>
      </c>
      <c r="D5" s="1251">
        <f>ROUND(C6*C17+C20,0)</f>
        <v>29830</v>
      </c>
      <c r="E5" s="1251"/>
      <c r="F5" s="1850"/>
      <c r="G5" s="1851"/>
      <c r="H5" s="1851"/>
      <c r="I5" s="1851"/>
      <c r="J5" s="1852"/>
      <c r="K5" s="1853"/>
      <c r="L5" s="1846" t="s">
        <v>1946</v>
      </c>
      <c r="M5" s="810">
        <f>SUMPRODUCT((区片价!B87:B126=I2)*(区片价!C3:G3=E2)*(区片价!C87:G126))</f>
        <v>0</v>
      </c>
      <c r="N5" s="812">
        <f>SUMPRODUCT((因素修正幅度!B87:B126=I2)*(因素修正幅度!C3:G3=E2)*(因素修正幅度!C87:G126))</f>
        <v>0</v>
      </c>
      <c r="O5" s="1055"/>
      <c r="P5" s="1055"/>
      <c r="Q5" s="1055"/>
      <c r="R5" s="1128">
        <v>4</v>
      </c>
      <c r="S5" s="3060">
        <f>ROUND(SUMPRODUCT((B106:B110=R5)*(C105:N105=G2)*(C106:N110)),4)</f>
        <v>0.94389999999999996</v>
      </c>
      <c r="T5" s="3060">
        <f t="shared" si="0"/>
        <v>30699</v>
      </c>
      <c r="U5" s="1129"/>
      <c r="V5" s="3060">
        <f t="shared" si="1"/>
        <v>0</v>
      </c>
      <c r="W5" s="1132"/>
      <c r="X5" s="1132"/>
      <c r="Y5" s="1132"/>
      <c r="Z5" s="1132"/>
      <c r="AA5" s="1132"/>
      <c r="AB5" s="1132"/>
      <c r="AC5" s="1854"/>
      <c r="AD5" s="1855"/>
      <c r="AE5" s="1855"/>
      <c r="AF5" s="1855"/>
      <c r="AG5" s="1855"/>
      <c r="AH5" s="1855"/>
      <c r="AI5" s="1855"/>
      <c r="AJ5" s="1856"/>
    </row>
    <row r="6" spans="1:36" ht="15.75" thickBot="1">
      <c r="A6" s="1858" t="s">
        <v>1947</v>
      </c>
      <c r="B6" s="1859" t="s">
        <v>1948</v>
      </c>
      <c r="C6" s="709">
        <f>SUMIF(L1:L12,G2,M1:M12)</f>
        <v>29830</v>
      </c>
      <c r="D6" s="1860"/>
      <c r="E6" s="1861"/>
      <c r="F6" s="1861"/>
      <c r="G6" s="1862"/>
      <c r="H6" s="1862"/>
      <c r="I6" s="1862"/>
      <c r="J6" s="1863"/>
      <c r="K6" s="1291"/>
      <c r="L6" s="1846" t="s">
        <v>1949</v>
      </c>
      <c r="M6" s="810">
        <f>SUMPRODUCT((区片价!B127:B189=I2)*(区片价!C3:G3=E2)*(区片价!C127:G189))</f>
        <v>0</v>
      </c>
      <c r="N6" s="812">
        <f>SUMPRODUCT((因素修正幅度!B127:B189=I2)*(因素修正幅度!C3:G3=E2)*(因素修正幅度!C127:G189))</f>
        <v>0</v>
      </c>
      <c r="O6" s="1055"/>
      <c r="P6" s="1055"/>
      <c r="Q6" s="1055"/>
      <c r="R6" s="1128">
        <v>5</v>
      </c>
      <c r="S6" s="3060">
        <f>ROUND(SUMPRODUCT((B106:B110=R6)*(C105:N105=G2)*(C106:N110)),4)</f>
        <v>0.89959999999999996</v>
      </c>
      <c r="T6" s="3060">
        <f t="shared" si="0"/>
        <v>29258</v>
      </c>
      <c r="U6" s="1129"/>
      <c r="V6" s="3060">
        <f t="shared" si="1"/>
        <v>0</v>
      </c>
      <c r="W6" s="1132"/>
      <c r="X6" s="1132"/>
      <c r="Y6" s="1132"/>
      <c r="Z6" s="1132"/>
      <c r="AA6" s="1132"/>
      <c r="AB6" s="1132"/>
      <c r="AC6" s="1854"/>
      <c r="AD6" s="1855"/>
      <c r="AE6" s="1855"/>
      <c r="AF6" s="1855"/>
      <c r="AG6" s="1855"/>
      <c r="AH6" s="1855"/>
      <c r="AI6" s="1855"/>
      <c r="AJ6" s="1856"/>
    </row>
    <row r="7" spans="1:36" ht="24.75" thickBot="1">
      <c r="A7" s="3009" t="s">
        <v>3228</v>
      </c>
      <c r="B7" s="1864" t="s">
        <v>1950</v>
      </c>
      <c r="C7" s="710">
        <f>IF(C8="不临65条商业街",1,ROUND(1+(1.6*E8+1.2*E9+0.8*E10+0.4*E11)*C9,4))</f>
        <v>1</v>
      </c>
      <c r="D7" s="1865" t="s">
        <v>1951</v>
      </c>
      <c r="E7" s="729"/>
      <c r="F7" s="1866"/>
      <c r="G7" s="1867"/>
      <c r="H7" s="1867"/>
      <c r="I7" s="1867"/>
      <c r="J7" s="1868"/>
      <c r="K7" s="1291"/>
      <c r="L7" s="1846" t="s">
        <v>1952</v>
      </c>
      <c r="M7" s="810">
        <f>SUMPRODUCT((区片价!B190:B233=I2)*(区片价!C3:G3=E2)*(区片价!C190:G233))</f>
        <v>0</v>
      </c>
      <c r="N7" s="812">
        <f>SUMPRODUCT((因素修正幅度!B190:B233=I2)*(因素修正幅度!C3:G3=E2)*(因素修正幅度!C190:G233))</f>
        <v>0</v>
      </c>
      <c r="O7" s="1055"/>
      <c r="P7" s="1055"/>
      <c r="Q7" s="1055"/>
      <c r="R7" s="1128">
        <v>6</v>
      </c>
      <c r="S7" s="3114"/>
      <c r="T7" s="3060">
        <f t="shared" si="0"/>
        <v>0</v>
      </c>
      <c r="U7" s="1129"/>
      <c r="V7" s="3060">
        <f t="shared" si="1"/>
        <v>0</v>
      </c>
      <c r="W7" s="1266" t="s">
        <v>1953</v>
      </c>
      <c r="X7" s="1130" t="str">
        <f>G2</f>
        <v>二级</v>
      </c>
      <c r="Y7" s="1130" t="s">
        <v>1954</v>
      </c>
      <c r="Z7" s="1131">
        <f>G3</f>
        <v>3.97</v>
      </c>
      <c r="AA7" s="1132"/>
      <c r="AB7" s="1132"/>
      <c r="AC7" s="1133"/>
      <c r="AD7" s="1134"/>
      <c r="AE7" s="1134"/>
      <c r="AF7" s="1134"/>
      <c r="AG7" s="1134"/>
      <c r="AH7" s="1134"/>
      <c r="AI7" s="1134"/>
      <c r="AJ7" s="1135"/>
    </row>
    <row r="8" spans="1:36" ht="25.5">
      <c r="A8" s="3006"/>
      <c r="B8" s="162" t="s">
        <v>1955</v>
      </c>
      <c r="C8" s="1869" t="s">
        <v>3542</v>
      </c>
      <c r="D8" s="711" t="s">
        <v>112</v>
      </c>
      <c r="E8" s="712" t="e">
        <f>ROUND(C11/E7,4)</f>
        <v>#DIV/0!</v>
      </c>
      <c r="F8" s="1870" t="s">
        <v>1956</v>
      </c>
      <c r="G8" s="1871"/>
      <c r="H8" s="1871"/>
      <c r="I8" s="1871"/>
      <c r="J8" s="1872"/>
      <c r="K8" s="1055"/>
      <c r="L8" s="1846" t="s">
        <v>1957</v>
      </c>
      <c r="M8" s="810">
        <f>SUMPRODUCT((区片价!B234:B276=I2)*(区片价!C3:G3=E2)*(区片价!C234:G276))</f>
        <v>0</v>
      </c>
      <c r="N8" s="812">
        <f>SUMPRODUCT((因素修正幅度!B234:B276=I2)*(因素修正幅度!C3:G3=E2)*(因素修正幅度!C234:G276))</f>
        <v>0</v>
      </c>
      <c r="O8" s="1055"/>
      <c r="P8" s="1055"/>
      <c r="Q8" s="1055"/>
      <c r="R8" s="1128">
        <v>7</v>
      </c>
      <c r="S8" s="1129"/>
      <c r="T8" s="3060">
        <f t="shared" si="0"/>
        <v>0</v>
      </c>
      <c r="U8" s="1129"/>
      <c r="V8" s="3060">
        <f t="shared" si="1"/>
        <v>0</v>
      </c>
      <c r="W8" s="3427" t="s">
        <v>1958</v>
      </c>
      <c r="X8" s="3428"/>
      <c r="Y8" s="1136" t="s">
        <v>1959</v>
      </c>
      <c r="Z8" s="1136" t="s">
        <v>1960</v>
      </c>
      <c r="AA8" s="1136" t="s">
        <v>1961</v>
      </c>
      <c r="AB8" s="1136" t="s">
        <v>1962</v>
      </c>
      <c r="AC8" s="1136" t="s">
        <v>1963</v>
      </c>
      <c r="AD8" s="1136" t="s">
        <v>1964</v>
      </c>
      <c r="AE8" s="1136" t="s">
        <v>1965</v>
      </c>
      <c r="AF8" s="1136" t="s">
        <v>1966</v>
      </c>
      <c r="AG8" s="1136" t="s">
        <v>1967</v>
      </c>
      <c r="AH8" s="1136" t="s">
        <v>1968</v>
      </c>
      <c r="AI8" s="1136" t="s">
        <v>1969</v>
      </c>
      <c r="AJ8" s="1136" t="s">
        <v>1970</v>
      </c>
    </row>
    <row r="9" spans="1:36" ht="15">
      <c r="A9" s="3006"/>
      <c r="B9" s="162" t="s">
        <v>1971</v>
      </c>
      <c r="C9" s="713">
        <f>SUMIF(修正!C71:C138,C8,修正!E71:E138)</f>
        <v>0</v>
      </c>
      <c r="D9" s="163" t="s">
        <v>113</v>
      </c>
      <c r="E9" s="163" t="e">
        <f>ROUND(C11/E7,4)</f>
        <v>#DIV/0!</v>
      </c>
      <c r="F9" s="1870" t="s">
        <v>1972</v>
      </c>
      <c r="G9" s="1871"/>
      <c r="H9" s="1871"/>
      <c r="I9" s="1871"/>
      <c r="J9" s="1872"/>
      <c r="K9" s="1055"/>
      <c r="L9" s="1846" t="s">
        <v>1973</v>
      </c>
      <c r="M9" s="810">
        <f>SUMPRODUCT((区片价!B277:B326=I2)*(区片价!C3:G3=E2)*(区片价!C277:G326))</f>
        <v>0</v>
      </c>
      <c r="N9" s="812">
        <f>SUMPRODUCT((因素修正幅度!B277:B326=I2)*(因素修正幅度!C3:G3=E2)*(因素修正幅度!C277:G326))</f>
        <v>0</v>
      </c>
      <c r="O9" s="1055"/>
      <c r="P9" s="1055"/>
      <c r="Q9" s="1055"/>
      <c r="R9" s="1128">
        <v>8</v>
      </c>
      <c r="S9" s="1129"/>
      <c r="T9" s="3060">
        <f t="shared" si="0"/>
        <v>0</v>
      </c>
      <c r="U9" s="1129"/>
      <c r="V9" s="3060">
        <f t="shared" si="1"/>
        <v>0</v>
      </c>
      <c r="W9" s="3429"/>
      <c r="X9" s="3061" t="s">
        <v>3259</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1974</v>
      </c>
      <c r="C10" s="163">
        <f>SUMIF(修正!C71:C138,C8,修正!F71:F138)</f>
        <v>0</v>
      </c>
      <c r="D10" s="163" t="s">
        <v>114</v>
      </c>
      <c r="E10" s="163" t="e">
        <f>ROUND(C11/E7,4)</f>
        <v>#DIV/0!</v>
      </c>
      <c r="F10" s="1870" t="s">
        <v>1975</v>
      </c>
      <c r="G10" s="1871"/>
      <c r="H10" s="1871"/>
      <c r="I10" s="1871"/>
      <c r="J10" s="1872"/>
      <c r="K10" s="1055"/>
      <c r="L10" s="1846" t="s">
        <v>1976</v>
      </c>
      <c r="M10" s="810">
        <f>SUMPRODUCT((区片价!B327:B357=I2)*(区片价!C3:G3=E2)*(区片价!C327:G357))</f>
        <v>0</v>
      </c>
      <c r="N10" s="812">
        <f>SUMPRODUCT((因素修正幅度!B327:B357=I2)*(因素修正幅度!C3:G3=E2)*(因素修正幅度!C327:G357))</f>
        <v>0</v>
      </c>
      <c r="O10" s="1055"/>
      <c r="P10" s="1055"/>
      <c r="Q10" s="1055"/>
      <c r="R10" s="1128">
        <v>9</v>
      </c>
      <c r="S10" s="1129"/>
      <c r="T10" s="3060">
        <f t="shared" si="0"/>
        <v>0</v>
      </c>
      <c r="U10" s="1129"/>
      <c r="V10" s="3060">
        <f t="shared" si="1"/>
        <v>0</v>
      </c>
      <c r="W10" s="3429"/>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8"/>
      <c r="B11" s="1873" t="s">
        <v>1977</v>
      </c>
      <c r="C11" s="714">
        <f>C10/4</f>
        <v>0</v>
      </c>
      <c r="D11" s="714" t="s">
        <v>115</v>
      </c>
      <c r="E11" s="714" t="e">
        <f>ROUND(C11/E7,4)</f>
        <v>#DIV/0!</v>
      </c>
      <c r="F11" s="1874" t="s">
        <v>1978</v>
      </c>
      <c r="G11" s="1875"/>
      <c r="H11" s="1875"/>
      <c r="I11" s="1875"/>
      <c r="J11" s="1876"/>
      <c r="K11" s="1055"/>
      <c r="L11" s="1846" t="s">
        <v>1979</v>
      </c>
      <c r="M11" s="810">
        <f>SUMPRODUCT((区片价!B358:B377=I2)*(区片价!C3:G3=E2)*(区片价!C358:G377))</f>
        <v>0</v>
      </c>
      <c r="N11" s="812">
        <f>SUMPRODUCT((因素修正幅度!B358:B377=I2)*(因素修正幅度!C3:G3=E2)*(因素修正幅度!C358:G377))</f>
        <v>0</v>
      </c>
      <c r="O11" s="1055"/>
      <c r="P11" s="1055"/>
      <c r="Q11" s="1055"/>
      <c r="R11" s="1128">
        <v>10</v>
      </c>
      <c r="S11" s="1129"/>
      <c r="T11" s="3060">
        <f t="shared" si="0"/>
        <v>0</v>
      </c>
      <c r="U11" s="1129"/>
      <c r="V11" s="3060">
        <f t="shared" si="1"/>
        <v>0</v>
      </c>
      <c r="W11" s="1132"/>
      <c r="X11" s="1132"/>
      <c r="Y11" s="1132"/>
      <c r="Z11" s="1132"/>
      <c r="AA11" s="1132"/>
      <c r="AB11" s="1132"/>
      <c r="AC11" s="1133"/>
      <c r="AD11" s="2550"/>
      <c r="AE11" s="2550"/>
      <c r="AF11" s="2550"/>
      <c r="AG11" s="2550"/>
      <c r="AH11" s="2550"/>
      <c r="AI11" s="2550"/>
      <c r="AJ11" s="2551"/>
    </row>
    <row r="12" spans="1:36" ht="25.5" thickBot="1">
      <c r="A12" s="3009" t="s">
        <v>3229</v>
      </c>
      <c r="B12" s="3010" t="s">
        <v>3230</v>
      </c>
      <c r="C12" s="3011"/>
      <c r="D12" s="3012" t="s">
        <v>3231</v>
      </c>
      <c r="E12" s="3013" t="s">
        <v>3232</v>
      </c>
      <c r="F12" s="3014"/>
      <c r="G12" s="3015"/>
      <c r="H12" s="3015"/>
      <c r="I12" s="3015"/>
      <c r="J12" s="3016"/>
      <c r="K12" s="1055"/>
      <c r="L12" s="1795" t="s">
        <v>1982</v>
      </c>
      <c r="M12" s="811">
        <f>SUMPRODUCT((区片价!B378:B384=I2)*(区片价!C3:G3=E2)*(区片价!C378:G384))</f>
        <v>0</v>
      </c>
      <c r="N12" s="812">
        <f>SUMPRODUCT((因素修正幅度!B378:B384=I2)*(因素修正幅度!C3:G3=E2)*(因素修正幅度!C378:G384))</f>
        <v>0</v>
      </c>
      <c r="O12" s="1055"/>
      <c r="P12" s="1055"/>
      <c r="Q12" s="1055"/>
      <c r="R12" s="1128">
        <v>11</v>
      </c>
      <c r="S12" s="1129"/>
      <c r="T12" s="3060">
        <f t="shared" si="0"/>
        <v>0</v>
      </c>
      <c r="U12" s="1129"/>
      <c r="V12" s="3060">
        <f t="shared" si="1"/>
        <v>0</v>
      </c>
      <c r="W12" s="1132"/>
      <c r="X12" s="1132"/>
      <c r="Y12" s="1132"/>
      <c r="Z12" s="1132"/>
      <c r="AA12" s="1132"/>
      <c r="AB12" s="1132"/>
      <c r="AC12" s="1133"/>
      <c r="AD12" s="2550"/>
      <c r="AE12" s="2550"/>
      <c r="AF12" s="2550"/>
      <c r="AG12" s="2550"/>
      <c r="AH12" s="2550"/>
      <c r="AI12" s="2550"/>
      <c r="AJ12" s="2551"/>
    </row>
    <row r="13" spans="1:36" ht="15.75" thickBot="1">
      <c r="A13" s="3009" t="s">
        <v>3233</v>
      </c>
      <c r="B13" s="1877" t="s">
        <v>1980</v>
      </c>
      <c r="C13" s="710">
        <f>ROUND(C16*D16*E16*F16*G16*H16*I16*J16,4)</f>
        <v>0</v>
      </c>
      <c r="D13" s="1878" t="s">
        <v>1981</v>
      </c>
      <c r="E13" s="1879"/>
      <c r="F13" s="1879"/>
      <c r="G13" s="1880"/>
      <c r="H13" s="1880"/>
      <c r="I13" s="1880"/>
      <c r="J13" s="1881"/>
      <c r="K13" s="1055"/>
      <c r="L13" s="3"/>
      <c r="M13" s="4"/>
      <c r="N13" s="3007"/>
      <c r="O13" s="1055"/>
      <c r="P13" s="1055"/>
      <c r="Q13" s="1055"/>
      <c r="R13" s="1128">
        <v>12</v>
      </c>
      <c r="S13" s="1129"/>
      <c r="T13" s="3060">
        <f t="shared" si="0"/>
        <v>0</v>
      </c>
      <c r="U13" s="1129"/>
      <c r="V13" s="3060">
        <f t="shared" si="1"/>
        <v>0</v>
      </c>
      <c r="W13" s="1132"/>
      <c r="X13" s="1132"/>
      <c r="Y13" s="1132"/>
      <c r="Z13" s="1132"/>
      <c r="AA13" s="1132"/>
      <c r="AB13" s="1132"/>
      <c r="AC13" s="1133"/>
      <c r="AD13" s="2550"/>
      <c r="AE13" s="2550"/>
      <c r="AF13" s="2550"/>
      <c r="AG13" s="2550"/>
      <c r="AH13" s="2550"/>
      <c r="AI13" s="2550"/>
      <c r="AJ13" s="2551"/>
    </row>
    <row r="14" spans="1:36" ht="15">
      <c r="A14" s="3005"/>
      <c r="B14" s="1882" t="s">
        <v>1983</v>
      </c>
      <c r="C14" s="1883" t="s">
        <v>1984</v>
      </c>
      <c r="D14" s="1260" t="s">
        <v>1985</v>
      </c>
      <c r="E14" s="27" t="s">
        <v>1986</v>
      </c>
      <c r="F14" s="3017" t="s">
        <v>3234</v>
      </c>
      <c r="G14" s="3017" t="s">
        <v>3234</v>
      </c>
      <c r="H14" s="3017" t="s">
        <v>3234</v>
      </c>
      <c r="I14" s="3017" t="s">
        <v>3234</v>
      </c>
      <c r="J14" s="3017" t="s">
        <v>3234</v>
      </c>
      <c r="K14" s="1055"/>
      <c r="L14" s="1055"/>
      <c r="M14" s="1055"/>
      <c r="N14" s="1055"/>
      <c r="O14" s="1055"/>
      <c r="P14" s="1055"/>
      <c r="Q14" s="1055"/>
      <c r="R14" s="1128">
        <v>13</v>
      </c>
      <c r="S14" s="1129"/>
      <c r="T14" s="3060">
        <f t="shared" si="0"/>
        <v>0</v>
      </c>
      <c r="U14" s="1129"/>
      <c r="V14" s="3060">
        <f t="shared" si="1"/>
        <v>0</v>
      </c>
      <c r="W14" s="1132"/>
      <c r="X14" s="1132"/>
      <c r="Y14" s="1132"/>
      <c r="Z14" s="1132"/>
      <c r="AA14" s="1132"/>
      <c r="AB14" s="1132"/>
      <c r="AC14" s="1133"/>
      <c r="AD14" s="2550"/>
      <c r="AE14" s="2550"/>
      <c r="AF14" s="2550"/>
      <c r="AG14" s="2550"/>
      <c r="AH14" s="2550"/>
      <c r="AI14" s="2550"/>
      <c r="AJ14" s="2551"/>
    </row>
    <row r="15" spans="1:36" ht="15">
      <c r="A15" s="3005"/>
      <c r="B15" s="1884"/>
      <c r="C15" s="1885"/>
      <c r="D15" s="1886"/>
      <c r="E15" s="1887"/>
      <c r="F15" s="1469" t="s">
        <v>3235</v>
      </c>
      <c r="G15" s="1926"/>
      <c r="H15" s="3018"/>
      <c r="I15" s="3019"/>
      <c r="J15" s="3020"/>
      <c r="K15" s="1055"/>
      <c r="L15" s="1055"/>
      <c r="M15" s="1055"/>
      <c r="N15" s="1055"/>
      <c r="O15" s="1055"/>
      <c r="P15" s="1055"/>
      <c r="Q15" s="1055"/>
      <c r="R15" s="1128">
        <v>14</v>
      </c>
      <c r="S15" s="1129"/>
      <c r="T15" s="3060">
        <f t="shared" si="0"/>
        <v>0</v>
      </c>
      <c r="U15" s="1129"/>
      <c r="V15" s="3060">
        <f t="shared" si="1"/>
        <v>0</v>
      </c>
      <c r="W15" s="1132"/>
      <c r="X15" s="1132"/>
      <c r="Y15" s="1132"/>
      <c r="Z15" s="1132"/>
      <c r="AA15" s="1132"/>
      <c r="AB15" s="1132"/>
      <c r="AC15" s="1133"/>
      <c r="AD15" s="2550"/>
      <c r="AE15" s="2550"/>
      <c r="AF15" s="2550"/>
      <c r="AG15" s="2550"/>
      <c r="AH15" s="2550"/>
      <c r="AI15" s="2550"/>
      <c r="AJ15" s="2551"/>
    </row>
    <row r="16" spans="1:36" ht="15.75" thickBot="1">
      <c r="A16" s="3005"/>
      <c r="B16" s="3023" t="s">
        <v>1987</v>
      </c>
      <c r="C16" s="3021"/>
      <c r="D16" s="3021"/>
      <c r="E16" s="3021"/>
      <c r="F16" s="3021">
        <v>1</v>
      </c>
      <c r="G16" s="3021">
        <v>1</v>
      </c>
      <c r="H16" s="3021">
        <v>1</v>
      </c>
      <c r="I16" s="3021">
        <v>1</v>
      </c>
      <c r="J16" s="3022">
        <v>1</v>
      </c>
      <c r="K16" s="1055"/>
      <c r="L16" s="1843"/>
      <c r="M16" s="1843"/>
      <c r="N16" s="1843"/>
      <c r="O16" s="1843"/>
      <c r="P16" s="1843"/>
      <c r="Q16" s="1055"/>
      <c r="R16" s="1128">
        <v>15</v>
      </c>
      <c r="S16" s="1129"/>
      <c r="T16" s="3060">
        <f t="shared" si="0"/>
        <v>0</v>
      </c>
      <c r="U16" s="1129"/>
      <c r="V16" s="3060">
        <f t="shared" si="1"/>
        <v>0</v>
      </c>
      <c r="W16" s="1132"/>
      <c r="X16" s="1132"/>
      <c r="Y16" s="1132"/>
      <c r="Z16" s="1132"/>
      <c r="AA16" s="1132"/>
      <c r="AB16" s="1132"/>
      <c r="AC16" s="1133"/>
      <c r="AD16" s="2550"/>
      <c r="AE16" s="2550"/>
      <c r="AF16" s="2550"/>
      <c r="AG16" s="2550"/>
      <c r="AH16" s="2550"/>
      <c r="AI16" s="2550"/>
      <c r="AJ16" s="2551"/>
    </row>
    <row r="17" spans="1:37">
      <c r="A17" s="3032" t="s">
        <v>3236</v>
      </c>
      <c r="B17" s="3024" t="s">
        <v>3237</v>
      </c>
      <c r="C17" s="3033">
        <f>ROUND(IF(OR(E2="工业",E2="公共服务"),1,IF(AND(E18=0,E19=0),1,IF(AND(E18=J24,E19=G19),0.8,IF(E19=0,1+E17*(-0.2),1+E17*G17*(-0.2))))),4)</f>
        <v>1</v>
      </c>
      <c r="D17" s="3025" t="s">
        <v>3238</v>
      </c>
      <c r="E17" s="3033">
        <f>ROUND(G18/I18,2)</f>
        <v>0</v>
      </c>
      <c r="F17" s="3025" t="s">
        <v>3241</v>
      </c>
      <c r="G17" s="3033" t="e">
        <f>ROUND(E19/G19,2)</f>
        <v>#DIV/0!</v>
      </c>
      <c r="H17" s="3033"/>
      <c r="I17" s="3033"/>
      <c r="J17" s="3034"/>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5"/>
      <c r="B18" s="2307"/>
      <c r="C18" s="3031"/>
      <c r="D18" s="3026" t="s">
        <v>3239</v>
      </c>
      <c r="E18" s="2353"/>
      <c r="F18" s="3027" t="s">
        <v>3242</v>
      </c>
      <c r="G18" s="3031">
        <f>ROUND(1-(1/(POWER(1+G24,E18))),4)</f>
        <v>0</v>
      </c>
      <c r="H18" s="3027" t="s">
        <v>3244</v>
      </c>
      <c r="I18" s="3031">
        <f>ROUND(1-(1/(POWER(1+G24,J24))),4)</f>
        <v>0.88249999999999995</v>
      </c>
      <c r="J18" s="3036"/>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8"/>
      <c r="AH18" s="1978"/>
      <c r="AI18" s="1978"/>
      <c r="AJ18" s="2549"/>
    </row>
    <row r="19" spans="1:37" s="1857" customFormat="1" ht="15" thickBot="1">
      <c r="A19" s="3037"/>
      <c r="B19" s="3038"/>
      <c r="C19" s="3039"/>
      <c r="D19" s="3039" t="s">
        <v>3240</v>
      </c>
      <c r="E19" s="3040"/>
      <c r="F19" s="3041" t="s">
        <v>3243</v>
      </c>
      <c r="G19" s="3040"/>
      <c r="H19" s="3039"/>
      <c r="I19" s="3039"/>
      <c r="J19" s="3042"/>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2"/>
      <c r="AH19" s="1978"/>
      <c r="AI19" s="560"/>
      <c r="AJ19" s="560"/>
      <c r="AK19" s="1898"/>
    </row>
    <row r="20" spans="1:37" s="1857" customFormat="1" ht="14.25">
      <c r="A20" s="3434" t="s">
        <v>3245</v>
      </c>
      <c r="B20" s="159" t="s">
        <v>1992</v>
      </c>
      <c r="C20" s="3028">
        <f>ROUND(IF(F21="与级别开发程度一致",0,(G21-E21)/C21),0)</f>
        <v>0</v>
      </c>
      <c r="D20" s="3043" t="s">
        <v>1996</v>
      </c>
      <c r="E20" s="3044"/>
      <c r="F20" s="3440" t="s">
        <v>1993</v>
      </c>
      <c r="G20" s="3441"/>
      <c r="H20" s="3029"/>
      <c r="I20" s="3029"/>
      <c r="J20" s="3030"/>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49"/>
      <c r="AH20" s="2549"/>
      <c r="AI20" s="2549"/>
      <c r="AJ20" s="2549"/>
    </row>
    <row r="21" spans="1:37" s="1857" customFormat="1" ht="26.25" thickBot="1">
      <c r="A21" s="3435"/>
      <c r="B21" s="2000" t="s">
        <v>1995</v>
      </c>
      <c r="C21" s="2001">
        <f>IF(E3="M4科研用地",SUMPRODUCT((修正!A2:A7=E3)*(修正!B1:M1=G2)*(修正!B2:M7)),SUMPRODUCT((修正!A2:A7=E2)*(修正!B1:M1=G2)*(修正!B2:M7)))</f>
        <v>3.5</v>
      </c>
      <c r="D21" s="178" t="str">
        <f>IF(OR(G2="八级",G2="九级",G2="十级",G2="十一级",G2="十二级"),"五通一平","七通一平")</f>
        <v>七通一平</v>
      </c>
      <c r="E21" s="1991">
        <f>SUMPRODUCT((修正!B1:M1=G2)*(修正!B17:M17))</f>
        <v>375</v>
      </c>
      <c r="F21" s="1992" t="s">
        <v>3543</v>
      </c>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3"/>
      <c r="Q21" s="2549"/>
      <c r="R21" s="1059"/>
      <c r="S21" s="1059"/>
      <c r="T21" s="1056"/>
      <c r="U21" s="1056"/>
      <c r="V21" s="1056"/>
      <c r="W21" s="1055"/>
      <c r="X21" s="1055"/>
      <c r="Y21" s="1055"/>
      <c r="Z21" s="1060"/>
      <c r="AA21" s="1060"/>
      <c r="AB21" s="1060"/>
      <c r="AC21" s="1060"/>
      <c r="AD21" s="1060"/>
      <c r="AE21" s="1060"/>
      <c r="AF21" s="1060"/>
      <c r="AG21" s="2549"/>
      <c r="AH21" s="2549"/>
      <c r="AI21" s="2549"/>
      <c r="AJ21" s="2549"/>
    </row>
    <row r="22" spans="1:37" s="1857" customFormat="1" ht="15.75" thickBot="1">
      <c r="A22" s="1994" t="s">
        <v>363</v>
      </c>
      <c r="B22" s="1995" t="s">
        <v>1998</v>
      </c>
      <c r="C22" s="1996">
        <f>SUMIF(修正!C20:C51,E3,修正!E20:E51)</f>
        <v>1</v>
      </c>
      <c r="D22" s="1997"/>
      <c r="E22" s="1998"/>
      <c r="F22" s="1998"/>
      <c r="G22" s="1998"/>
      <c r="H22" s="1998"/>
      <c r="I22" s="1998"/>
      <c r="J22" s="1999"/>
      <c r="K22" s="1060"/>
      <c r="L22" s="2549"/>
      <c r="M22" s="2549"/>
      <c r="N22" s="2549"/>
      <c r="O22" s="1058"/>
      <c r="P22" s="1058"/>
      <c r="Q22" s="2549"/>
      <c r="R22" s="1059"/>
      <c r="S22" s="1059"/>
      <c r="T22" s="1056"/>
      <c r="U22" s="1056"/>
      <c r="V22" s="1056"/>
      <c r="W22" s="1055"/>
      <c r="X22" s="1055"/>
      <c r="Y22" s="1055"/>
      <c r="Z22" s="1060"/>
      <c r="AA22" s="1060"/>
      <c r="AB22" s="1060"/>
      <c r="AC22" s="1060"/>
      <c r="AD22" s="1060"/>
      <c r="AE22" s="1060"/>
      <c r="AF22" s="1060"/>
      <c r="AG22" s="2549"/>
      <c r="AH22" s="2549"/>
      <c r="AI22" s="2549"/>
      <c r="AJ22" s="2549"/>
    </row>
    <row r="23" spans="1:37" ht="26.25" thickBot="1">
      <c r="A23" s="1891" t="s">
        <v>364</v>
      </c>
      <c r="B23" s="1892" t="s">
        <v>1999</v>
      </c>
      <c r="C23" s="7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1895" t="s">
        <v>2000</v>
      </c>
      <c r="E23" s="716">
        <v>44197</v>
      </c>
      <c r="F23" s="1895" t="s">
        <v>2001</v>
      </c>
      <c r="G23" s="717">
        <f>'数据-取费表'!B2</f>
        <v>45022</v>
      </c>
      <c r="H23" s="3045" t="s">
        <v>3247</v>
      </c>
      <c r="I23" s="3046" t="str">
        <f>IF(H23="季度增幅（自定义）",SUMIF(N25:N28,E2,O25:O28),"")</f>
        <v/>
      </c>
      <c r="J23" s="3138" t="s">
        <v>3246</v>
      </c>
      <c r="K23" s="1060"/>
      <c r="L23" s="1896" t="s">
        <v>2002</v>
      </c>
      <c r="M23" s="1240">
        <f>ROUND(SUMIF(地价!B2:G2,E2,地价!B16:G16),0)</f>
        <v>350</v>
      </c>
      <c r="N23" s="1897" t="s">
        <v>2003</v>
      </c>
      <c r="O23" s="718">
        <f>ROUNDDOWN(DATEDIF(E23,G23,"M")/3,0)</f>
        <v>9</v>
      </c>
      <c r="P23" s="1056"/>
      <c r="Q23" s="2549"/>
      <c r="R23" s="1059"/>
      <c r="S23" s="1059"/>
      <c r="T23" s="1056"/>
      <c r="U23" s="1056"/>
      <c r="V23" s="1056"/>
      <c r="W23" s="1055"/>
      <c r="X23" s="1055"/>
      <c r="Y23" s="1055"/>
      <c r="Z23" s="1060"/>
      <c r="AA23" s="1060"/>
      <c r="AB23" s="1060"/>
      <c r="AC23" s="1060"/>
      <c r="AD23" s="1060"/>
      <c r="AE23" s="1056"/>
      <c r="AF23" s="1056"/>
      <c r="AG23" s="1978"/>
      <c r="AH23" s="1978"/>
      <c r="AI23" s="1978"/>
      <c r="AJ23" s="1978"/>
      <c r="AK23" s="1894"/>
    </row>
    <row r="24" spans="1:37" s="1857" customFormat="1" ht="24.75" thickBot="1">
      <c r="A24" s="1899" t="s">
        <v>365</v>
      </c>
      <c r="B24" s="1900" t="s">
        <v>2004</v>
      </c>
      <c r="C24" s="719">
        <f>ROUND(POWER(1+G24,J24-I24)*(POWER(1+G24,I24)-1)/(POWER(1+G24,J24)-1),4)</f>
        <v>1</v>
      </c>
      <c r="D24" s="1901" t="s">
        <v>2005</v>
      </c>
      <c r="E24" s="1247">
        <f>存贷款利率!E22/100</f>
        <v>4.3499999999999997E-2</v>
      </c>
      <c r="F24" s="1901" t="s">
        <v>1997</v>
      </c>
      <c r="G24" s="723">
        <f>SUMIF(M30:Q30,E2,M33:Q33)</f>
        <v>5.5E-2</v>
      </c>
      <c r="H24" s="1901" t="s">
        <v>2006</v>
      </c>
      <c r="I24" s="724">
        <f>SUMIF('数据-取费表'!C6:C15,E2,'数据-取费表'!F6:F15)/COUNTIF('数据-取费表'!C6:C15,E2)</f>
        <v>40</v>
      </c>
      <c r="J24" s="725">
        <f>IF(E2="住宅",70,IF(E2="商业",40,50))</f>
        <v>40</v>
      </c>
      <c r="K24" s="1060"/>
      <c r="L24" s="1902" t="s">
        <v>2007</v>
      </c>
      <c r="M24" s="1241">
        <f>ROUND(SUMPRODUCT((地价!A4:A16=YEAR(G23)&amp;"-"&amp;ROUNDUP(MONTH(G23)/3,0))*(地价!B2:G2=E2)*(地价!B4:G16)),0)</f>
        <v>0</v>
      </c>
      <c r="N24" s="1903" t="s">
        <v>2008</v>
      </c>
      <c r="O24" s="1904" t="s">
        <v>2009</v>
      </c>
      <c r="P24" s="1905" t="s">
        <v>2010</v>
      </c>
      <c r="Q24" s="1843"/>
      <c r="R24" s="1059"/>
      <c r="S24" s="1059"/>
      <c r="T24" s="1056"/>
      <c r="U24" s="1056"/>
      <c r="V24" s="1056"/>
      <c r="W24" s="1055"/>
      <c r="X24" s="1055"/>
      <c r="Y24" s="1055"/>
      <c r="Z24" s="1060"/>
      <c r="AA24" s="1060"/>
      <c r="AB24" s="1060"/>
      <c r="AC24" s="1060"/>
      <c r="AD24" s="1060"/>
      <c r="AE24" s="1060"/>
      <c r="AF24" s="1060"/>
      <c r="AG24" s="2549"/>
      <c r="AH24" s="2549"/>
      <c r="AI24" s="2549"/>
      <c r="AJ24" s="2549"/>
    </row>
    <row r="25" spans="1:37" ht="15">
      <c r="A25" s="1906" t="s">
        <v>366</v>
      </c>
      <c r="B25" s="3164" t="s">
        <v>3544</v>
      </c>
      <c r="C25" s="460">
        <f>IF(B25="容积率修正",IF(G3&lt;10,D26,J26),C27)</f>
        <v>1.5206</v>
      </c>
      <c r="D25" s="1907"/>
      <c r="E25" s="1907"/>
      <c r="F25" s="1907"/>
      <c r="G25" s="1907"/>
      <c r="H25" s="1907"/>
      <c r="I25" s="1907"/>
      <c r="J25" s="1908"/>
      <c r="K25" s="1060"/>
      <c r="L25" s="2549"/>
      <c r="M25" s="2549"/>
      <c r="N25" s="1909" t="s">
        <v>2011</v>
      </c>
      <c r="O25" s="1092"/>
      <c r="P25" s="1093">
        <f>SUMPRODUCT((地价!A3:A40=YEAR(G23)&amp;"-"&amp;ROUNDUP(MONTH(G23)/3,0))*(地价!AD2:AH2=N25)*(地价!AD3:AH40))</f>
        <v>0</v>
      </c>
      <c r="Q25" s="2549"/>
      <c r="R25" s="1059"/>
      <c r="S25" s="1059"/>
      <c r="T25" s="1056"/>
      <c r="U25" s="1056"/>
      <c r="V25" s="1056"/>
      <c r="W25" s="1055"/>
      <c r="X25" s="1055"/>
      <c r="Y25" s="1055"/>
      <c r="Z25" s="1060"/>
      <c r="AA25" s="1060"/>
      <c r="AB25" s="1060"/>
      <c r="AC25" s="1060"/>
      <c r="AD25" s="1060"/>
      <c r="AE25" s="1056"/>
      <c r="AF25" s="1056"/>
      <c r="AG25" s="1978"/>
      <c r="AH25" s="1978"/>
      <c r="AI25" s="1978"/>
      <c r="AJ25" s="1978"/>
    </row>
    <row r="26" spans="1:37" ht="14.25">
      <c r="A26" s="1805" t="s">
        <v>2012</v>
      </c>
      <c r="B26" s="1910" t="s">
        <v>2013</v>
      </c>
      <c r="C26" s="1910" t="s">
        <v>3248</v>
      </c>
      <c r="D26" s="1262">
        <f>IF(E26=G26,F26,IF(G3&lt;10,ROUND(F26+(H26-F26)*(G3-E26)/(G26-E26),4),"——"))</f>
        <v>0.9849</v>
      </c>
      <c r="E26" s="707">
        <f>ROUNDDOWN(G3,1)</f>
        <v>3.9</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0.98699999999999999</v>
      </c>
      <c r="G26" s="707">
        <f>ROUNDUP(G3,1)</f>
        <v>4</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0.98399999999999999</v>
      </c>
      <c r="I26" s="1910" t="s">
        <v>3249</v>
      </c>
      <c r="J26" s="373" t="str">
        <f>IF(G3&gt;=10,D115,"——")</f>
        <v>——</v>
      </c>
      <c r="K26" s="1060"/>
      <c r="L26" s="2549"/>
      <c r="M26" s="2549"/>
      <c r="N26" s="1909" t="s">
        <v>2014</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8"/>
      <c r="AH26" s="1978"/>
      <c r="AI26" s="1978"/>
      <c r="AJ26" s="1978"/>
    </row>
    <row r="27" spans="1:37" ht="15.75" thickBot="1">
      <c r="A27" s="1805" t="s">
        <v>2015</v>
      </c>
      <c r="B27" s="1911" t="s">
        <v>2016</v>
      </c>
      <c r="C27" s="790">
        <f>ROUND(IF(I3&lt;6,SUMPRODUCT((B106:B110=I3)*(C105:N105=G2)*(C106:N110)),SUMIF(C105:N105,G2,C112:N112)),4)</f>
        <v>1.5206</v>
      </c>
      <c r="D27" s="1841"/>
      <c r="E27" s="1841"/>
      <c r="F27" s="1912"/>
      <c r="G27" s="1913"/>
      <c r="H27" s="1914"/>
      <c r="I27" s="1915"/>
      <c r="J27" s="1916"/>
      <c r="K27" s="1055"/>
      <c r="L27" s="1843"/>
      <c r="M27" s="1843"/>
      <c r="N27" s="1909" t="s">
        <v>2017</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8"/>
      <c r="AH27" s="1978"/>
      <c r="AI27" s="1978"/>
      <c r="AJ27" s="1978"/>
    </row>
    <row r="28" spans="1:37" ht="15.75" thickBot="1">
      <c r="A28" s="1899" t="s">
        <v>367</v>
      </c>
      <c r="B28" s="1892" t="s">
        <v>2018</v>
      </c>
      <c r="C28" s="715">
        <f>SUMIF(A47:A101,E2,B47:B101)</f>
        <v>1.0636000000000001</v>
      </c>
      <c r="D28" s="1893"/>
      <c r="E28" s="1917"/>
      <c r="F28" s="1917"/>
      <c r="G28" s="1917"/>
      <c r="H28" s="1917"/>
      <c r="I28" s="1917"/>
      <c r="J28" s="1918"/>
      <c r="K28" s="1060"/>
      <c r="L28" s="2549"/>
      <c r="M28" s="2549"/>
      <c r="N28" s="1919" t="s">
        <v>2019</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8"/>
      <c r="AH28" s="1978"/>
      <c r="AI28" s="1978"/>
      <c r="AJ28" s="1978"/>
    </row>
    <row r="29" spans="1:37" ht="15.75" thickBot="1">
      <c r="A29" s="1899" t="s">
        <v>368</v>
      </c>
      <c r="B29" s="1920" t="s">
        <v>2020</v>
      </c>
      <c r="C29" s="720"/>
      <c r="D29" s="1867"/>
      <c r="E29" s="1867"/>
      <c r="F29" s="1921"/>
      <c r="G29" s="1867"/>
      <c r="H29" s="1867"/>
      <c r="I29" s="1867"/>
      <c r="J29" s="1868"/>
      <c r="K29" s="1055"/>
      <c r="L29" s="1843"/>
      <c r="M29" s="1843"/>
      <c r="N29" s="2546" t="s">
        <v>2021</v>
      </c>
      <c r="O29" s="2547"/>
      <c r="P29" s="2548">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2"/>
      <c r="B30" s="1910" t="s">
        <v>2022</v>
      </c>
      <c r="C30" s="2143">
        <f>IF(B25="容积率修正",E33+SUM(E37:E42),SUM(V2:V16)+SUM(E37:E42))</f>
        <v>17049</v>
      </c>
      <c r="D30" s="1923"/>
      <c r="E30" s="1841"/>
      <c r="F30" s="1924"/>
      <c r="G30" s="1841"/>
      <c r="H30" s="1841"/>
      <c r="I30" s="1841"/>
      <c r="J30" s="1925"/>
      <c r="K30" s="1055"/>
      <c r="L30" s="3052" t="s">
        <v>1934</v>
      </c>
      <c r="M30" s="3053" t="s">
        <v>1988</v>
      </c>
      <c r="N30" s="3053" t="s">
        <v>1989</v>
      </c>
      <c r="O30" s="3053" t="s">
        <v>1990</v>
      </c>
      <c r="P30" s="3053" t="s">
        <v>1991</v>
      </c>
      <c r="Q30" s="3056" t="s">
        <v>3253</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2"/>
      <c r="B31" s="1926" t="s">
        <v>2023</v>
      </c>
      <c r="C31" s="721">
        <f>E34+SUM(I37:I42)</f>
        <v>0</v>
      </c>
      <c r="D31" s="1927"/>
      <c r="E31" s="1928"/>
      <c r="F31" s="1929"/>
      <c r="G31" s="1928"/>
      <c r="H31" s="1928"/>
      <c r="I31" s="1928"/>
      <c r="J31" s="1930"/>
      <c r="K31" s="1055"/>
      <c r="L31" s="3054" t="s">
        <v>1994</v>
      </c>
      <c r="M31" s="162">
        <v>0.25</v>
      </c>
      <c r="N31" s="162">
        <v>0.2</v>
      </c>
      <c r="O31" s="162">
        <v>0.15</v>
      </c>
      <c r="P31" s="162">
        <v>0.1</v>
      </c>
      <c r="Q31" s="3049">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1"/>
      <c r="B32" s="1932" t="s">
        <v>2024</v>
      </c>
      <c r="C32" s="1933" t="s">
        <v>2025</v>
      </c>
      <c r="D32" s="1933" t="s">
        <v>2026</v>
      </c>
      <c r="E32" s="1934" t="s">
        <v>2027</v>
      </c>
      <c r="F32" s="1935"/>
      <c r="G32" s="1880"/>
      <c r="H32" s="1880"/>
      <c r="I32" s="1880"/>
      <c r="J32" s="1881"/>
      <c r="K32" s="1055"/>
      <c r="L32" s="3055" t="s">
        <v>1997</v>
      </c>
      <c r="M32" s="2352">
        <f>ROUND($E$24*(1+M31),3)</f>
        <v>5.3999999999999999E-2</v>
      </c>
      <c r="N32" s="2352">
        <f>ROUND($E$24*(1+N31),3)</f>
        <v>5.1999999999999998E-2</v>
      </c>
      <c r="O32" s="2352">
        <f>ROUND($E$24*(1+O31),3)</f>
        <v>0.05</v>
      </c>
      <c r="P32" s="2352">
        <f>ROUND($E$24*(1+P31),3)</f>
        <v>4.8000000000000001E-2</v>
      </c>
      <c r="Q32" s="3057">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6"/>
      <c r="B33" s="1937" t="s">
        <v>2028</v>
      </c>
      <c r="C33" s="167">
        <f>ROUND(C5*C22*C23*C24*C25*C28,0)</f>
        <v>49455</v>
      </c>
      <c r="D33" s="1938">
        <f ca="1">'成本法 (元)'!D10</f>
        <v>113.41</v>
      </c>
      <c r="E33" s="726">
        <f ca="1">ROUND(C33*D33/10000,0)</f>
        <v>561</v>
      </c>
      <c r="F33" s="3047" t="s">
        <v>3251</v>
      </c>
      <c r="G33" s="1939"/>
      <c r="H33" s="1939"/>
      <c r="I33" s="1939"/>
      <c r="J33" s="1940"/>
      <c r="K33" s="1055"/>
      <c r="L33" s="3050" t="s">
        <v>3254</v>
      </c>
      <c r="M33" s="3051">
        <v>5.5E-2</v>
      </c>
      <c r="N33" s="3051">
        <v>5.5E-2</v>
      </c>
      <c r="O33" s="3051">
        <v>0.05</v>
      </c>
      <c r="P33" s="3051">
        <v>0.05</v>
      </c>
      <c r="Q33" s="3051">
        <v>0.05</v>
      </c>
      <c r="R33" s="1059"/>
      <c r="S33" s="1059"/>
      <c r="T33" s="1056"/>
      <c r="U33" s="1056"/>
      <c r="V33" s="1056"/>
      <c r="W33" s="1055"/>
      <c r="X33" s="1055"/>
      <c r="Y33" s="1055"/>
      <c r="Z33" s="1060"/>
      <c r="AA33" s="1060"/>
      <c r="AB33" s="1060"/>
      <c r="AC33" s="1060"/>
      <c r="AD33" s="1060"/>
      <c r="AE33" s="1056"/>
      <c r="AF33" s="1056"/>
      <c r="AG33" s="1978"/>
      <c r="AH33" s="1978"/>
      <c r="AI33" s="1978"/>
      <c r="AJ33" s="1978"/>
    </row>
    <row r="34" spans="1:37" ht="25.5" thickBot="1">
      <c r="A34" s="1941"/>
      <c r="B34" s="1942" t="s">
        <v>2029</v>
      </c>
      <c r="C34" s="178" t="e">
        <f>ROUND(IF(E2="工业",C33*M42,IF(B25="楼层修正",SUM(V2:V16)*M41*10000/D34,C33*M41)),0)</f>
        <v>#DIV/0!</v>
      </c>
      <c r="D34" s="1943"/>
      <c r="E34" s="726">
        <f>ROUND(IF(B25="楼层修正",SUM(V2:V16)*M40,C34*D34/10000),0)</f>
        <v>0</v>
      </c>
      <c r="F34" s="1944" t="s">
        <v>2030</v>
      </c>
      <c r="G34" s="1945"/>
      <c r="H34" s="1945"/>
      <c r="I34" s="1945"/>
      <c r="J34" s="1946"/>
      <c r="K34" s="1055"/>
      <c r="L34" s="3050" t="s">
        <v>3255</v>
      </c>
      <c r="M34" s="3051">
        <v>6.5000000000000002E-2</v>
      </c>
      <c r="N34" s="3051">
        <v>6.5000000000000002E-2</v>
      </c>
      <c r="O34" s="3051">
        <v>0.06</v>
      </c>
      <c r="P34" s="3051">
        <v>0.06</v>
      </c>
      <c r="Q34" s="3051">
        <v>0.06</v>
      </c>
      <c r="R34" s="1059"/>
      <c r="S34" s="1059"/>
      <c r="T34" s="1056"/>
      <c r="U34" s="1056"/>
      <c r="V34" s="1056"/>
      <c r="W34" s="1055"/>
      <c r="X34" s="1055"/>
      <c r="Y34" s="1055"/>
      <c r="Z34" s="1060"/>
      <c r="AA34" s="1060"/>
      <c r="AB34" s="1060"/>
      <c r="AC34" s="1060"/>
      <c r="AD34" s="1060"/>
      <c r="AE34" s="1056"/>
      <c r="AF34" s="1056"/>
      <c r="AG34" s="1978"/>
      <c r="AH34" s="1978"/>
      <c r="AI34" s="1978"/>
      <c r="AJ34" s="1978"/>
    </row>
    <row r="35" spans="1:37">
      <c r="A35" s="1947"/>
      <c r="B35" s="1948" t="s">
        <v>2031</v>
      </c>
      <c r="C35" s="3048" t="s">
        <v>3252</v>
      </c>
      <c r="D35" s="1880"/>
      <c r="E35" s="1949"/>
      <c r="F35" s="1949"/>
      <c r="G35" s="1878" t="s">
        <v>2032</v>
      </c>
      <c r="H35" s="1880"/>
      <c r="I35" s="1950"/>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8"/>
      <c r="AH35" s="1978"/>
      <c r="AI35" s="1978"/>
      <c r="AJ35" s="1978"/>
    </row>
    <row r="36" spans="1:37" ht="24.75" thickBot="1">
      <c r="A36" s="1936"/>
      <c r="B36" s="1951"/>
      <c r="C36" s="435" t="s">
        <v>2025</v>
      </c>
      <c r="D36" s="432" t="s">
        <v>2026</v>
      </c>
      <c r="E36" s="432" t="s">
        <v>2027</v>
      </c>
      <c r="F36" s="332" t="s">
        <v>2033</v>
      </c>
      <c r="G36" s="1952" t="s">
        <v>2025</v>
      </c>
      <c r="H36" s="1952" t="s">
        <v>2026</v>
      </c>
      <c r="I36" s="1952" t="s">
        <v>2027</v>
      </c>
      <c r="J36" s="234"/>
      <c r="K36" s="1962" t="s">
        <v>3256</v>
      </c>
      <c r="L36" s="3139">
        <f ca="1">'数据-取费表'!B40</f>
        <v>4.1499999999999995E-2</v>
      </c>
      <c r="M36" s="2362">
        <f ca="1">ROUND($L$36*(1+M31),3)</f>
        <v>5.1999999999999998E-2</v>
      </c>
      <c r="N36" s="2362">
        <f ca="1">ROUND($L$36*(1+N31),3)</f>
        <v>0.05</v>
      </c>
      <c r="O36" s="2362">
        <f ca="1">ROUND($L$36*(1+O31),3)</f>
        <v>4.8000000000000001E-2</v>
      </c>
      <c r="P36" s="2362">
        <f ca="1">ROUND($L$36*(1+P31),3)</f>
        <v>4.5999999999999999E-2</v>
      </c>
      <c r="Q36" s="2362">
        <f ca="1">ROUND($L$36*(1+Q31),3)</f>
        <v>4.8000000000000001E-2</v>
      </c>
      <c r="R36" s="1055"/>
      <c r="S36" s="1055"/>
      <c r="T36" s="1055"/>
      <c r="U36" s="1055"/>
      <c r="V36" s="1055"/>
      <c r="W36" s="1055"/>
      <c r="X36" s="1055"/>
      <c r="Y36" s="1055"/>
      <c r="Z36" s="1056"/>
      <c r="AA36" s="1056"/>
      <c r="AB36" s="1056"/>
      <c r="AC36" s="1056"/>
      <c r="AD36" s="1056"/>
      <c r="AE36" s="1056"/>
      <c r="AF36" s="1056"/>
      <c r="AG36" s="1978"/>
      <c r="AH36" s="1978"/>
      <c r="AI36" s="1978"/>
      <c r="AJ36" s="1978"/>
    </row>
    <row r="37" spans="1:37" ht="24.75" thickBot="1">
      <c r="A37" s="3438"/>
      <c r="B37" s="1953" t="s">
        <v>2034</v>
      </c>
      <c r="C37" s="167">
        <f>ROUND(D5*C22*C23*C24*C28*F37,0)</f>
        <v>22766</v>
      </c>
      <c r="D37" s="1938"/>
      <c r="E37" s="163">
        <f>ROUND(C37*D37/10000,0)</f>
        <v>0</v>
      </c>
      <c r="F37" s="163">
        <f>SUMIF(修正!A57:A68,G2,修正!B57:B68)</f>
        <v>0.7</v>
      </c>
      <c r="G37" s="163">
        <f>ROUND(IF(E2="工业",C37*$M$42,C37*$M$41),0)</f>
        <v>5692</v>
      </c>
      <c r="H37" s="163">
        <f>D37</f>
        <v>0</v>
      </c>
      <c r="I37" s="163">
        <f>ROUND(G37*H37/10000,0)</f>
        <v>0</v>
      </c>
      <c r="J37" s="2751"/>
      <c r="K37" s="3058" t="s">
        <v>3257</v>
      </c>
      <c r="L37" s="1962">
        <f ca="1">L36+K38</f>
        <v>4.6499999999999993E-2</v>
      </c>
      <c r="M37" s="2362">
        <f ca="1">ROUND($L$37*(1+M31),3)</f>
        <v>5.8000000000000003E-2</v>
      </c>
      <c r="N37" s="2362">
        <f t="shared" ref="N37:Q37" ca="1" si="3">ROUND($L$37*(1+N31),3)</f>
        <v>5.6000000000000001E-2</v>
      </c>
      <c r="O37" s="2362">
        <f t="shared" ca="1" si="3"/>
        <v>5.2999999999999999E-2</v>
      </c>
      <c r="P37" s="2362">
        <f t="shared" ca="1" si="3"/>
        <v>5.0999999999999997E-2</v>
      </c>
      <c r="Q37" s="2362">
        <f t="shared" ca="1" si="3"/>
        <v>5.2999999999999999E-2</v>
      </c>
      <c r="R37" s="1055"/>
      <c r="S37" s="1055"/>
      <c r="T37" s="1055"/>
      <c r="U37" s="1055"/>
      <c r="V37" s="1055"/>
      <c r="W37" s="1055"/>
      <c r="X37" s="1055"/>
      <c r="Y37" s="1055"/>
      <c r="Z37" s="1056"/>
      <c r="AA37" s="1056"/>
      <c r="AB37" s="1056"/>
      <c r="AC37" s="1056"/>
      <c r="AD37" s="1056"/>
      <c r="AE37" s="1056"/>
      <c r="AF37" s="1056"/>
      <c r="AG37" s="1978"/>
      <c r="AH37" s="1978"/>
      <c r="AI37" s="1978"/>
      <c r="AJ37" s="1978"/>
    </row>
    <row r="38" spans="1:37">
      <c r="A38" s="3439"/>
      <c r="B38" s="1883" t="s">
        <v>2035</v>
      </c>
      <c r="C38" s="167">
        <f>ROUND(D5*C22*C23*C24*C28*F38,0)</f>
        <v>13009</v>
      </c>
      <c r="D38" s="1938"/>
      <c r="E38" s="163">
        <f t="shared" ref="E38:E42" si="4">ROUND(C38*D38/10000,0)</f>
        <v>0</v>
      </c>
      <c r="F38" s="163">
        <f>SUMIF(修正!A57:A68,G2,修正!C57:C68)</f>
        <v>0.4</v>
      </c>
      <c r="G38" s="163">
        <f>ROUND(IF(E2="工业",C38*$M$42,C38*$M$41),0)</f>
        <v>3252</v>
      </c>
      <c r="H38" s="163">
        <f t="shared" ref="H38:H42" si="5">D38</f>
        <v>0</v>
      </c>
      <c r="I38" s="163">
        <f t="shared" ref="I38:I42" si="6">ROUND(G38*H38/10000,0)</f>
        <v>0</v>
      </c>
      <c r="J38" s="2750"/>
      <c r="K38" s="1962">
        <v>5.0000000000000001E-3</v>
      </c>
      <c r="L38" s="1962"/>
      <c r="M38" s="1962"/>
      <c r="N38" s="1962"/>
      <c r="O38" s="1962"/>
      <c r="P38" s="1962"/>
      <c r="Q38" s="1962"/>
      <c r="R38" s="1055"/>
      <c r="S38" s="1055"/>
      <c r="T38" s="1055"/>
      <c r="U38" s="1055"/>
      <c r="V38" s="1055"/>
      <c r="W38" s="1055"/>
      <c r="X38" s="1055"/>
      <c r="Y38" s="1055"/>
      <c r="Z38" s="1056"/>
      <c r="AA38" s="1056"/>
      <c r="AB38" s="1056"/>
      <c r="AC38" s="1056"/>
      <c r="AD38" s="1056"/>
    </row>
    <row r="39" spans="1:37" ht="13.5" thickBot="1">
      <c r="A39" s="3439"/>
      <c r="B39" s="1883" t="s">
        <v>3250</v>
      </c>
      <c r="C39" s="167">
        <f>ROUND(D5*C22*C23*C24*C28*F39,0)</f>
        <v>9757</v>
      </c>
      <c r="D39" s="1938"/>
      <c r="E39" s="163">
        <f t="shared" si="4"/>
        <v>0</v>
      </c>
      <c r="F39" s="163">
        <f>SUMIF(修正!A57:A68,G2,修正!D57:D68)</f>
        <v>0.3</v>
      </c>
      <c r="G39" s="163">
        <f>ROUND(IF(E2="工业",C39*$M$42,C39*$M$41),0)</f>
        <v>2439</v>
      </c>
      <c r="H39" s="163">
        <f t="shared" si="5"/>
        <v>0</v>
      </c>
      <c r="I39" s="163">
        <f t="shared" si="6"/>
        <v>0</v>
      </c>
      <c r="J39" s="2750"/>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4"/>
      <c r="B40" s="1883" t="s">
        <v>2036</v>
      </c>
      <c r="C40" s="163">
        <f>ROUND(D5*C22*C23*C24*C28*F40,0)</f>
        <v>9757</v>
      </c>
      <c r="D40" s="1938"/>
      <c r="E40" s="163">
        <f t="shared" si="4"/>
        <v>0</v>
      </c>
      <c r="F40" s="167">
        <f>SUMIF(修正!A57:A68,G2,修正!E57:E68)</f>
        <v>0.3</v>
      </c>
      <c r="G40" s="163">
        <f>ROUND(IF(E2="工业",C40*$M$42,C40*$M$41),0)</f>
        <v>2439</v>
      </c>
      <c r="H40" s="163">
        <f t="shared" si="5"/>
        <v>0</v>
      </c>
      <c r="I40" s="163">
        <f t="shared" si="6"/>
        <v>0</v>
      </c>
      <c r="J40" s="938"/>
      <c r="L40" s="1955" t="s">
        <v>2037</v>
      </c>
      <c r="M40" s="1956"/>
      <c r="Z40" s="1056"/>
      <c r="AA40" s="1056"/>
      <c r="AB40" s="1056"/>
      <c r="AC40" s="1056"/>
      <c r="AD40" s="1056"/>
      <c r="AE40" s="1056"/>
      <c r="AF40" s="1056"/>
      <c r="AG40" s="1056"/>
      <c r="AH40" s="1056"/>
      <c r="AI40" s="1056"/>
      <c r="AJ40" s="1056"/>
    </row>
    <row r="41" spans="1:37" s="1055" customFormat="1">
      <c r="A41" s="1954"/>
      <c r="B41" s="1883" t="s">
        <v>2038</v>
      </c>
      <c r="C41" s="163">
        <f>ROUND(D5*C22*C23*C44*C28*F41,0)</f>
        <v>0</v>
      </c>
      <c r="D41" s="1938"/>
      <c r="E41" s="163">
        <f t="shared" si="4"/>
        <v>0</v>
      </c>
      <c r="F41" s="167">
        <f>SUMIF(修正!A57:A68,G2,修正!F57:F68)</f>
        <v>0.3</v>
      </c>
      <c r="G41" s="163">
        <f>ROUND(IF(E2="工业",C41*$M$42,C41*$M$41),0)</f>
        <v>0</v>
      </c>
      <c r="H41" s="163">
        <f t="shared" si="5"/>
        <v>0</v>
      </c>
      <c r="I41" s="163">
        <f t="shared" si="6"/>
        <v>0</v>
      </c>
      <c r="J41" s="938"/>
      <c r="L41" s="3059" t="s">
        <v>3258</v>
      </c>
      <c r="M41" s="1957">
        <v>0.25</v>
      </c>
      <c r="Z41" s="1056"/>
      <c r="AA41" s="1056"/>
      <c r="AB41" s="1056"/>
      <c r="AC41" s="1056"/>
      <c r="AD41" s="1056"/>
      <c r="AE41" s="1056"/>
      <c r="AF41" s="1056"/>
      <c r="AG41" s="1056"/>
      <c r="AH41" s="1056"/>
      <c r="AI41" s="1056"/>
      <c r="AJ41" s="1056"/>
    </row>
    <row r="42" spans="1:37" s="1055" customFormat="1" ht="13.5" thickBot="1">
      <c r="A42" s="1941"/>
      <c r="B42" s="1958" t="s">
        <v>2039</v>
      </c>
      <c r="C42" s="178">
        <f>ROUND(D5*C22*C23*C44*C28*F42,0)</f>
        <v>0</v>
      </c>
      <c r="D42" s="1943"/>
      <c r="E42" s="178">
        <f t="shared" si="4"/>
        <v>0</v>
      </c>
      <c r="F42" s="722">
        <f>SUMIF(修正!A57:A68,G2,修正!G57:G68)</f>
        <v>0.2</v>
      </c>
      <c r="G42" s="178">
        <f>ROUND(IF(E2="工业",C42*$M$42,C42*$M$41),0)</f>
        <v>0</v>
      </c>
      <c r="H42" s="178">
        <f t="shared" si="5"/>
        <v>0</v>
      </c>
      <c r="I42" s="178">
        <f t="shared" si="6"/>
        <v>0</v>
      </c>
      <c r="J42" s="1959"/>
      <c r="L42" s="1960" t="s">
        <v>1991</v>
      </c>
      <c r="M42" s="1961">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0" t="s">
        <v>2118</v>
      </c>
      <c r="C44" s="332">
        <f>ROUND(POWER(1+E44,H44-G44)*(POWER(1+E44,G44)-1)/(POWER(1+E44,H44)-1),4)</f>
        <v>0</v>
      </c>
      <c r="D44" s="163" t="s">
        <v>1997</v>
      </c>
      <c r="E44" s="1989">
        <f>G24</f>
        <v>5.5E-2</v>
      </c>
      <c r="F44" s="163" t="s">
        <v>2006</v>
      </c>
      <c r="G44" s="175"/>
      <c r="H44" s="163">
        <v>50</v>
      </c>
      <c r="Z44" s="1056"/>
      <c r="AA44" s="1056"/>
      <c r="AB44" s="1056"/>
      <c r="AC44" s="1056"/>
      <c r="AD44" s="1056"/>
      <c r="AE44" s="1056"/>
      <c r="AF44" s="1056"/>
      <c r="AG44" s="1056"/>
      <c r="AH44" s="1056"/>
      <c r="AI44" s="1056"/>
      <c r="AJ44" s="1056"/>
    </row>
    <row r="45" spans="1:37" s="1055" customFormat="1">
      <c r="A45" s="1056"/>
      <c r="B45" s="1962"/>
      <c r="Z45" s="1056"/>
      <c r="AA45" s="1056"/>
      <c r="AB45" s="1056"/>
      <c r="AC45" s="1056"/>
      <c r="AD45" s="1056"/>
      <c r="AE45" s="1056"/>
      <c r="AF45" s="1056"/>
      <c r="AG45" s="1056"/>
      <c r="AH45" s="1056"/>
      <c r="AI45" s="1056"/>
      <c r="AJ45" s="1056"/>
    </row>
    <row r="46" spans="1:37" s="1055" customFormat="1">
      <c r="A46" s="1056"/>
      <c r="B46" s="1962"/>
      <c r="AA46" s="1056"/>
      <c r="AB46" s="1056"/>
      <c r="AC46" s="1056"/>
      <c r="AD46" s="1056"/>
      <c r="AE46" s="1056"/>
      <c r="AF46" s="1056"/>
      <c r="AG46" s="1056"/>
      <c r="AH46" s="1056"/>
      <c r="AI46" s="1056"/>
      <c r="AJ46" s="1056"/>
      <c r="AK46" s="1056"/>
    </row>
    <row r="47" spans="1:37" s="1055" customFormat="1" ht="15.75" thickBot="1">
      <c r="A47" s="1963" t="s">
        <v>2040</v>
      </c>
      <c r="B47" s="1964"/>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5" t="s">
        <v>2041</v>
      </c>
      <c r="B48" s="1966">
        <f>1+E50</f>
        <v>1.0636000000000001</v>
      </c>
      <c r="C48" s="1725"/>
      <c r="D48" s="698"/>
      <c r="E48" s="699"/>
      <c r="F48" s="1967"/>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8" t="s">
        <v>2042</v>
      </c>
      <c r="B49" s="1261" t="s">
        <v>2043</v>
      </c>
      <c r="C49" s="1261" t="s">
        <v>2044</v>
      </c>
      <c r="D49" s="1261" t="s">
        <v>2045</v>
      </c>
      <c r="E49" s="700" t="s">
        <v>2046</v>
      </c>
      <c r="F49" s="1969" t="s">
        <v>2047</v>
      </c>
      <c r="G49" s="1261" t="s">
        <v>310</v>
      </c>
      <c r="H49" s="1970" t="s">
        <v>2048</v>
      </c>
      <c r="I49" s="1261" t="s">
        <v>2049</v>
      </c>
      <c r="J49" s="529" t="s">
        <v>1719</v>
      </c>
      <c r="K49" s="529" t="s">
        <v>1720</v>
      </c>
      <c r="L49" s="529" t="s">
        <v>1721</v>
      </c>
      <c r="M49" s="529" t="s">
        <v>1722</v>
      </c>
      <c r="N49" s="529" t="s">
        <v>1723</v>
      </c>
      <c r="AA49" s="1056"/>
      <c r="AB49" s="1056"/>
      <c r="AC49" s="1056"/>
      <c r="AD49" s="1056"/>
      <c r="AE49" s="1056"/>
      <c r="AF49" s="1056"/>
      <c r="AG49" s="1056"/>
      <c r="AH49" s="1056"/>
      <c r="AI49" s="1056"/>
      <c r="AJ49" s="1056"/>
      <c r="AK49" s="1056"/>
    </row>
    <row r="50" spans="1:37" s="1055" customFormat="1" ht="24.75">
      <c r="A50" s="1968" t="s">
        <v>2050</v>
      </c>
      <c r="B50" s="1971" t="str">
        <f>估价对象房地状况!C4</f>
        <v>好</v>
      </c>
      <c r="C50" s="1886" t="s">
        <v>3546</v>
      </c>
      <c r="D50" s="1001">
        <f t="shared" ref="D50:D58" si="7">SUMIF($J$49:$N$49,C50,J50:N50)</f>
        <v>2.8400000000000002E-2</v>
      </c>
      <c r="E50" s="701">
        <f>ROUND(SUM(D50:D58),4)</f>
        <v>6.3600000000000004E-2</v>
      </c>
      <c r="F50" s="1674">
        <f>IF(E2="商业",SUMIF(L1:L12,G2,N1:N12),"——")</f>
        <v>9.5000000000000001E-2</v>
      </c>
      <c r="G50" s="999">
        <f>H50</f>
        <v>1.4200000000000001E-2</v>
      </c>
      <c r="H50" s="1002">
        <f t="shared" ref="H50:H58" si="8">IFERROR(ROUNDDOWN($F$50*I50/2,4),"——")</f>
        <v>1.4200000000000001E-2</v>
      </c>
      <c r="I50" s="3065">
        <v>0.3</v>
      </c>
      <c r="J50" s="1000">
        <f t="shared" ref="J50:J58" si="9">K50+$G50</f>
        <v>2.8400000000000002E-2</v>
      </c>
      <c r="K50" s="1000">
        <f t="shared" ref="K50:K58" si="10">$L50+$G50</f>
        <v>1.4200000000000001E-2</v>
      </c>
      <c r="L50" s="1000">
        <v>0</v>
      </c>
      <c r="M50" s="1000">
        <f t="shared" ref="M50:N58" si="11">L50-$G50</f>
        <v>-1.4200000000000001E-2</v>
      </c>
      <c r="N50" s="1000">
        <f t="shared" si="11"/>
        <v>-2.8400000000000002E-2</v>
      </c>
      <c r="AA50" s="1056"/>
      <c r="AB50" s="1056"/>
      <c r="AC50" s="1056"/>
      <c r="AD50" s="1056"/>
      <c r="AE50" s="1056"/>
      <c r="AF50" s="1056"/>
      <c r="AG50" s="1056"/>
      <c r="AH50" s="1056"/>
      <c r="AI50" s="1056"/>
      <c r="AJ50" s="1056"/>
      <c r="AK50" s="1056"/>
    </row>
    <row r="51" spans="1:37" s="1055" customFormat="1" ht="14.25">
      <c r="A51" s="1968" t="s">
        <v>2051</v>
      </c>
      <c r="B51" s="1261" t="str">
        <f>估价对象房地状况!C18</f>
        <v>较好</v>
      </c>
      <c r="C51" s="1886" t="s">
        <v>3545</v>
      </c>
      <c r="D51" s="1001">
        <f t="shared" si="7"/>
        <v>1.04E-2</v>
      </c>
      <c r="E51" s="702"/>
      <c r="F51" s="1674"/>
      <c r="G51" s="999">
        <f t="shared" ref="G51:G58" si="12">H51</f>
        <v>1.04E-2</v>
      </c>
      <c r="H51" s="1002">
        <f t="shared" si="8"/>
        <v>1.04E-2</v>
      </c>
      <c r="I51" s="3065">
        <v>0.22</v>
      </c>
      <c r="J51" s="1000">
        <f t="shared" si="9"/>
        <v>2.0799999999999999E-2</v>
      </c>
      <c r="K51" s="1000">
        <f t="shared" si="10"/>
        <v>1.04E-2</v>
      </c>
      <c r="L51" s="1000">
        <v>0</v>
      </c>
      <c r="M51" s="1000">
        <f t="shared" si="11"/>
        <v>-1.04E-2</v>
      </c>
      <c r="N51" s="1000">
        <f t="shared" si="11"/>
        <v>-2.0799999999999999E-2</v>
      </c>
      <c r="AA51" s="1056"/>
      <c r="AB51" s="1056"/>
      <c r="AC51" s="1056"/>
      <c r="AD51" s="1056"/>
      <c r="AE51" s="1056"/>
      <c r="AF51" s="1056"/>
      <c r="AG51" s="1056"/>
      <c r="AH51" s="1056"/>
      <c r="AI51" s="1056"/>
      <c r="AJ51" s="1056"/>
      <c r="AK51" s="1056"/>
    </row>
    <row r="52" spans="1:37" s="1055" customFormat="1" ht="36">
      <c r="A52" s="3067" t="s">
        <v>3260</v>
      </c>
      <c r="B52" s="1261">
        <f>估价对象房地状况!C19</f>
        <v>0</v>
      </c>
      <c r="C52" s="1886" t="s">
        <v>3545</v>
      </c>
      <c r="D52" s="1001">
        <f t="shared" si="7"/>
        <v>5.7000000000000002E-3</v>
      </c>
      <c r="E52" s="702"/>
      <c r="F52" s="1674"/>
      <c r="G52" s="999">
        <f t="shared" si="12"/>
        <v>5.7000000000000002E-3</v>
      </c>
      <c r="H52" s="1002">
        <f t="shared" si="8"/>
        <v>5.7000000000000002E-3</v>
      </c>
      <c r="I52" s="3065">
        <v>0.12</v>
      </c>
      <c r="J52" s="1000">
        <f t="shared" si="9"/>
        <v>1.14E-2</v>
      </c>
      <c r="K52" s="1000">
        <f t="shared" si="10"/>
        <v>5.7000000000000002E-3</v>
      </c>
      <c r="L52" s="1000">
        <v>0</v>
      </c>
      <c r="M52" s="1000">
        <f t="shared" si="11"/>
        <v>-5.7000000000000002E-3</v>
      </c>
      <c r="N52" s="1000">
        <f t="shared" si="11"/>
        <v>-1.14E-2</v>
      </c>
      <c r="AA52" s="1056"/>
      <c r="AB52" s="1056"/>
      <c r="AC52" s="1056"/>
      <c r="AD52" s="1056"/>
      <c r="AE52" s="1056"/>
      <c r="AF52" s="1056"/>
      <c r="AG52" s="1056"/>
      <c r="AH52" s="1056"/>
      <c r="AI52" s="1056"/>
      <c r="AJ52" s="1056"/>
      <c r="AK52" s="1056"/>
    </row>
    <row r="53" spans="1:37" s="1055" customFormat="1" ht="36.75">
      <c r="A53" s="1968" t="s">
        <v>2052</v>
      </c>
      <c r="B53" s="1972" t="s">
        <v>2053</v>
      </c>
      <c r="C53" s="1886" t="s">
        <v>3545</v>
      </c>
      <c r="D53" s="1001">
        <f t="shared" si="7"/>
        <v>2.3E-3</v>
      </c>
      <c r="E53" s="702"/>
      <c r="F53" s="1674"/>
      <c r="G53" s="999">
        <f t="shared" si="12"/>
        <v>2.3E-3</v>
      </c>
      <c r="H53" s="1002">
        <f t="shared" si="8"/>
        <v>2.3E-3</v>
      </c>
      <c r="I53" s="3065">
        <v>0.05</v>
      </c>
      <c r="J53" s="1000">
        <f t="shared" si="9"/>
        <v>4.5999999999999999E-3</v>
      </c>
      <c r="K53" s="1000">
        <f t="shared" si="10"/>
        <v>2.3E-3</v>
      </c>
      <c r="L53" s="1000">
        <v>0</v>
      </c>
      <c r="M53" s="1000">
        <f t="shared" si="11"/>
        <v>-2.3E-3</v>
      </c>
      <c r="N53" s="1000">
        <f t="shared" si="11"/>
        <v>-4.5999999999999999E-3</v>
      </c>
      <c r="AA53" s="1056"/>
      <c r="AB53" s="1056"/>
      <c r="AC53" s="1056"/>
      <c r="AD53" s="1056"/>
      <c r="AE53" s="1056"/>
      <c r="AF53" s="1056"/>
      <c r="AG53" s="1056"/>
      <c r="AH53" s="1056"/>
      <c r="AI53" s="1056"/>
      <c r="AJ53" s="1056"/>
      <c r="AK53" s="1056"/>
    </row>
    <row r="54" spans="1:37" s="1055" customFormat="1" ht="24">
      <c r="A54" s="1968" t="s">
        <v>2054</v>
      </c>
      <c r="B54" s="1261" t="str">
        <f>估价对象房地状况!C24</f>
        <v>次干道</v>
      </c>
      <c r="C54" s="1886" t="s">
        <v>3547</v>
      </c>
      <c r="D54" s="1001">
        <f t="shared" si="7"/>
        <v>0</v>
      </c>
      <c r="E54" s="702"/>
      <c r="F54" s="1674"/>
      <c r="G54" s="999">
        <f t="shared" si="12"/>
        <v>3.8E-3</v>
      </c>
      <c r="H54" s="1002">
        <f t="shared" si="8"/>
        <v>3.8E-3</v>
      </c>
      <c r="I54" s="3065">
        <v>0.08</v>
      </c>
      <c r="J54" s="1000">
        <f t="shared" si="9"/>
        <v>7.6E-3</v>
      </c>
      <c r="K54" s="1000">
        <f t="shared" si="10"/>
        <v>3.8E-3</v>
      </c>
      <c r="L54" s="1000">
        <v>0</v>
      </c>
      <c r="M54" s="1000">
        <f t="shared" si="11"/>
        <v>-3.8E-3</v>
      </c>
      <c r="N54" s="1000">
        <f t="shared" si="11"/>
        <v>-7.6E-3</v>
      </c>
      <c r="AA54" s="1056"/>
      <c r="AB54" s="1056"/>
      <c r="AC54" s="1056"/>
      <c r="AD54" s="1056"/>
      <c r="AE54" s="1056"/>
      <c r="AF54" s="1056"/>
      <c r="AG54" s="1056"/>
      <c r="AH54" s="1056"/>
      <c r="AI54" s="1056"/>
      <c r="AJ54" s="1056"/>
      <c r="AK54" s="1056"/>
    </row>
    <row r="55" spans="1:37" s="1055" customFormat="1" ht="24">
      <c r="A55" s="1968" t="s">
        <v>2055</v>
      </c>
      <c r="B55" s="1973" t="s">
        <v>2056</v>
      </c>
      <c r="C55" s="1886" t="s">
        <v>3545</v>
      </c>
      <c r="D55" s="1001">
        <f t="shared" si="7"/>
        <v>2.3E-3</v>
      </c>
      <c r="E55" s="702"/>
      <c r="F55" s="1674"/>
      <c r="G55" s="999">
        <f t="shared" si="12"/>
        <v>2.3E-3</v>
      </c>
      <c r="H55" s="1002">
        <f t="shared" si="8"/>
        <v>2.3E-3</v>
      </c>
      <c r="I55" s="3065">
        <v>0.05</v>
      </c>
      <c r="J55" s="1000">
        <f t="shared" si="9"/>
        <v>4.5999999999999999E-3</v>
      </c>
      <c r="K55" s="1000">
        <f t="shared" si="10"/>
        <v>2.3E-3</v>
      </c>
      <c r="L55" s="1000">
        <v>0</v>
      </c>
      <c r="M55" s="1000">
        <f t="shared" si="11"/>
        <v>-2.3E-3</v>
      </c>
      <c r="N55" s="1000">
        <f t="shared" si="11"/>
        <v>-4.5999999999999999E-3</v>
      </c>
      <c r="AA55" s="1056"/>
      <c r="AB55" s="1056"/>
      <c r="AC55" s="1056"/>
      <c r="AD55" s="1056"/>
      <c r="AE55" s="1056"/>
      <c r="AF55" s="1056"/>
      <c r="AG55" s="1056"/>
      <c r="AH55" s="1056"/>
      <c r="AI55" s="1056"/>
      <c r="AJ55" s="1056"/>
      <c r="AK55" s="1056"/>
    </row>
    <row r="56" spans="1:37" s="1055" customFormat="1" ht="24">
      <c r="A56" s="1974" t="s">
        <v>2057</v>
      </c>
      <c r="B56" s="1239" t="str">
        <f>估价对象房地状况!C21</f>
        <v>好</v>
      </c>
      <c r="C56" s="1886" t="s">
        <v>3546</v>
      </c>
      <c r="D56" s="1001">
        <f t="shared" si="7"/>
        <v>4.5999999999999999E-3</v>
      </c>
      <c r="E56" s="702"/>
      <c r="F56" s="1674"/>
      <c r="G56" s="999">
        <f t="shared" si="12"/>
        <v>2.3E-3</v>
      </c>
      <c r="H56" s="1002">
        <f t="shared" si="8"/>
        <v>2.3E-3</v>
      </c>
      <c r="I56" s="3065">
        <v>0.05</v>
      </c>
      <c r="J56" s="1000">
        <f t="shared" si="9"/>
        <v>4.5999999999999999E-3</v>
      </c>
      <c r="K56" s="1000">
        <f t="shared" si="10"/>
        <v>2.3E-3</v>
      </c>
      <c r="L56" s="1000">
        <v>0</v>
      </c>
      <c r="M56" s="1000">
        <f t="shared" si="11"/>
        <v>-2.3E-3</v>
      </c>
      <c r="N56" s="1000">
        <f t="shared" si="11"/>
        <v>-4.5999999999999999E-3</v>
      </c>
      <c r="AA56" s="1056"/>
      <c r="AB56" s="1056"/>
      <c r="AC56" s="1056"/>
      <c r="AD56" s="1056"/>
      <c r="AE56" s="1056"/>
      <c r="AF56" s="1056"/>
      <c r="AG56" s="1056"/>
      <c r="AH56" s="1056"/>
      <c r="AI56" s="1056"/>
      <c r="AJ56" s="1056"/>
      <c r="AK56" s="1056"/>
    </row>
    <row r="57" spans="1:37" s="1055" customFormat="1" ht="24">
      <c r="A57" s="1974" t="s">
        <v>2058</v>
      </c>
      <c r="B57" s="1261" t="str">
        <f>估价对象房地状况!C22</f>
        <v>七通</v>
      </c>
      <c r="C57" s="1886" t="s">
        <v>3546</v>
      </c>
      <c r="D57" s="1001">
        <f t="shared" si="7"/>
        <v>7.6E-3</v>
      </c>
      <c r="E57" s="702"/>
      <c r="F57" s="1674"/>
      <c r="G57" s="999">
        <f t="shared" si="12"/>
        <v>3.8E-3</v>
      </c>
      <c r="H57" s="1002">
        <f t="shared" si="8"/>
        <v>3.8E-3</v>
      </c>
      <c r="I57" s="3065">
        <v>0.08</v>
      </c>
      <c r="J57" s="1000">
        <f t="shared" si="9"/>
        <v>7.6E-3</v>
      </c>
      <c r="K57" s="1000">
        <f t="shared" si="10"/>
        <v>3.8E-3</v>
      </c>
      <c r="L57" s="1000">
        <v>0</v>
      </c>
      <c r="M57" s="1000">
        <f t="shared" si="11"/>
        <v>-3.8E-3</v>
      </c>
      <c r="N57" s="1000">
        <f t="shared" si="11"/>
        <v>-7.6E-3</v>
      </c>
      <c r="AA57" s="1056"/>
      <c r="AB57" s="1056"/>
      <c r="AC57" s="1056"/>
      <c r="AD57" s="1056"/>
      <c r="AE57" s="1056"/>
      <c r="AF57" s="1056"/>
      <c r="AG57" s="1056"/>
      <c r="AH57" s="1056"/>
      <c r="AI57" s="1056"/>
      <c r="AJ57" s="1056"/>
      <c r="AK57" s="1056"/>
    </row>
    <row r="58" spans="1:37" s="1055" customFormat="1" ht="24.75" thickBot="1">
      <c r="A58" s="1975" t="s">
        <v>2059</v>
      </c>
      <c r="B58" s="1976" t="str">
        <f>估价对象房地状况!C20</f>
        <v>较好</v>
      </c>
      <c r="C58" s="1886" t="s">
        <v>3545</v>
      </c>
      <c r="D58" s="1001">
        <f t="shared" si="7"/>
        <v>2.3E-3</v>
      </c>
      <c r="E58" s="703"/>
      <c r="F58" s="1674"/>
      <c r="G58" s="999">
        <f t="shared" si="12"/>
        <v>2.3E-3</v>
      </c>
      <c r="H58" s="1002">
        <f t="shared" si="8"/>
        <v>2.3E-3</v>
      </c>
      <c r="I58" s="3066">
        <v>0.05</v>
      </c>
      <c r="J58" s="1000">
        <f t="shared" si="9"/>
        <v>4.5999999999999999E-3</v>
      </c>
      <c r="K58" s="1000">
        <f t="shared" si="10"/>
        <v>2.3E-3</v>
      </c>
      <c r="L58" s="1000">
        <v>0</v>
      </c>
      <c r="M58" s="1000">
        <f t="shared" si="11"/>
        <v>-2.3E-3</v>
      </c>
      <c r="N58" s="1000">
        <f t="shared" si="11"/>
        <v>-4.5999999999999999E-3</v>
      </c>
      <c r="AA58" s="1056"/>
      <c r="AB58" s="1056"/>
      <c r="AC58" s="1056"/>
      <c r="AD58" s="1056"/>
      <c r="AE58" s="1056"/>
      <c r="AF58" s="1056"/>
      <c r="AG58" s="1056"/>
      <c r="AH58" s="1056"/>
      <c r="AI58" s="1056"/>
      <c r="AJ58" s="1056"/>
      <c r="AK58" s="1056"/>
    </row>
    <row r="59" spans="1:37" s="1055" customFormat="1" ht="15">
      <c r="A59" s="1965" t="s">
        <v>2060</v>
      </c>
      <c r="B59" s="1966">
        <f>1+E61</f>
        <v>1</v>
      </c>
      <c r="C59" s="698"/>
      <c r="D59" s="698"/>
      <c r="E59" s="699"/>
      <c r="F59" s="1967"/>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8" t="s">
        <v>2042</v>
      </c>
      <c r="B60" s="1261"/>
      <c r="C60" s="1261" t="s">
        <v>2044</v>
      </c>
      <c r="D60" s="1261" t="s">
        <v>2045</v>
      </c>
      <c r="E60" s="700" t="s">
        <v>2046</v>
      </c>
      <c r="F60" s="1969" t="s">
        <v>2061</v>
      </c>
      <c r="G60" s="1261" t="s">
        <v>310</v>
      </c>
      <c r="H60" s="1970" t="s">
        <v>2048</v>
      </c>
      <c r="I60" s="1261" t="s">
        <v>2049</v>
      </c>
      <c r="J60" s="529" t="s">
        <v>1719</v>
      </c>
      <c r="K60" s="529" t="s">
        <v>1720</v>
      </c>
      <c r="L60" s="529" t="s">
        <v>1721</v>
      </c>
      <c r="M60" s="529" t="s">
        <v>1722</v>
      </c>
      <c r="N60" s="529" t="s">
        <v>1723</v>
      </c>
      <c r="AA60" s="1056"/>
      <c r="AB60" s="1056"/>
      <c r="AC60" s="1056"/>
      <c r="AD60" s="1056"/>
      <c r="AE60" s="1056"/>
      <c r="AF60" s="1056"/>
      <c r="AG60" s="1056"/>
      <c r="AH60" s="1056"/>
      <c r="AI60" s="1056"/>
      <c r="AJ60" s="1056"/>
      <c r="AK60" s="1056"/>
    </row>
    <row r="61" spans="1:37" s="1055" customFormat="1" ht="24">
      <c r="A61" s="1968" t="s">
        <v>2062</v>
      </c>
      <c r="B61" s="1971">
        <f>估价对象房地状况!C17</f>
        <v>0</v>
      </c>
      <c r="C61" s="1886"/>
      <c r="D61" s="1001">
        <f t="shared" ref="D61:D69" si="13">SUMIF($J$60:$N$60,C61,J61:N61)</f>
        <v>0</v>
      </c>
      <c r="E61" s="701">
        <f>ROUND(SUM(D61:D69),4)</f>
        <v>0</v>
      </c>
      <c r="F61" s="1674" t="str">
        <f>IF(E2="办公",SUMIF(L1:L12,G2,N1:N12),"——")</f>
        <v>——</v>
      </c>
      <c r="G61" s="999"/>
      <c r="H61" s="1002" t="str">
        <f t="shared" ref="H61:H69" si="14">IFERROR(ROUNDDOWN($F$61*I61/2,4),"——")</f>
        <v>——</v>
      </c>
      <c r="I61" s="3065">
        <v>0.25</v>
      </c>
      <c r="J61" s="1000">
        <f t="shared" ref="J61:J69" si="15">K61+$G61</f>
        <v>0</v>
      </c>
      <c r="K61" s="1000">
        <f t="shared" ref="K61:K69" si="16">$L61+$G61</f>
        <v>0</v>
      </c>
      <c r="L61" s="1000">
        <v>0</v>
      </c>
      <c r="M61" s="1000">
        <f t="shared" ref="M61:N69" si="17">L61-$G61</f>
        <v>0</v>
      </c>
      <c r="N61" s="1000">
        <f t="shared" si="17"/>
        <v>0</v>
      </c>
      <c r="AA61" s="1056"/>
      <c r="AB61" s="1056"/>
      <c r="AC61" s="1056"/>
      <c r="AD61" s="1056"/>
      <c r="AE61" s="1056"/>
      <c r="AF61" s="1056"/>
      <c r="AG61" s="1056"/>
      <c r="AH61" s="1056"/>
      <c r="AI61" s="1056"/>
      <c r="AJ61" s="1056"/>
      <c r="AK61" s="1056"/>
    </row>
    <row r="62" spans="1:37" s="1055" customFormat="1" ht="14.25">
      <c r="A62" s="1968" t="s">
        <v>2051</v>
      </c>
      <c r="B62" s="1261" t="str">
        <f>估价对象房地状况!C18</f>
        <v>较好</v>
      </c>
      <c r="C62" s="1886"/>
      <c r="D62" s="1001">
        <f t="shared" si="13"/>
        <v>0</v>
      </c>
      <c r="E62" s="702"/>
      <c r="F62" s="1674"/>
      <c r="G62" s="999"/>
      <c r="H62" s="1002" t="str">
        <f t="shared" si="14"/>
        <v>——</v>
      </c>
      <c r="I62" s="3065">
        <v>0.26</v>
      </c>
      <c r="J62" s="1000">
        <f t="shared" si="15"/>
        <v>0</v>
      </c>
      <c r="K62" s="1000">
        <f t="shared" si="16"/>
        <v>0</v>
      </c>
      <c r="L62" s="1000">
        <v>0</v>
      </c>
      <c r="M62" s="1000">
        <f t="shared" si="17"/>
        <v>0</v>
      </c>
      <c r="N62" s="1000">
        <f t="shared" si="17"/>
        <v>0</v>
      </c>
      <c r="AA62" s="1056"/>
      <c r="AB62" s="1056"/>
      <c r="AC62" s="1056"/>
      <c r="AD62" s="1056"/>
      <c r="AE62" s="1056"/>
      <c r="AF62" s="1056"/>
      <c r="AG62" s="1056"/>
      <c r="AH62" s="1056"/>
      <c r="AI62" s="1056"/>
      <c r="AJ62" s="1056"/>
      <c r="AK62" s="1056"/>
    </row>
    <row r="63" spans="1:37" s="1055" customFormat="1" ht="36">
      <c r="A63" s="3067" t="s">
        <v>3260</v>
      </c>
      <c r="B63" s="1261">
        <f>估价对象房地状况!C19</f>
        <v>0</v>
      </c>
      <c r="C63" s="1886"/>
      <c r="D63" s="1001">
        <f t="shared" si="13"/>
        <v>0</v>
      </c>
      <c r="E63" s="702"/>
      <c r="F63" s="1674"/>
      <c r="G63" s="999"/>
      <c r="H63" s="1002" t="str">
        <f t="shared" si="14"/>
        <v>——</v>
      </c>
      <c r="I63" s="3065">
        <v>0.11</v>
      </c>
      <c r="J63" s="1000">
        <f t="shared" si="15"/>
        <v>0</v>
      </c>
      <c r="K63" s="1000">
        <f t="shared" si="16"/>
        <v>0</v>
      </c>
      <c r="L63" s="1000">
        <v>0</v>
      </c>
      <c r="M63" s="1000">
        <f t="shared" si="17"/>
        <v>0</v>
      </c>
      <c r="N63" s="1000">
        <f t="shared" si="17"/>
        <v>0</v>
      </c>
      <c r="AA63" s="1056"/>
      <c r="AB63" s="1056"/>
      <c r="AC63" s="1056"/>
      <c r="AD63" s="1056"/>
      <c r="AE63" s="1056"/>
      <c r="AF63" s="1056"/>
      <c r="AG63" s="1056"/>
      <c r="AH63" s="1056"/>
      <c r="AI63" s="1056"/>
      <c r="AJ63" s="1056"/>
      <c r="AK63" s="1056"/>
    </row>
    <row r="64" spans="1:37" s="1055" customFormat="1" ht="36.75">
      <c r="A64" s="1968" t="s">
        <v>2052</v>
      </c>
      <c r="B64" s="1972" t="s">
        <v>2053</v>
      </c>
      <c r="C64" s="1886"/>
      <c r="D64" s="1001">
        <f t="shared" si="13"/>
        <v>0</v>
      </c>
      <c r="E64" s="702"/>
      <c r="F64" s="1674"/>
      <c r="G64" s="999"/>
      <c r="H64" s="1002" t="str">
        <f t="shared" si="14"/>
        <v>——</v>
      </c>
      <c r="I64" s="3065">
        <v>0.05</v>
      </c>
      <c r="J64" s="1000">
        <f t="shared" si="15"/>
        <v>0</v>
      </c>
      <c r="K64" s="1000">
        <f t="shared" si="16"/>
        <v>0</v>
      </c>
      <c r="L64" s="1000">
        <v>0</v>
      </c>
      <c r="M64" s="1000">
        <f t="shared" si="17"/>
        <v>0</v>
      </c>
      <c r="N64" s="1000">
        <f t="shared" si="17"/>
        <v>0</v>
      </c>
      <c r="AA64" s="1056"/>
      <c r="AB64" s="1056"/>
      <c r="AC64" s="1056"/>
      <c r="AD64" s="1056"/>
      <c r="AE64" s="1056"/>
      <c r="AF64" s="1056"/>
      <c r="AG64" s="1056"/>
      <c r="AH64" s="1056"/>
      <c r="AI64" s="1056"/>
      <c r="AJ64" s="1056"/>
      <c r="AK64" s="1056"/>
    </row>
    <row r="65" spans="1:37" s="1055" customFormat="1" ht="24">
      <c r="A65" s="1968" t="s">
        <v>2054</v>
      </c>
      <c r="B65" s="1261" t="str">
        <f>估价对象房地状况!C24</f>
        <v>次干道</v>
      </c>
      <c r="C65" s="1886"/>
      <c r="D65" s="1001">
        <f t="shared" si="13"/>
        <v>0</v>
      </c>
      <c r="E65" s="702"/>
      <c r="F65" s="1674"/>
      <c r="G65" s="999"/>
      <c r="H65" s="1002" t="str">
        <f t="shared" si="14"/>
        <v>——</v>
      </c>
      <c r="I65" s="3065">
        <v>0.05</v>
      </c>
      <c r="J65" s="1000">
        <f t="shared" si="15"/>
        <v>0</v>
      </c>
      <c r="K65" s="1000">
        <f t="shared" si="16"/>
        <v>0</v>
      </c>
      <c r="L65" s="1000">
        <v>0</v>
      </c>
      <c r="M65" s="1000">
        <f t="shared" si="17"/>
        <v>0</v>
      </c>
      <c r="N65" s="1000">
        <f t="shared" si="17"/>
        <v>0</v>
      </c>
      <c r="AA65" s="1056"/>
      <c r="AB65" s="1056"/>
      <c r="AC65" s="1056"/>
      <c r="AD65" s="1056"/>
      <c r="AE65" s="1056"/>
      <c r="AF65" s="1056"/>
      <c r="AG65" s="1056"/>
      <c r="AH65" s="1056"/>
      <c r="AI65" s="1056"/>
      <c r="AJ65" s="1056"/>
      <c r="AK65" s="1056"/>
    </row>
    <row r="66" spans="1:37" s="1055" customFormat="1" ht="24">
      <c r="A66" s="1968" t="s">
        <v>2055</v>
      </c>
      <c r="B66" s="1973" t="s">
        <v>2056</v>
      </c>
      <c r="C66" s="1886"/>
      <c r="D66" s="1001">
        <f t="shared" si="13"/>
        <v>0</v>
      </c>
      <c r="E66" s="702"/>
      <c r="F66" s="1674"/>
      <c r="G66" s="999"/>
      <c r="H66" s="1002" t="str">
        <f t="shared" si="14"/>
        <v>——</v>
      </c>
      <c r="I66" s="3065">
        <v>0.06</v>
      </c>
      <c r="J66" s="1000">
        <f t="shared" si="15"/>
        <v>0</v>
      </c>
      <c r="K66" s="1000">
        <f t="shared" si="16"/>
        <v>0</v>
      </c>
      <c r="L66" s="1000">
        <v>0</v>
      </c>
      <c r="M66" s="1000">
        <f t="shared" si="17"/>
        <v>0</v>
      </c>
      <c r="N66" s="1000">
        <f t="shared" si="17"/>
        <v>0</v>
      </c>
      <c r="AA66" s="1056"/>
      <c r="AB66" s="1056"/>
      <c r="AC66" s="1056"/>
      <c r="AD66" s="1056"/>
      <c r="AE66" s="1056"/>
      <c r="AF66" s="1056"/>
      <c r="AG66" s="1056"/>
      <c r="AH66" s="1056"/>
      <c r="AI66" s="1056"/>
      <c r="AJ66" s="1056"/>
      <c r="AK66" s="1056"/>
    </row>
    <row r="67" spans="1:37" s="1055" customFormat="1" ht="24">
      <c r="A67" s="1968" t="s">
        <v>2057</v>
      </c>
      <c r="B67" s="1239" t="str">
        <f>估价对象房地状况!C21</f>
        <v>好</v>
      </c>
      <c r="C67" s="1886"/>
      <c r="D67" s="1001">
        <f t="shared" si="13"/>
        <v>0</v>
      </c>
      <c r="E67" s="702"/>
      <c r="F67" s="1674"/>
      <c r="G67" s="999"/>
      <c r="H67" s="1002" t="str">
        <f t="shared" si="14"/>
        <v>——</v>
      </c>
      <c r="I67" s="3065">
        <v>0.06</v>
      </c>
      <c r="J67" s="1000">
        <f t="shared" si="15"/>
        <v>0</v>
      </c>
      <c r="K67" s="1000">
        <f t="shared" si="16"/>
        <v>0</v>
      </c>
      <c r="L67" s="1000">
        <v>0</v>
      </c>
      <c r="M67" s="1000">
        <f t="shared" si="17"/>
        <v>0</v>
      </c>
      <c r="N67" s="1000">
        <f t="shared" si="17"/>
        <v>0</v>
      </c>
      <c r="AA67" s="1056"/>
      <c r="AB67" s="1056"/>
      <c r="AC67" s="1056"/>
      <c r="AD67" s="1056"/>
      <c r="AE67" s="1056"/>
      <c r="AF67" s="1056"/>
      <c r="AG67" s="1056"/>
      <c r="AH67" s="1056"/>
      <c r="AI67" s="1056"/>
      <c r="AJ67" s="1056"/>
      <c r="AK67" s="1056"/>
    </row>
    <row r="68" spans="1:37" s="1055" customFormat="1" ht="24">
      <c r="A68" s="1968" t="s">
        <v>2058</v>
      </c>
      <c r="B68" s="1239" t="str">
        <f>估价对象房地状况!C22</f>
        <v>七通</v>
      </c>
      <c r="C68" s="1886"/>
      <c r="D68" s="1001">
        <f t="shared" si="13"/>
        <v>0</v>
      </c>
      <c r="E68" s="702"/>
      <c r="F68" s="1674"/>
      <c r="G68" s="999"/>
      <c r="H68" s="1002" t="str">
        <f t="shared" si="14"/>
        <v>——</v>
      </c>
      <c r="I68" s="3065">
        <v>0.09</v>
      </c>
      <c r="J68" s="1000">
        <f t="shared" si="15"/>
        <v>0</v>
      </c>
      <c r="K68" s="1000">
        <f t="shared" si="16"/>
        <v>0</v>
      </c>
      <c r="L68" s="1000">
        <v>0</v>
      </c>
      <c r="M68" s="1000">
        <f t="shared" si="17"/>
        <v>0</v>
      </c>
      <c r="N68" s="1000">
        <f t="shared" si="17"/>
        <v>0</v>
      </c>
      <c r="AA68" s="1056"/>
      <c r="AB68" s="1056"/>
      <c r="AC68" s="1056"/>
      <c r="AD68" s="1056"/>
      <c r="AE68" s="1056"/>
      <c r="AF68" s="1056"/>
      <c r="AG68" s="1056"/>
      <c r="AH68" s="1056"/>
      <c r="AI68" s="1056"/>
      <c r="AJ68" s="1056"/>
      <c r="AK68" s="1056"/>
    </row>
    <row r="69" spans="1:37" s="1055" customFormat="1" ht="24.75" thickBot="1">
      <c r="A69" s="1975" t="s">
        <v>2059</v>
      </c>
      <c r="B69" s="1977" t="str">
        <f>估价对象房地状况!C20</f>
        <v>较好</v>
      </c>
      <c r="C69" s="1886"/>
      <c r="D69" s="1001">
        <f t="shared" si="13"/>
        <v>0</v>
      </c>
      <c r="E69" s="703"/>
      <c r="F69" s="1674"/>
      <c r="G69" s="999"/>
      <c r="H69" s="1002" t="str">
        <f t="shared" si="14"/>
        <v>——</v>
      </c>
      <c r="I69" s="3066">
        <v>7.0000000000000007E-2</v>
      </c>
      <c r="J69" s="1000">
        <f t="shared" si="15"/>
        <v>0</v>
      </c>
      <c r="K69" s="1000">
        <f t="shared" si="16"/>
        <v>0</v>
      </c>
      <c r="L69" s="1000">
        <v>0</v>
      </c>
      <c r="M69" s="1000">
        <f t="shared" si="17"/>
        <v>0</v>
      </c>
      <c r="N69" s="1000">
        <f t="shared" si="17"/>
        <v>0</v>
      </c>
      <c r="AA69" s="1056"/>
      <c r="AB69" s="1056"/>
      <c r="AC69" s="1056"/>
      <c r="AD69" s="1056"/>
      <c r="AE69" s="1056"/>
      <c r="AF69" s="1056"/>
      <c r="AG69" s="1056"/>
      <c r="AH69" s="1056"/>
      <c r="AI69" s="1056"/>
      <c r="AJ69" s="1056"/>
      <c r="AK69" s="1056"/>
    </row>
    <row r="70" spans="1:37" s="1055" customFormat="1" ht="15">
      <c r="A70" s="1965" t="s">
        <v>2063</v>
      </c>
      <c r="B70" s="1966">
        <f>1+E72</f>
        <v>1</v>
      </c>
      <c r="C70" s="698"/>
      <c r="D70" s="698"/>
      <c r="E70" s="699"/>
      <c r="F70" s="1967"/>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8" t="s">
        <v>2042</v>
      </c>
      <c r="B71" s="1261"/>
      <c r="C71" s="1261" t="s">
        <v>2044</v>
      </c>
      <c r="D71" s="1261" t="s">
        <v>2045</v>
      </c>
      <c r="E71" s="700" t="s">
        <v>2046</v>
      </c>
      <c r="F71" s="1969" t="s">
        <v>2061</v>
      </c>
      <c r="G71" s="1261" t="s">
        <v>310</v>
      </c>
      <c r="H71" s="1970" t="s">
        <v>2048</v>
      </c>
      <c r="I71" s="1261" t="s">
        <v>2049</v>
      </c>
      <c r="J71" s="529" t="s">
        <v>1719</v>
      </c>
      <c r="K71" s="529" t="s">
        <v>1720</v>
      </c>
      <c r="L71" s="529" t="s">
        <v>1721</v>
      </c>
      <c r="M71" s="529" t="s">
        <v>1722</v>
      </c>
      <c r="N71" s="529" t="s">
        <v>1723</v>
      </c>
      <c r="AA71" s="1056"/>
      <c r="AB71" s="1056"/>
      <c r="AC71" s="1056"/>
      <c r="AD71" s="1056"/>
      <c r="AE71" s="1056"/>
      <c r="AF71" s="1056"/>
      <c r="AG71" s="1056"/>
      <c r="AH71" s="1056"/>
      <c r="AI71" s="1056"/>
      <c r="AJ71" s="1056"/>
      <c r="AK71" s="1056"/>
    </row>
    <row r="72" spans="1:37" s="1055" customFormat="1" ht="24">
      <c r="A72" s="1968" t="s">
        <v>2064</v>
      </c>
      <c r="B72" s="1971">
        <f>估价对象房地状况!C15</f>
        <v>0</v>
      </c>
      <c r="C72" s="1886"/>
      <c r="D72" s="1001">
        <f t="shared" ref="D72:D80" si="18">SUMIF($J$71:$N$71,C72,J72:N72)</f>
        <v>0</v>
      </c>
      <c r="E72" s="701">
        <f>ROUND(SUM(D72:D80),4)</f>
        <v>0</v>
      </c>
      <c r="F72" s="1674" t="str">
        <f>IF(E2="住宅",SUMIF(L1:L12,G2,N1:N12),"——")</f>
        <v>——</v>
      </c>
      <c r="G72" s="999"/>
      <c r="H72" s="1002" t="str">
        <f t="shared" ref="H72:H80" si="19">IFERROR(ROUNDDOWN($F$72*I72/2,4),"——")</f>
        <v>——</v>
      </c>
      <c r="I72" s="3065">
        <v>0.2</v>
      </c>
      <c r="J72" s="1000">
        <f t="shared" ref="J72:J80" si="20">K72+$G72</f>
        <v>0</v>
      </c>
      <c r="K72" s="1000">
        <f t="shared" ref="K72:K80" si="21">$L72+$G72</f>
        <v>0</v>
      </c>
      <c r="L72" s="1000">
        <v>0</v>
      </c>
      <c r="M72" s="1000">
        <f t="shared" ref="M72:N80" si="22">L72-$G72</f>
        <v>0</v>
      </c>
      <c r="N72" s="1000">
        <f t="shared" si="22"/>
        <v>0</v>
      </c>
      <c r="AA72" s="1056"/>
      <c r="AB72" s="1056"/>
      <c r="AC72" s="1056"/>
      <c r="AD72" s="1056"/>
      <c r="AE72" s="1056"/>
      <c r="AF72" s="1056"/>
      <c r="AG72" s="1056"/>
      <c r="AH72" s="1056"/>
      <c r="AI72" s="1056"/>
      <c r="AJ72" s="1056"/>
      <c r="AK72" s="1056"/>
    </row>
    <row r="73" spans="1:37" s="1055" customFormat="1" ht="14.25">
      <c r="A73" s="1968" t="s">
        <v>2051</v>
      </c>
      <c r="B73" s="1261" t="str">
        <f>估价对象房地状况!C18</f>
        <v>较好</v>
      </c>
      <c r="C73" s="1886"/>
      <c r="D73" s="1001">
        <f t="shared" si="18"/>
        <v>0</v>
      </c>
      <c r="E73" s="704"/>
      <c r="F73" s="1674"/>
      <c r="G73" s="999"/>
      <c r="H73" s="1002" t="str">
        <f t="shared" si="19"/>
        <v>——</v>
      </c>
      <c r="I73" s="3065">
        <v>0.26</v>
      </c>
      <c r="J73" s="1000">
        <f t="shared" si="20"/>
        <v>0</v>
      </c>
      <c r="K73" s="1000">
        <f t="shared" si="21"/>
        <v>0</v>
      </c>
      <c r="L73" s="1000">
        <v>0</v>
      </c>
      <c r="M73" s="1000">
        <f t="shared" si="22"/>
        <v>0</v>
      </c>
      <c r="N73" s="1000">
        <f t="shared" si="22"/>
        <v>0</v>
      </c>
      <c r="AA73" s="1056"/>
      <c r="AB73" s="1056"/>
      <c r="AC73" s="1056"/>
      <c r="AD73" s="1056"/>
      <c r="AE73" s="1056"/>
      <c r="AF73" s="1056"/>
      <c r="AG73" s="1056"/>
      <c r="AH73" s="1056"/>
      <c r="AI73" s="1056"/>
      <c r="AJ73" s="1056"/>
      <c r="AK73" s="1056"/>
    </row>
    <row r="74" spans="1:37" s="1843" customFormat="1" ht="36">
      <c r="A74" s="3067" t="s">
        <v>3260</v>
      </c>
      <c r="B74" s="1261">
        <f>估价对象房地状况!C19</f>
        <v>0</v>
      </c>
      <c r="C74" s="1886"/>
      <c r="D74" s="1001">
        <f t="shared" si="18"/>
        <v>0</v>
      </c>
      <c r="E74" s="704"/>
      <c r="F74" s="1674"/>
      <c r="G74" s="999"/>
      <c r="H74" s="1002" t="str">
        <f t="shared" si="19"/>
        <v>——</v>
      </c>
      <c r="I74" s="3065">
        <v>0.1</v>
      </c>
      <c r="J74" s="1000">
        <f t="shared" si="20"/>
        <v>0</v>
      </c>
      <c r="K74" s="1000">
        <f t="shared" si="21"/>
        <v>0</v>
      </c>
      <c r="L74" s="1000">
        <v>0</v>
      </c>
      <c r="M74" s="1000">
        <f t="shared" si="22"/>
        <v>0</v>
      </c>
      <c r="N74" s="1000">
        <f t="shared" si="22"/>
        <v>0</v>
      </c>
      <c r="O74" s="1055"/>
      <c r="P74" s="1055"/>
      <c r="Q74" s="1055"/>
      <c r="AA74" s="1978"/>
      <c r="AB74" s="1056"/>
      <c r="AC74" s="1056"/>
      <c r="AD74" s="1056"/>
      <c r="AE74" s="1056"/>
      <c r="AF74" s="1056"/>
      <c r="AG74" s="1056"/>
      <c r="AH74" s="1978"/>
      <c r="AI74" s="1978"/>
      <c r="AJ74" s="1978"/>
      <c r="AK74" s="1978"/>
    </row>
    <row r="75" spans="1:37" ht="14.25">
      <c r="A75" s="1968" t="s">
        <v>2065</v>
      </c>
      <c r="B75" s="1261" t="str">
        <f>估价对象房地状况!C24</f>
        <v>次干道</v>
      </c>
      <c r="C75" s="1886"/>
      <c r="D75" s="1001">
        <f t="shared" si="18"/>
        <v>0</v>
      </c>
      <c r="E75" s="704"/>
      <c r="F75" s="1674"/>
      <c r="G75" s="999"/>
      <c r="H75" s="1002" t="str">
        <f t="shared" si="19"/>
        <v>——</v>
      </c>
      <c r="I75" s="3065">
        <v>0.05</v>
      </c>
      <c r="J75" s="1000">
        <f t="shared" si="20"/>
        <v>0</v>
      </c>
      <c r="K75" s="1000">
        <f t="shared" si="21"/>
        <v>0</v>
      </c>
      <c r="L75" s="1000">
        <v>0</v>
      </c>
      <c r="M75" s="1000">
        <f t="shared" si="22"/>
        <v>0</v>
      </c>
      <c r="N75" s="1000">
        <f t="shared" si="22"/>
        <v>0</v>
      </c>
      <c r="O75" s="1055"/>
      <c r="P75" s="1055"/>
      <c r="Q75" s="1843"/>
      <c r="Z75" s="1844"/>
      <c r="AA75" s="1894"/>
      <c r="AG75" s="1057"/>
      <c r="AK75" s="1894"/>
    </row>
    <row r="76" spans="1:37" ht="24">
      <c r="A76" s="1968" t="s">
        <v>2057</v>
      </c>
      <c r="B76" s="1239" t="str">
        <f>估价对象房地状况!C21</f>
        <v>好</v>
      </c>
      <c r="C76" s="1886"/>
      <c r="D76" s="1001">
        <f t="shared" si="18"/>
        <v>0</v>
      </c>
      <c r="E76" s="704"/>
      <c r="F76" s="1674"/>
      <c r="G76" s="999"/>
      <c r="H76" s="1002" t="str">
        <f t="shared" si="19"/>
        <v>——</v>
      </c>
      <c r="I76" s="3065">
        <v>0.08</v>
      </c>
      <c r="J76" s="1000">
        <f t="shared" si="20"/>
        <v>0</v>
      </c>
      <c r="K76" s="1000">
        <f t="shared" si="21"/>
        <v>0</v>
      </c>
      <c r="L76" s="1000">
        <v>0</v>
      </c>
      <c r="M76" s="1000">
        <f t="shared" si="22"/>
        <v>0</v>
      </c>
      <c r="N76" s="1000">
        <f t="shared" si="22"/>
        <v>0</v>
      </c>
      <c r="O76" s="1055"/>
      <c r="P76" s="1055"/>
      <c r="Z76" s="1844"/>
      <c r="AA76" s="1894"/>
      <c r="AG76" s="1057"/>
      <c r="AK76" s="1894"/>
    </row>
    <row r="77" spans="1:37" ht="24">
      <c r="A77" s="1968" t="s">
        <v>2058</v>
      </c>
      <c r="B77" s="1239" t="str">
        <f>估价对象房地状况!C22</f>
        <v>七通</v>
      </c>
      <c r="C77" s="1886"/>
      <c r="D77" s="1001">
        <f t="shared" si="18"/>
        <v>0</v>
      </c>
      <c r="E77" s="704"/>
      <c r="F77" s="1674"/>
      <c r="G77" s="999"/>
      <c r="H77" s="1002" t="str">
        <f t="shared" si="19"/>
        <v>——</v>
      </c>
      <c r="I77" s="3065">
        <v>0.09</v>
      </c>
      <c r="J77" s="1000">
        <f t="shared" si="20"/>
        <v>0</v>
      </c>
      <c r="K77" s="1000">
        <f t="shared" si="21"/>
        <v>0</v>
      </c>
      <c r="L77" s="1000">
        <v>0</v>
      </c>
      <c r="M77" s="1000">
        <f t="shared" si="22"/>
        <v>0</v>
      </c>
      <c r="N77" s="1000">
        <f t="shared" si="22"/>
        <v>0</v>
      </c>
      <c r="O77" s="1055"/>
      <c r="P77" s="1055"/>
      <c r="Z77" s="1844"/>
      <c r="AA77" s="1894"/>
      <c r="AG77" s="1057"/>
      <c r="AK77" s="1894"/>
    </row>
    <row r="78" spans="1:37" ht="24">
      <c r="A78" s="1968" t="s">
        <v>2055</v>
      </c>
      <c r="B78" s="1973" t="s">
        <v>2056</v>
      </c>
      <c r="C78" s="1886"/>
      <c r="D78" s="1001">
        <f t="shared" si="18"/>
        <v>0</v>
      </c>
      <c r="E78" s="704"/>
      <c r="F78" s="1674"/>
      <c r="G78" s="999"/>
      <c r="H78" s="1002" t="str">
        <f t="shared" si="19"/>
        <v>——</v>
      </c>
      <c r="I78" s="3065">
        <v>0.05</v>
      </c>
      <c r="J78" s="1000">
        <f t="shared" si="20"/>
        <v>0</v>
      </c>
      <c r="K78" s="1000">
        <f t="shared" si="21"/>
        <v>0</v>
      </c>
      <c r="L78" s="1000">
        <v>0</v>
      </c>
      <c r="M78" s="1000">
        <f t="shared" si="22"/>
        <v>0</v>
      </c>
      <c r="N78" s="1000">
        <f t="shared" si="22"/>
        <v>0</v>
      </c>
      <c r="O78" s="1843"/>
      <c r="P78" s="1843"/>
      <c r="Z78" s="1844"/>
      <c r="AA78" s="1894"/>
      <c r="AG78" s="1057"/>
      <c r="AK78" s="1894"/>
    </row>
    <row r="79" spans="1:37" ht="24">
      <c r="A79" s="1968" t="s">
        <v>2059</v>
      </c>
      <c r="B79" s="1971" t="str">
        <f>估价对象房地状况!C20</f>
        <v>较好</v>
      </c>
      <c r="C79" s="1886"/>
      <c r="D79" s="1001">
        <f t="shared" si="18"/>
        <v>0</v>
      </c>
      <c r="E79" s="704"/>
      <c r="F79" s="1674"/>
      <c r="G79" s="999"/>
      <c r="H79" s="1002" t="str">
        <f t="shared" si="19"/>
        <v>——</v>
      </c>
      <c r="I79" s="3065">
        <v>0.12</v>
      </c>
      <c r="J79" s="1000">
        <f t="shared" si="20"/>
        <v>0</v>
      </c>
      <c r="K79" s="1000">
        <f t="shared" si="21"/>
        <v>0</v>
      </c>
      <c r="L79" s="1000">
        <v>0</v>
      </c>
      <c r="M79" s="1000">
        <f t="shared" si="22"/>
        <v>0</v>
      </c>
      <c r="N79" s="1000">
        <f t="shared" si="22"/>
        <v>0</v>
      </c>
      <c r="Z79" s="1844"/>
      <c r="AA79" s="1894"/>
      <c r="AG79" s="1057"/>
      <c r="AK79" s="1894"/>
    </row>
    <row r="80" spans="1:37" ht="24.75" thickBot="1">
      <c r="A80" s="1975" t="s">
        <v>2066</v>
      </c>
      <c r="B80" s="1979"/>
      <c r="C80" s="1886"/>
      <c r="D80" s="1001">
        <f t="shared" si="18"/>
        <v>0</v>
      </c>
      <c r="E80" s="705"/>
      <c r="F80" s="1674"/>
      <c r="G80" s="999"/>
      <c r="H80" s="1002" t="str">
        <f t="shared" si="19"/>
        <v>——</v>
      </c>
      <c r="I80" s="3066">
        <v>0.05</v>
      </c>
      <c r="J80" s="1000">
        <f t="shared" si="20"/>
        <v>0</v>
      </c>
      <c r="K80" s="1000">
        <f t="shared" si="21"/>
        <v>0</v>
      </c>
      <c r="L80" s="1000">
        <v>0</v>
      </c>
      <c r="M80" s="1000">
        <f t="shared" si="22"/>
        <v>0</v>
      </c>
      <c r="N80" s="1000">
        <f t="shared" si="22"/>
        <v>0</v>
      </c>
      <c r="Z80" s="1844"/>
      <c r="AA80" s="1894"/>
      <c r="AG80" s="1057"/>
      <c r="AK80" s="1894"/>
    </row>
    <row r="81" spans="1:37" ht="15">
      <c r="A81" s="1965" t="s">
        <v>2067</v>
      </c>
      <c r="B81" s="1966">
        <f>1+E83</f>
        <v>1</v>
      </c>
      <c r="C81" s="698"/>
      <c r="D81" s="698"/>
      <c r="E81" s="699"/>
      <c r="F81" s="1967"/>
      <c r="G81" s="3"/>
      <c r="H81" s="3"/>
      <c r="I81" s="3"/>
      <c r="J81" s="4"/>
      <c r="K81" s="4"/>
      <c r="L81" s="4"/>
      <c r="M81" s="4"/>
      <c r="N81" s="4"/>
      <c r="Z81" s="1844"/>
      <c r="AA81" s="1894"/>
      <c r="AG81" s="1057"/>
      <c r="AK81" s="1894"/>
    </row>
    <row r="82" spans="1:37" ht="24.75">
      <c r="A82" s="1968" t="s">
        <v>2042</v>
      </c>
      <c r="B82" s="1261"/>
      <c r="C82" s="1261" t="s">
        <v>2044</v>
      </c>
      <c r="D82" s="1261" t="s">
        <v>2045</v>
      </c>
      <c r="E82" s="700" t="s">
        <v>2046</v>
      </c>
      <c r="F82" s="1969" t="s">
        <v>2061</v>
      </c>
      <c r="G82" s="1261" t="s">
        <v>310</v>
      </c>
      <c r="H82" s="1970" t="s">
        <v>2048</v>
      </c>
      <c r="I82" s="1261" t="s">
        <v>2049</v>
      </c>
      <c r="J82" s="529" t="s">
        <v>1719</v>
      </c>
      <c r="K82" s="529" t="s">
        <v>1720</v>
      </c>
      <c r="L82" s="529" t="s">
        <v>1721</v>
      </c>
      <c r="M82" s="529" t="s">
        <v>1722</v>
      </c>
      <c r="N82" s="529" t="s">
        <v>1723</v>
      </c>
      <c r="Z82" s="1844"/>
      <c r="AA82" s="1894"/>
      <c r="AG82" s="1057"/>
      <c r="AK82" s="1894"/>
    </row>
    <row r="83" spans="1:37" ht="24">
      <c r="A83" s="1968" t="s">
        <v>2068</v>
      </c>
      <c r="B83" s="1261">
        <f>估价对象房地状况!G15</f>
        <v>0</v>
      </c>
      <c r="C83" s="1886"/>
      <c r="D83" s="1001">
        <f t="shared" ref="D83:D90" si="23">SUMIF($J$82:$N$82,C83,J83:N83)</f>
        <v>0</v>
      </c>
      <c r="E83" s="701">
        <f>ROUND(SUM(D83:D90),4)</f>
        <v>0</v>
      </c>
      <c r="F83" s="1674" t="str">
        <f>IF(E2="工业",SUMIF(L1:L12,G2,N1:N12),"——")</f>
        <v>——</v>
      </c>
      <c r="G83" s="999"/>
      <c r="H83" s="1002" t="str">
        <f t="shared" ref="H83:H90" si="24">IFERROR(ROUNDDOWN($F$83*I83/2,4),"——")</f>
        <v>——</v>
      </c>
      <c r="I83" s="3065">
        <v>0.26</v>
      </c>
      <c r="J83" s="1000">
        <f t="shared" ref="J83:J90" si="25">K83+$G83</f>
        <v>0</v>
      </c>
      <c r="K83" s="1000">
        <f t="shared" ref="K83:K90" si="26">$L83+$G83</f>
        <v>0</v>
      </c>
      <c r="L83" s="1000">
        <v>0</v>
      </c>
      <c r="M83" s="1000">
        <f t="shared" ref="M83:N90" si="27">L83-$G83</f>
        <v>0</v>
      </c>
      <c r="N83" s="1000">
        <f t="shared" si="27"/>
        <v>0</v>
      </c>
      <c r="Z83" s="1844"/>
      <c r="AA83" s="1894"/>
      <c r="AG83" s="1057"/>
      <c r="AK83" s="1894"/>
    </row>
    <row r="84" spans="1:37" ht="14.25">
      <c r="A84" s="1968" t="s">
        <v>2051</v>
      </c>
      <c r="B84" s="1261">
        <f>估价对象房地状况!G16</f>
        <v>0</v>
      </c>
      <c r="C84" s="1886"/>
      <c r="D84" s="1001">
        <f t="shared" si="23"/>
        <v>0</v>
      </c>
      <c r="E84" s="704"/>
      <c r="F84" s="1674"/>
      <c r="G84" s="999"/>
      <c r="H84" s="1002" t="str">
        <f t="shared" si="24"/>
        <v>——</v>
      </c>
      <c r="I84" s="3065">
        <v>0.3</v>
      </c>
      <c r="J84" s="1000">
        <f t="shared" si="25"/>
        <v>0</v>
      </c>
      <c r="K84" s="1000">
        <f t="shared" si="26"/>
        <v>0</v>
      </c>
      <c r="L84" s="1000">
        <v>0</v>
      </c>
      <c r="M84" s="1000">
        <f t="shared" si="27"/>
        <v>0</v>
      </c>
      <c r="N84" s="1000">
        <f t="shared" si="27"/>
        <v>0</v>
      </c>
      <c r="Z84" s="1844"/>
      <c r="AA84" s="1894"/>
      <c r="AG84" s="1057"/>
      <c r="AK84" s="1894"/>
    </row>
    <row r="85" spans="1:37" ht="36">
      <c r="A85" s="3067" t="s">
        <v>3261</v>
      </c>
      <c r="B85" s="1261">
        <f>估价对象房地状况!G17</f>
        <v>0</v>
      </c>
      <c r="C85" s="1886"/>
      <c r="D85" s="1001">
        <f t="shared" si="23"/>
        <v>0</v>
      </c>
      <c r="E85" s="704"/>
      <c r="F85" s="1674"/>
      <c r="G85" s="999"/>
      <c r="H85" s="1002" t="str">
        <f t="shared" si="24"/>
        <v>——</v>
      </c>
      <c r="I85" s="3065">
        <v>0.1</v>
      </c>
      <c r="J85" s="1000">
        <f t="shared" si="25"/>
        <v>0</v>
      </c>
      <c r="K85" s="1000">
        <f t="shared" si="26"/>
        <v>0</v>
      </c>
      <c r="L85" s="1000">
        <v>0</v>
      </c>
      <c r="M85" s="1000">
        <f t="shared" si="27"/>
        <v>0</v>
      </c>
      <c r="N85" s="1000">
        <f t="shared" si="27"/>
        <v>0</v>
      </c>
      <c r="Z85" s="1844"/>
      <c r="AA85" s="1894"/>
      <c r="AG85" s="1057"/>
      <c r="AK85" s="1894"/>
    </row>
    <row r="86" spans="1:37" ht="14.25">
      <c r="A86" s="1968" t="s">
        <v>2065</v>
      </c>
      <c r="B86" s="1261">
        <f>估价对象房地状况!G22</f>
        <v>0</v>
      </c>
      <c r="C86" s="1886"/>
      <c r="D86" s="1001">
        <f t="shared" si="23"/>
        <v>0</v>
      </c>
      <c r="E86" s="704"/>
      <c r="F86" s="1674"/>
      <c r="G86" s="999"/>
      <c r="H86" s="1002" t="str">
        <f t="shared" si="24"/>
        <v>——</v>
      </c>
      <c r="I86" s="3065">
        <v>0.05</v>
      </c>
      <c r="J86" s="1000">
        <f t="shared" si="25"/>
        <v>0</v>
      </c>
      <c r="K86" s="1000">
        <f t="shared" si="26"/>
        <v>0</v>
      </c>
      <c r="L86" s="1000">
        <v>0</v>
      </c>
      <c r="M86" s="1000">
        <f t="shared" si="27"/>
        <v>0</v>
      </c>
      <c r="N86" s="1000">
        <f t="shared" si="27"/>
        <v>0</v>
      </c>
      <c r="Z86" s="1844"/>
      <c r="AA86" s="1894"/>
      <c r="AG86" s="1057"/>
      <c r="AK86" s="1894"/>
    </row>
    <row r="87" spans="1:37" ht="24">
      <c r="A87" s="1968" t="s">
        <v>2057</v>
      </c>
      <c r="B87" s="1239">
        <f>估价对象房地状况!G19</f>
        <v>0</v>
      </c>
      <c r="C87" s="1886"/>
      <c r="D87" s="1001">
        <f t="shared" si="23"/>
        <v>0</v>
      </c>
      <c r="E87" s="704"/>
      <c r="F87" s="1674"/>
      <c r="G87" s="999"/>
      <c r="H87" s="1002" t="str">
        <f t="shared" si="24"/>
        <v>——</v>
      </c>
      <c r="I87" s="3065">
        <v>0.06</v>
      </c>
      <c r="J87" s="1000">
        <f t="shared" si="25"/>
        <v>0</v>
      </c>
      <c r="K87" s="1000">
        <f t="shared" si="26"/>
        <v>0</v>
      </c>
      <c r="L87" s="1000">
        <v>0</v>
      </c>
      <c r="M87" s="1000">
        <f t="shared" si="27"/>
        <v>0</v>
      </c>
      <c r="N87" s="1000">
        <f t="shared" si="27"/>
        <v>0</v>
      </c>
    </row>
    <row r="88" spans="1:37" ht="24">
      <c r="A88" s="1968" t="s">
        <v>2058</v>
      </c>
      <c r="B88" s="1239">
        <f>估价对象房地状况!G20</f>
        <v>0</v>
      </c>
      <c r="C88" s="1886"/>
      <c r="D88" s="1001">
        <f t="shared" si="23"/>
        <v>0</v>
      </c>
      <c r="E88" s="704"/>
      <c r="F88" s="1674"/>
      <c r="G88" s="999"/>
      <c r="H88" s="1002" t="str">
        <f t="shared" si="24"/>
        <v>——</v>
      </c>
      <c r="I88" s="3065">
        <v>0.12</v>
      </c>
      <c r="J88" s="1000">
        <f t="shared" si="25"/>
        <v>0</v>
      </c>
      <c r="K88" s="1000">
        <f t="shared" si="26"/>
        <v>0</v>
      </c>
      <c r="L88" s="1000">
        <v>0</v>
      </c>
      <c r="M88" s="1000">
        <f t="shared" si="27"/>
        <v>0</v>
      </c>
      <c r="N88" s="1000">
        <f t="shared" si="27"/>
        <v>0</v>
      </c>
    </row>
    <row r="89" spans="1:37" ht="24">
      <c r="A89" s="1968" t="s">
        <v>2055</v>
      </c>
      <c r="B89" s="1973" t="s">
        <v>2069</v>
      </c>
      <c r="C89" s="1886"/>
      <c r="D89" s="1001">
        <f t="shared" si="23"/>
        <v>0</v>
      </c>
      <c r="E89" s="704"/>
      <c r="F89" s="1674"/>
      <c r="G89" s="999"/>
      <c r="H89" s="1002" t="str">
        <f t="shared" si="24"/>
        <v>——</v>
      </c>
      <c r="I89" s="3065">
        <v>0.06</v>
      </c>
      <c r="J89" s="1000">
        <f t="shared" si="25"/>
        <v>0</v>
      </c>
      <c r="K89" s="1000">
        <f t="shared" si="26"/>
        <v>0</v>
      </c>
      <c r="L89" s="1000">
        <v>0</v>
      </c>
      <c r="M89" s="1000">
        <f t="shared" si="27"/>
        <v>0</v>
      </c>
      <c r="N89" s="1000">
        <f t="shared" si="27"/>
        <v>0</v>
      </c>
    </row>
    <row r="90" spans="1:37" ht="15" thickBot="1">
      <c r="A90" s="1975" t="s">
        <v>2070</v>
      </c>
      <c r="B90" s="1980">
        <f>估价对象房地状况!G18</f>
        <v>0</v>
      </c>
      <c r="C90" s="1886"/>
      <c r="D90" s="1001">
        <f t="shared" si="23"/>
        <v>0</v>
      </c>
      <c r="E90" s="705"/>
      <c r="F90" s="1674"/>
      <c r="G90" s="999"/>
      <c r="H90" s="1002" t="str">
        <f t="shared" si="24"/>
        <v>——</v>
      </c>
      <c r="I90" s="3066">
        <v>0.05</v>
      </c>
      <c r="J90" s="1000">
        <f t="shared" si="25"/>
        <v>0</v>
      </c>
      <c r="K90" s="1000">
        <f t="shared" si="26"/>
        <v>0</v>
      </c>
      <c r="L90" s="1000">
        <v>0</v>
      </c>
      <c r="M90" s="1000">
        <f t="shared" si="27"/>
        <v>0</v>
      </c>
      <c r="N90" s="1000">
        <f t="shared" si="27"/>
        <v>0</v>
      </c>
    </row>
    <row r="91" spans="1:37" ht="15">
      <c r="A91" s="3075" t="s">
        <v>2599</v>
      </c>
      <c r="B91" s="3076">
        <f>1+E93</f>
        <v>1</v>
      </c>
      <c r="C91" s="3069"/>
      <c r="D91" s="3070"/>
      <c r="E91" s="1674"/>
      <c r="F91" s="1674"/>
      <c r="G91" s="3071"/>
      <c r="H91" s="3072"/>
      <c r="I91" s="3073"/>
      <c r="J91" s="3074"/>
      <c r="K91" s="3074"/>
      <c r="L91" s="3074"/>
      <c r="M91" s="3074"/>
      <c r="N91" s="3074"/>
    </row>
    <row r="92" spans="1:37" ht="24.75">
      <c r="A92" s="3077" t="s">
        <v>3262</v>
      </c>
      <c r="B92" s="2307"/>
      <c r="C92" s="2307" t="s">
        <v>3271</v>
      </c>
      <c r="D92" s="2307" t="s">
        <v>3272</v>
      </c>
      <c r="E92" s="3049" t="s">
        <v>3273</v>
      </c>
      <c r="F92" s="3079" t="s">
        <v>3274</v>
      </c>
      <c r="G92" s="2307" t="s">
        <v>3275</v>
      </c>
      <c r="H92" s="3086" t="s">
        <v>3278</v>
      </c>
      <c r="I92" s="2307" t="s">
        <v>3279</v>
      </c>
      <c r="J92" s="2148" t="s">
        <v>3280</v>
      </c>
      <c r="K92" s="2148" t="s">
        <v>3281</v>
      </c>
      <c r="L92" s="2148" t="s">
        <v>3282</v>
      </c>
      <c r="M92" s="2148" t="s">
        <v>3283</v>
      </c>
      <c r="N92" s="2148" t="s">
        <v>3284</v>
      </c>
    </row>
    <row r="93" spans="1:37" ht="24">
      <c r="A93" s="3067" t="s">
        <v>3263</v>
      </c>
      <c r="B93" s="1220"/>
      <c r="C93" s="1886"/>
      <c r="D93" s="2307">
        <f>SUMIF($J$92:$N$92,C93,J93:N93)</f>
        <v>0</v>
      </c>
      <c r="E93" s="3080">
        <f>ROUND(SUM(D93:D101),4)</f>
        <v>0</v>
      </c>
      <c r="F93" s="1674" t="str">
        <f>IF(E2="公共服务",SUMIF(L1:L12,G2,N1:N12),"——")</f>
        <v>——</v>
      </c>
      <c r="G93" s="3071"/>
      <c r="H93" s="3116" t="str">
        <f>IFERROR(ROUNDDOWN($F$93*I93/2,4),"——")</f>
        <v>——</v>
      </c>
      <c r="I93" s="3065">
        <v>0.25</v>
      </c>
      <c r="J93" s="1910">
        <f t="shared" ref="J93:J101" si="28">K93+$G93</f>
        <v>0</v>
      </c>
      <c r="K93" s="1910">
        <f t="shared" ref="K93:K101" si="29">$L93+$G93</f>
        <v>0</v>
      </c>
      <c r="L93" s="1910">
        <v>0</v>
      </c>
      <c r="M93" s="1910">
        <f t="shared" ref="M93:N101" si="30">L93-$G93</f>
        <v>0</v>
      </c>
      <c r="N93" s="1910">
        <f t="shared" si="30"/>
        <v>0</v>
      </c>
    </row>
    <row r="94" spans="1:37" ht="14.25">
      <c r="A94" s="3077" t="s">
        <v>3264</v>
      </c>
      <c r="B94" s="3068" t="str">
        <f>估价对象房地状况!C18</f>
        <v>较好</v>
      </c>
      <c r="C94" s="1886"/>
      <c r="D94" s="2307">
        <f t="shared" ref="D94:D101" si="31">SUMIF($J$60:$N$60,C94,J94:N94)</f>
        <v>0</v>
      </c>
      <c r="E94" s="3081"/>
      <c r="F94" s="1674"/>
      <c r="G94" s="3071"/>
      <c r="H94" s="3116" t="str">
        <f>IFERROR(ROUNDDOWN($F$93*I94/2,4),"——")</f>
        <v>——</v>
      </c>
      <c r="I94" s="3065">
        <v>0.26</v>
      </c>
      <c r="J94" s="1910">
        <f t="shared" si="28"/>
        <v>0</v>
      </c>
      <c r="K94" s="1910">
        <f t="shared" si="29"/>
        <v>0</v>
      </c>
      <c r="L94" s="1910">
        <v>0</v>
      </c>
      <c r="M94" s="1910">
        <f t="shared" si="30"/>
        <v>0</v>
      </c>
      <c r="N94" s="1910">
        <f t="shared" si="30"/>
        <v>0</v>
      </c>
    </row>
    <row r="95" spans="1:37" ht="36">
      <c r="A95" s="3067" t="s">
        <v>3260</v>
      </c>
      <c r="B95" s="3068">
        <f>估价对象房地状况!C19</f>
        <v>0</v>
      </c>
      <c r="C95" s="1886"/>
      <c r="D95" s="2307">
        <f t="shared" si="31"/>
        <v>0</v>
      </c>
      <c r="E95" s="3081"/>
      <c r="F95" s="1674"/>
      <c r="G95" s="3071"/>
      <c r="H95" s="3116" t="str">
        <f t="shared" ref="H95:H101" si="32">IFERROR(ROUNDDOWN($F$93*I95/2,4),"——")</f>
        <v>——</v>
      </c>
      <c r="I95" s="3065">
        <v>0.11</v>
      </c>
      <c r="J95" s="1910">
        <f t="shared" si="28"/>
        <v>0</v>
      </c>
      <c r="K95" s="1910">
        <f t="shared" si="29"/>
        <v>0</v>
      </c>
      <c r="L95" s="1910">
        <v>0</v>
      </c>
      <c r="M95" s="1910">
        <f t="shared" si="30"/>
        <v>0</v>
      </c>
      <c r="N95" s="1910">
        <f t="shared" si="30"/>
        <v>0</v>
      </c>
    </row>
    <row r="96" spans="1:37" ht="36.75">
      <c r="A96" s="3077" t="s">
        <v>3265</v>
      </c>
      <c r="B96" s="3083" t="s">
        <v>3276</v>
      </c>
      <c r="C96" s="1886"/>
      <c r="D96" s="2307">
        <f t="shared" si="31"/>
        <v>0</v>
      </c>
      <c r="E96" s="3081"/>
      <c r="F96" s="1674"/>
      <c r="G96" s="3071"/>
      <c r="H96" s="3116" t="str">
        <f t="shared" si="32"/>
        <v>——</v>
      </c>
      <c r="I96" s="3065">
        <v>0.05</v>
      </c>
      <c r="J96" s="1910">
        <f t="shared" si="28"/>
        <v>0</v>
      </c>
      <c r="K96" s="1910">
        <f t="shared" si="29"/>
        <v>0</v>
      </c>
      <c r="L96" s="1910">
        <v>0</v>
      </c>
      <c r="M96" s="1910">
        <f t="shared" si="30"/>
        <v>0</v>
      </c>
      <c r="N96" s="1910">
        <f t="shared" si="30"/>
        <v>0</v>
      </c>
    </row>
    <row r="97" spans="1:14" ht="24">
      <c r="A97" s="3077" t="s">
        <v>3266</v>
      </c>
      <c r="B97" s="3068" t="str">
        <f>估价对象房地状况!C24</f>
        <v>次干道</v>
      </c>
      <c r="C97" s="1886"/>
      <c r="D97" s="2307">
        <f t="shared" si="31"/>
        <v>0</v>
      </c>
      <c r="E97" s="3081"/>
      <c r="F97" s="1674"/>
      <c r="G97" s="3071"/>
      <c r="H97" s="3116" t="str">
        <f t="shared" si="32"/>
        <v>——</v>
      </c>
      <c r="I97" s="3065">
        <v>0.05</v>
      </c>
      <c r="J97" s="1910">
        <f t="shared" si="28"/>
        <v>0</v>
      </c>
      <c r="K97" s="1910">
        <f t="shared" si="29"/>
        <v>0</v>
      </c>
      <c r="L97" s="1910">
        <v>0</v>
      </c>
      <c r="M97" s="1910">
        <f t="shared" si="30"/>
        <v>0</v>
      </c>
      <c r="N97" s="1910">
        <f t="shared" si="30"/>
        <v>0</v>
      </c>
    </row>
    <row r="98" spans="1:14" ht="24">
      <c r="A98" s="3077" t="s">
        <v>3267</v>
      </c>
      <c r="B98" s="3084" t="s">
        <v>3277</v>
      </c>
      <c r="C98" s="1886"/>
      <c r="D98" s="2307">
        <f t="shared" si="31"/>
        <v>0</v>
      </c>
      <c r="E98" s="3081"/>
      <c r="F98" s="1674"/>
      <c r="G98" s="3071"/>
      <c r="H98" s="3116" t="str">
        <f t="shared" si="32"/>
        <v>——</v>
      </c>
      <c r="I98" s="3065">
        <v>0.06</v>
      </c>
      <c r="J98" s="1910">
        <f t="shared" si="28"/>
        <v>0</v>
      </c>
      <c r="K98" s="1910">
        <f t="shared" si="29"/>
        <v>0</v>
      </c>
      <c r="L98" s="1910">
        <v>0</v>
      </c>
      <c r="M98" s="1910">
        <f t="shared" si="30"/>
        <v>0</v>
      </c>
      <c r="N98" s="1910">
        <f t="shared" si="30"/>
        <v>0</v>
      </c>
    </row>
    <row r="99" spans="1:14" ht="24">
      <c r="A99" s="3077" t="s">
        <v>3268</v>
      </c>
      <c r="B99" s="3068" t="str">
        <f>估价对象房地状况!C21</f>
        <v>好</v>
      </c>
      <c r="C99" s="1886"/>
      <c r="D99" s="2307">
        <f t="shared" si="31"/>
        <v>0</v>
      </c>
      <c r="E99" s="3081"/>
      <c r="F99" s="1674"/>
      <c r="G99" s="3071"/>
      <c r="H99" s="3116" t="str">
        <f t="shared" si="32"/>
        <v>——</v>
      </c>
      <c r="I99" s="3065">
        <v>0.06</v>
      </c>
      <c r="J99" s="1910">
        <f t="shared" si="28"/>
        <v>0</v>
      </c>
      <c r="K99" s="1910">
        <f t="shared" si="29"/>
        <v>0</v>
      </c>
      <c r="L99" s="1910">
        <v>0</v>
      </c>
      <c r="M99" s="1910">
        <f t="shared" si="30"/>
        <v>0</v>
      </c>
      <c r="N99" s="1910">
        <f t="shared" si="30"/>
        <v>0</v>
      </c>
    </row>
    <row r="100" spans="1:14" ht="24">
      <c r="A100" s="3077" t="s">
        <v>3269</v>
      </c>
      <c r="B100" s="3068" t="str">
        <f>估价对象房地状况!C22</f>
        <v>七通</v>
      </c>
      <c r="C100" s="1886"/>
      <c r="D100" s="2307">
        <f t="shared" si="31"/>
        <v>0</v>
      </c>
      <c r="E100" s="3081"/>
      <c r="F100" s="1674"/>
      <c r="G100" s="3071"/>
      <c r="H100" s="3116" t="str">
        <f t="shared" si="32"/>
        <v>——</v>
      </c>
      <c r="I100" s="3065">
        <v>0.09</v>
      </c>
      <c r="J100" s="1910">
        <f t="shared" si="28"/>
        <v>0</v>
      </c>
      <c r="K100" s="1910">
        <f t="shared" si="29"/>
        <v>0</v>
      </c>
      <c r="L100" s="1910">
        <v>0</v>
      </c>
      <c r="M100" s="1910">
        <f t="shared" si="30"/>
        <v>0</v>
      </c>
      <c r="N100" s="1910">
        <f t="shared" si="30"/>
        <v>0</v>
      </c>
    </row>
    <row r="101" spans="1:14" ht="24.75" thickBot="1">
      <c r="A101" s="3078" t="s">
        <v>3270</v>
      </c>
      <c r="B101" s="3085" t="str">
        <f>估价对象房地状况!C20</f>
        <v>较好</v>
      </c>
      <c r="C101" s="1886"/>
      <c r="D101" s="2307">
        <f t="shared" si="31"/>
        <v>0</v>
      </c>
      <c r="E101" s="3082"/>
      <c r="F101" s="1674"/>
      <c r="G101" s="3071"/>
      <c r="H101" s="3116" t="str">
        <f t="shared" si="32"/>
        <v>——</v>
      </c>
      <c r="I101" s="3066">
        <v>7.0000000000000007E-2</v>
      </c>
      <c r="J101" s="1910">
        <f t="shared" si="28"/>
        <v>0</v>
      </c>
      <c r="K101" s="1910">
        <f t="shared" si="29"/>
        <v>0</v>
      </c>
      <c r="L101" s="1910">
        <v>0</v>
      </c>
      <c r="M101" s="1910">
        <f t="shared" si="30"/>
        <v>0</v>
      </c>
      <c r="N101" s="1910">
        <f t="shared" si="30"/>
        <v>0</v>
      </c>
    </row>
    <row r="103" spans="1:14">
      <c r="A103" s="3436" t="s">
        <v>3285</v>
      </c>
      <c r="B103" s="3436"/>
      <c r="C103" s="3436"/>
      <c r="D103" s="3436"/>
      <c r="E103" s="3436"/>
      <c r="F103" s="3436"/>
      <c r="G103" s="3436"/>
      <c r="H103" s="3436"/>
      <c r="I103" s="3436"/>
      <c r="J103" s="3436"/>
      <c r="K103" s="1666"/>
      <c r="L103" s="1666"/>
      <c r="M103" s="1666"/>
      <c r="N103" s="1666"/>
    </row>
    <row r="104" spans="1:14">
      <c r="A104" s="3437" t="s">
        <v>3286</v>
      </c>
      <c r="B104" s="3437" t="s">
        <v>3287</v>
      </c>
      <c r="C104" s="3087" t="s">
        <v>3288</v>
      </c>
      <c r="D104" s="3088"/>
      <c r="E104" s="3088"/>
      <c r="F104" s="3088"/>
      <c r="G104" s="3088"/>
      <c r="H104" s="3088"/>
      <c r="I104" s="3088"/>
      <c r="J104" s="3089"/>
      <c r="K104" s="3090"/>
      <c r="L104" s="3090"/>
      <c r="M104" s="3090"/>
      <c r="N104" s="3090"/>
    </row>
    <row r="105" spans="1:14">
      <c r="A105" s="3437"/>
      <c r="B105" s="3437"/>
      <c r="C105" s="3091" t="s">
        <v>3289</v>
      </c>
      <c r="D105" s="3091" t="s">
        <v>3290</v>
      </c>
      <c r="E105" s="3091" t="s">
        <v>3291</v>
      </c>
      <c r="F105" s="3091" t="s">
        <v>3292</v>
      </c>
      <c r="G105" s="3091" t="s">
        <v>3293</v>
      </c>
      <c r="H105" s="3091" t="s">
        <v>3294</v>
      </c>
      <c r="I105" s="3091" t="s">
        <v>3295</v>
      </c>
      <c r="J105" s="3091" t="s">
        <v>3296</v>
      </c>
      <c r="K105" s="3091" t="s">
        <v>3297</v>
      </c>
      <c r="L105" s="3091" t="s">
        <v>3298</v>
      </c>
      <c r="M105" s="3091" t="s">
        <v>3299</v>
      </c>
      <c r="N105" s="3091" t="s">
        <v>3300</v>
      </c>
    </row>
    <row r="106" spans="1:14">
      <c r="A106" s="3423" t="s">
        <v>3301</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24"/>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24"/>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24"/>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24"/>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24"/>
      <c r="B111" s="3091" t="s">
        <v>3259</v>
      </c>
      <c r="C111" s="3092">
        <f>$I$3</f>
        <v>1</v>
      </c>
      <c r="D111" s="3092">
        <f t="shared" ref="D111:M111" si="33">$I$3</f>
        <v>1</v>
      </c>
      <c r="E111" s="3092">
        <f t="shared" si="33"/>
        <v>1</v>
      </c>
      <c r="F111" s="3092">
        <f t="shared" si="33"/>
        <v>1</v>
      </c>
      <c r="G111" s="3092">
        <f t="shared" si="33"/>
        <v>1</v>
      </c>
      <c r="H111" s="3092">
        <f t="shared" si="33"/>
        <v>1</v>
      </c>
      <c r="I111" s="3092">
        <f t="shared" si="33"/>
        <v>1</v>
      </c>
      <c r="J111" s="3092">
        <f t="shared" si="33"/>
        <v>1</v>
      </c>
      <c r="K111" s="3092">
        <f t="shared" si="33"/>
        <v>1</v>
      </c>
      <c r="L111" s="3092">
        <f t="shared" si="33"/>
        <v>1</v>
      </c>
      <c r="M111" s="3092">
        <f t="shared" si="33"/>
        <v>1</v>
      </c>
      <c r="N111" s="3092">
        <f>$I$3</f>
        <v>1</v>
      </c>
    </row>
    <row r="112" spans="1:14">
      <c r="A112" s="3425"/>
      <c r="B112" s="3091">
        <v>6</v>
      </c>
      <c r="C112" s="3086">
        <f>(-0.5556*(C111^2)-0.2719*C111+8944)*(10^(-4))</f>
        <v>0.89431725000000006</v>
      </c>
      <c r="D112" s="3086">
        <f>(-0.5556*(D111^2)-0.2719*D111+8944)*(10^(-4))</f>
        <v>0.89431725000000006</v>
      </c>
      <c r="E112" s="3086">
        <f>(-0.7912*(E111^2)-11.3794*E111+8482)*(10^(-4))</f>
        <v>0.84698294000000007</v>
      </c>
      <c r="F112" s="3086">
        <f t="shared" ref="F112:I112" si="34">(-0.7912*(F111^2)-11.3794*F111+8482)*(10^(-4))</f>
        <v>0.84698294000000007</v>
      </c>
      <c r="G112" s="3086">
        <f t="shared" si="34"/>
        <v>0.84698294000000007</v>
      </c>
      <c r="H112" s="3086">
        <f t="shared" si="34"/>
        <v>0.84698294000000007</v>
      </c>
      <c r="I112" s="3086">
        <f t="shared" si="34"/>
        <v>0.84698294000000007</v>
      </c>
      <c r="J112" s="3086">
        <f>(-0.989*(J111^2)-63.78*J111+7771)*(10^(-4))</f>
        <v>0.77062310000000001</v>
      </c>
      <c r="K112" s="3086">
        <f t="shared" ref="K112:N112" si="35">(-0.989*(K111^2)-63.78*K111+7771)*(10^(-4))</f>
        <v>0.77062310000000001</v>
      </c>
      <c r="L112" s="3086">
        <f t="shared" si="35"/>
        <v>0.77062310000000001</v>
      </c>
      <c r="M112" s="3086">
        <f t="shared" si="35"/>
        <v>0.77062310000000001</v>
      </c>
      <c r="N112" s="3086">
        <f t="shared" si="35"/>
        <v>0.77062310000000001</v>
      </c>
    </row>
    <row r="113" spans="1:14">
      <c r="A113" s="3426" t="s">
        <v>3302</v>
      </c>
      <c r="B113" s="3426"/>
      <c r="C113" s="3426"/>
      <c r="D113" s="3426"/>
      <c r="E113" s="3426"/>
      <c r="F113" s="3426"/>
      <c r="G113" s="3426"/>
      <c r="H113" s="3426"/>
      <c r="I113" s="3426"/>
      <c r="J113" s="3426"/>
      <c r="K113" s="3093"/>
      <c r="L113" s="3093"/>
      <c r="M113" s="3093"/>
      <c r="N113" s="3093"/>
    </row>
    <row r="114" spans="1:14">
      <c r="A114" s="3094"/>
      <c r="B114" s="3094"/>
      <c r="C114" s="3094"/>
      <c r="D114" s="3094"/>
      <c r="E114" s="3094"/>
      <c r="F114" s="3094"/>
      <c r="G114" s="3094"/>
      <c r="H114" s="3094"/>
      <c r="I114" s="3094"/>
      <c r="J114" s="3094"/>
      <c r="K114" s="1962"/>
      <c r="L114" s="3094"/>
      <c r="M114" s="3094"/>
      <c r="N114" s="3094"/>
    </row>
    <row r="115" spans="1:14" ht="13.5" thickBot="1">
      <c r="A115" s="3094"/>
      <c r="B115" s="3094"/>
      <c r="C115" s="3094"/>
      <c r="D115" s="3094"/>
      <c r="E115" s="3094"/>
      <c r="F115" s="3094"/>
      <c r="G115" s="3094"/>
      <c r="H115" s="3094"/>
      <c r="I115" s="3094"/>
      <c r="J115" s="3094"/>
      <c r="K115" s="1962"/>
      <c r="L115" s="3094"/>
      <c r="M115" s="3094"/>
      <c r="N115" s="3094"/>
    </row>
    <row r="116" spans="1:14" ht="25.5" thickBot="1">
      <c r="A116" s="3095" t="s">
        <v>3303</v>
      </c>
      <c r="B116" s="3111">
        <f>G3</f>
        <v>3.97</v>
      </c>
      <c r="C116" s="3096" t="s">
        <v>3304</v>
      </c>
      <c r="D116" s="3097">
        <f>SUMPRODUCT((A118:A122=F116)*(B117:M117=H116)*B118:M122)</f>
        <v>0.95309999999999995</v>
      </c>
      <c r="E116" s="162" t="s">
        <v>3305</v>
      </c>
      <c r="F116" s="3098" t="str">
        <f>E2</f>
        <v>商业</v>
      </c>
      <c r="G116" s="162" t="s">
        <v>3306</v>
      </c>
      <c r="H116" s="3098" t="str">
        <f>G2</f>
        <v>二级</v>
      </c>
      <c r="I116" s="162"/>
      <c r="J116" s="3099"/>
      <c r="K116" s="3099"/>
      <c r="L116" s="3099"/>
      <c r="M116" s="3099"/>
      <c r="N116" s="3094"/>
    </row>
    <row r="117" spans="1:14">
      <c r="A117" s="3100"/>
      <c r="B117" s="3101" t="s">
        <v>3307</v>
      </c>
      <c r="C117" s="3101" t="s">
        <v>3308</v>
      </c>
      <c r="D117" s="3101" t="s">
        <v>3309</v>
      </c>
      <c r="E117" s="3102" t="s">
        <v>3310</v>
      </c>
      <c r="F117" s="3102" t="s">
        <v>3311</v>
      </c>
      <c r="G117" s="3102" t="s">
        <v>3312</v>
      </c>
      <c r="H117" s="3103" t="s">
        <v>3313</v>
      </c>
      <c r="I117" s="3103" t="s">
        <v>3314</v>
      </c>
      <c r="J117" s="3104" t="s">
        <v>3315</v>
      </c>
      <c r="K117" s="3104" t="s">
        <v>3316</v>
      </c>
      <c r="L117" s="3104" t="s">
        <v>3317</v>
      </c>
      <c r="M117" s="3105" t="s">
        <v>3318</v>
      </c>
      <c r="N117" s="3094"/>
    </row>
    <row r="118" spans="1:14">
      <c r="A118" s="3054" t="s">
        <v>3319</v>
      </c>
      <c r="B118" s="3086">
        <f>ROUND(0.9968-0.011*B116,4)</f>
        <v>0.95309999999999995</v>
      </c>
      <c r="C118" s="3086">
        <f>B118</f>
        <v>0.95309999999999995</v>
      </c>
      <c r="D118" s="3086">
        <f>ROUND(0.949-0.014*B116,4)</f>
        <v>0.89339999999999997</v>
      </c>
      <c r="E118" s="3086">
        <f>D118</f>
        <v>0.89339999999999997</v>
      </c>
      <c r="F118" s="3086">
        <f>E118</f>
        <v>0.89339999999999997</v>
      </c>
      <c r="G118" s="3086">
        <f>F118</f>
        <v>0.89339999999999997</v>
      </c>
      <c r="H118" s="3086">
        <f>G118</f>
        <v>0.89339999999999997</v>
      </c>
      <c r="I118" s="3086">
        <f>ROUND(0.8486-0.018*B116,4)</f>
        <v>0.77710000000000001</v>
      </c>
      <c r="J118" s="3086">
        <f t="shared" ref="J118:M122" si="36">I118</f>
        <v>0.77710000000000001</v>
      </c>
      <c r="K118" s="3086">
        <f t="shared" si="36"/>
        <v>0.77710000000000001</v>
      </c>
      <c r="L118" s="3086">
        <f t="shared" si="36"/>
        <v>0.77710000000000001</v>
      </c>
      <c r="M118" s="3106">
        <f t="shared" si="36"/>
        <v>0.77710000000000001</v>
      </c>
      <c r="N118" s="3094"/>
    </row>
    <row r="119" spans="1:14">
      <c r="A119" s="3054" t="s">
        <v>3320</v>
      </c>
      <c r="B119" s="3086">
        <f>ROUND(0.993-0.0112*B116,4)</f>
        <v>0.94850000000000001</v>
      </c>
      <c r="C119" s="3086">
        <f>B119</f>
        <v>0.94850000000000001</v>
      </c>
      <c r="D119" s="3086">
        <f>ROUND(0.9415-0.0142*B116,4)</f>
        <v>0.8851</v>
      </c>
      <c r="E119" s="3086">
        <f t="shared" ref="E119:H120" si="37">D119</f>
        <v>0.8851</v>
      </c>
      <c r="F119" s="3086">
        <f t="shared" si="37"/>
        <v>0.8851</v>
      </c>
      <c r="G119" s="3086">
        <f t="shared" si="37"/>
        <v>0.8851</v>
      </c>
      <c r="H119" s="3086">
        <f t="shared" si="37"/>
        <v>0.8851</v>
      </c>
      <c r="I119" s="3086">
        <f>ROUND(0.838-0.0182*B116,4)</f>
        <v>0.76570000000000005</v>
      </c>
      <c r="J119" s="3086">
        <f t="shared" si="36"/>
        <v>0.76570000000000005</v>
      </c>
      <c r="K119" s="3086">
        <f t="shared" si="36"/>
        <v>0.76570000000000005</v>
      </c>
      <c r="L119" s="3086">
        <f t="shared" si="36"/>
        <v>0.76570000000000005</v>
      </c>
      <c r="M119" s="3106">
        <f t="shared" si="36"/>
        <v>0.76570000000000005</v>
      </c>
      <c r="N119" s="3094"/>
    </row>
    <row r="120" spans="1:14">
      <c r="A120" s="3054" t="s">
        <v>3321</v>
      </c>
      <c r="B120" s="3086">
        <f>ROUND(0.9448-0.0115*B116,4)</f>
        <v>0.89910000000000001</v>
      </c>
      <c r="C120" s="3086">
        <f>B120</f>
        <v>0.89910000000000001</v>
      </c>
      <c r="D120" s="3086">
        <f>ROUND(0.937-0.0145*B116,4)</f>
        <v>0.87939999999999996</v>
      </c>
      <c r="E120" s="3086">
        <f t="shared" si="37"/>
        <v>0.87939999999999996</v>
      </c>
      <c r="F120" s="3086">
        <f t="shared" si="37"/>
        <v>0.87939999999999996</v>
      </c>
      <c r="G120" s="3086">
        <f t="shared" si="37"/>
        <v>0.87939999999999996</v>
      </c>
      <c r="H120" s="3086">
        <f t="shared" si="37"/>
        <v>0.87939999999999996</v>
      </c>
      <c r="I120" s="3086">
        <f>ROUND(0.7965-0.0185*B116,4)</f>
        <v>0.72309999999999997</v>
      </c>
      <c r="J120" s="3086">
        <f t="shared" si="36"/>
        <v>0.72309999999999997</v>
      </c>
      <c r="K120" s="3086">
        <f t="shared" si="36"/>
        <v>0.72309999999999997</v>
      </c>
      <c r="L120" s="3086">
        <f t="shared" si="36"/>
        <v>0.72309999999999997</v>
      </c>
      <c r="M120" s="3106">
        <f t="shared" si="36"/>
        <v>0.72309999999999997</v>
      </c>
      <c r="N120" s="3094"/>
    </row>
    <row r="121" spans="1:14" ht="13.5" thickBot="1">
      <c r="A121" s="3107" t="s">
        <v>3322</v>
      </c>
      <c r="B121" s="3108">
        <f>ROUND(0.7836-0.012*B116,4)</f>
        <v>0.73599999999999999</v>
      </c>
      <c r="C121" s="3108">
        <f>B121</f>
        <v>0.73599999999999999</v>
      </c>
      <c r="D121" s="3108">
        <f>ROUND(0.753-0.015*B116,4)</f>
        <v>0.69350000000000001</v>
      </c>
      <c r="E121" s="3108">
        <f>D121</f>
        <v>0.69350000000000001</v>
      </c>
      <c r="F121" s="3108">
        <f>E121</f>
        <v>0.69350000000000001</v>
      </c>
      <c r="G121" s="3108">
        <f>ROUND(0.6612-0.018*B116,4)</f>
        <v>0.5897</v>
      </c>
      <c r="H121" s="3108">
        <f>G121</f>
        <v>0.5897</v>
      </c>
      <c r="I121" s="3108">
        <f>ROUND(0.5905-0.019*B116,4)</f>
        <v>0.5151</v>
      </c>
      <c r="J121" s="3108">
        <f t="shared" si="36"/>
        <v>0.5151</v>
      </c>
      <c r="K121" s="3108">
        <f t="shared" si="36"/>
        <v>0.5151</v>
      </c>
      <c r="L121" s="3108">
        <f t="shared" si="36"/>
        <v>0.5151</v>
      </c>
      <c r="M121" s="3109">
        <f t="shared" si="36"/>
        <v>0.5151</v>
      </c>
      <c r="N121" s="3094"/>
    </row>
    <row r="122" spans="1:14">
      <c r="A122" s="3110" t="s">
        <v>2599</v>
      </c>
      <c r="B122" s="3086">
        <f>ROUND(0.9404-0.0106*B116,4)</f>
        <v>0.89829999999999999</v>
      </c>
      <c r="C122" s="3086">
        <f>B122</f>
        <v>0.89829999999999999</v>
      </c>
      <c r="D122" s="3086">
        <f>ROUND(0.8955-0.0135*B116,4)</f>
        <v>0.84189999999999998</v>
      </c>
      <c r="E122" s="3086">
        <f t="shared" ref="E122:H122" si="38">D122</f>
        <v>0.84189999999999998</v>
      </c>
      <c r="F122" s="3086">
        <f t="shared" si="38"/>
        <v>0.84189999999999998</v>
      </c>
      <c r="G122" s="3086">
        <f t="shared" si="38"/>
        <v>0.84189999999999998</v>
      </c>
      <c r="H122" s="3086">
        <f t="shared" si="38"/>
        <v>0.84189999999999998</v>
      </c>
      <c r="I122" s="3086">
        <f>ROUND(0.7632-0.0166*B116,4)</f>
        <v>0.69730000000000003</v>
      </c>
      <c r="J122" s="3086">
        <f t="shared" si="36"/>
        <v>0.69730000000000003</v>
      </c>
      <c r="K122" s="3086">
        <f t="shared" si="36"/>
        <v>0.69730000000000003</v>
      </c>
      <c r="L122" s="3086">
        <f t="shared" si="36"/>
        <v>0.69730000000000003</v>
      </c>
      <c r="M122" s="3106">
        <f t="shared" si="36"/>
        <v>0.69730000000000003</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E15" xr:uid="{00000000-0002-0000-1900-000000000000}">
      <formula1>"500米范围内,500-1000米,1000米以外"</formula1>
    </dataValidation>
    <dataValidation type="list" allowBlank="1" showInputMessage="1" showErrorMessage="1" sqref="C15:D15" xr:uid="{00000000-0002-0000-1900-000001000000}">
      <formula1>"有,无"</formula1>
    </dataValidation>
    <dataValidation type="list" allowBlank="1" showInputMessage="1" showErrorMessage="1" sqref="B25" xr:uid="{00000000-0002-0000-1900-000002000000}">
      <formula1>"容积率修正,楼层修正"</formula1>
    </dataValidation>
    <dataValidation type="list" allowBlank="1" showInputMessage="1" showErrorMessage="1" sqref="F21" xr:uid="{00000000-0002-0000-1900-000003000000}">
      <formula1>"与级别开发程度一致,与级别开发程度不一致"</formula1>
    </dataValidation>
    <dataValidation type="list" allowBlank="1" showInputMessage="1" showErrorMessage="1" sqref="E2" xr:uid="{00000000-0002-0000-1900-000004000000}">
      <formula1>"商业,办公,住宅,工业,公共服务"</formula1>
    </dataValidation>
    <dataValidation type="list" allowBlank="1" showInputMessage="1" showErrorMessage="1" sqref="F3" xr:uid="{00000000-0002-0000-1900-000005000000}">
      <formula1>"宗地容积率,估价对象容积率,自定义容积率"</formula1>
    </dataValidation>
    <dataValidation type="list" allowBlank="1" showInputMessage="1" showErrorMessage="1" sqref="C8" xr:uid="{00000000-0002-0000-1900-000006000000}">
      <formula1>商业街名称</formula1>
    </dataValidation>
    <dataValidation type="list" allowBlank="1" showInputMessage="1" showErrorMessage="1" sqref="E3" xr:uid="{00000000-0002-0000-1900-000007000000}">
      <formula1>二级分类</formula1>
    </dataValidation>
    <dataValidation type="list" allowBlank="1" showInputMessage="1" showErrorMessage="1" sqref="C61:C69 C72:C80 C50:C58 C83:C91 C93:C101" xr:uid="{00000000-0002-0000-1900-000008000000}">
      <formula1>五等判定</formula1>
    </dataValidation>
    <dataValidation type="list" allowBlank="1" showInputMessage="1" showErrorMessage="1" sqref="H23" xr:uid="{00000000-0002-0000-1900-000009000000}">
      <formula1>"地价指数,季度增幅（自定义）,按公示增长率计算"</formula1>
    </dataValidation>
    <dataValidation type="list" allowBlank="1" showInputMessage="1" showErrorMessage="1" sqref="H20:O20" xr:uid="{00000000-0002-0000-1900-00000A000000}">
      <formula1>七通一平</formula1>
    </dataValidation>
    <dataValidation type="list" allowBlank="1" showInputMessage="1" showErrorMessage="1" sqref="J23" xr:uid="{00000000-0002-0000-19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80" zoomScaleNormal="70" zoomScaleSheetLayoutView="80" workbookViewId="0">
      <selection activeCell="D22" sqref="D22"/>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3649</v>
      </c>
      <c r="D1" s="1270" t="s">
        <v>43</v>
      </c>
      <c r="E1" s="1271" t="s">
        <v>678</v>
      </c>
      <c r="F1" s="998">
        <f ca="1">J53</f>
        <v>40</v>
      </c>
      <c r="G1" s="1285">
        <f>MATCH(C1,'数据-取费表'!A6:A16,0)+5</f>
        <v>6</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0">
        <f ca="1">ROUND(D2/10000,4)</f>
        <v>697.60239999999999</v>
      </c>
      <c r="C2" s="1288" t="s">
        <v>879</v>
      </c>
      <c r="D2" s="1374">
        <f ca="1">C40+J29+L46</f>
        <v>6976024</v>
      </c>
      <c r="E2" s="1294" t="s">
        <v>880</v>
      </c>
      <c r="F2" s="1295"/>
      <c r="G2" s="2475"/>
      <c r="H2" s="2465"/>
      <c r="I2" s="2465"/>
      <c r="J2" s="2465"/>
      <c r="K2" s="2466"/>
      <c r="L2" s="2465"/>
      <c r="M2" s="2465"/>
    </row>
    <row r="3" spans="1:37" ht="18" customHeight="1" thickBot="1">
      <c r="A3" s="1296" t="s">
        <v>881</v>
      </c>
      <c r="B3" s="1297">
        <f ca="1">IF(ISERROR(D2/F43),0,ROUND(D2/F43,0))</f>
        <v>61512</v>
      </c>
      <c r="C3" s="1288" t="s">
        <v>882</v>
      </c>
      <c r="D3" s="1288"/>
      <c r="E3" s="1294"/>
      <c r="F3" s="1295"/>
      <c r="G3" s="2475"/>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447621</v>
      </c>
      <c r="D5" s="1272" t="s">
        <v>889</v>
      </c>
      <c r="E5" s="1007"/>
      <c r="F5" s="1008"/>
      <c r="G5" s="1291"/>
      <c r="H5" s="290">
        <v>1</v>
      </c>
      <c r="I5" s="291" t="s">
        <v>888</v>
      </c>
      <c r="J5" s="1006">
        <f ca="1">J6+J10+J12</f>
        <v>0</v>
      </c>
      <c r="K5" s="1272" t="s">
        <v>889</v>
      </c>
      <c r="L5" s="1007"/>
      <c r="M5" s="1008"/>
    </row>
    <row r="6" spans="1:37" ht="18" customHeight="1">
      <c r="A6" s="1005" t="s">
        <v>398</v>
      </c>
      <c r="B6" s="3442" t="s">
        <v>694</v>
      </c>
      <c r="C6" s="1010">
        <f ca="1">ROUND(F6*F8*F7*(1-F9),0)</f>
        <v>447062</v>
      </c>
      <c r="D6" s="147" t="s">
        <v>2102</v>
      </c>
      <c r="E6" s="293" t="s">
        <v>696</v>
      </c>
      <c r="F6" s="294">
        <f ca="1">INDIRECT("'数据-取费表'!u"&amp;$G$1)</f>
        <v>12</v>
      </c>
      <c r="G6" s="1291"/>
      <c r="H6" s="1005" t="s">
        <v>398</v>
      </c>
      <c r="I6" s="3442" t="s">
        <v>694</v>
      </c>
      <c r="J6" s="292">
        <f ca="1">ROUND(M6*M8*M7*(1-M9),0)</f>
        <v>0</v>
      </c>
      <c r="K6" s="1283" t="s">
        <v>2103</v>
      </c>
      <c r="L6" s="293" t="s">
        <v>696</v>
      </c>
      <c r="M6" s="294">
        <f ca="1">INDIRECT("'数据-取费表'!z"&amp;$G$1)</f>
        <v>0</v>
      </c>
    </row>
    <row r="7" spans="1:37" ht="18" customHeight="1">
      <c r="A7" s="1009"/>
      <c r="B7" s="3443"/>
      <c r="C7" s="1011"/>
      <c r="D7" s="298"/>
      <c r="E7" s="1012" t="s">
        <v>697</v>
      </c>
      <c r="F7" s="294">
        <f ca="1">IF(INDIRECT("'数据-取费表'!ah"&amp;$G$1)="",INDIRECT("'数据-取费表'!k"&amp;$G$1),INDIRECT("'数据-取费表'!ah"&amp;$G$1))</f>
        <v>113.41</v>
      </c>
      <c r="G7" s="1291"/>
      <c r="H7" s="295"/>
      <c r="I7" s="3443"/>
      <c r="J7" s="297"/>
      <c r="K7" s="298"/>
      <c r="L7" s="293" t="s">
        <v>697</v>
      </c>
      <c r="M7" s="294">
        <f ca="1">F7</f>
        <v>113.41</v>
      </c>
    </row>
    <row r="8" spans="1:37" ht="18" customHeight="1">
      <c r="A8" s="295"/>
      <c r="B8" s="3443"/>
      <c r="C8" s="297"/>
      <c r="D8" s="298"/>
      <c r="E8" s="293" t="s">
        <v>698</v>
      </c>
      <c r="F8" s="294">
        <f ca="1">INDIRECT("'数据-取费表'!ai"&amp;$G$1)</f>
        <v>365</v>
      </c>
      <c r="G8" s="1291"/>
      <c r="H8" s="295"/>
      <c r="I8" s="3443"/>
      <c r="J8" s="297"/>
      <c r="K8" s="298"/>
      <c r="L8" s="293" t="s">
        <v>698</v>
      </c>
      <c r="M8" s="294">
        <f ca="1">INDIRECT("'数据-取费表'!ai"&amp;$G$1)</f>
        <v>365</v>
      </c>
    </row>
    <row r="9" spans="1:37" ht="18" customHeight="1">
      <c r="A9" s="295"/>
      <c r="B9" s="3444"/>
      <c r="C9" s="297"/>
      <c r="D9" s="298"/>
      <c r="E9" s="293" t="s">
        <v>699</v>
      </c>
      <c r="F9" s="303">
        <f ca="1">INDIRECT("'数据-取费表'!w"&amp;$G$1)</f>
        <v>0.1</v>
      </c>
      <c r="G9" s="1291"/>
      <c r="H9" s="295"/>
      <c r="I9" s="3444"/>
      <c r="J9" s="297"/>
      <c r="K9" s="298"/>
      <c r="L9" s="304" t="s">
        <v>699</v>
      </c>
      <c r="M9" s="305">
        <f ca="1">INDIRECT("'数据-取费表'!ab"&amp;$G$1)</f>
        <v>0</v>
      </c>
    </row>
    <row r="10" spans="1:37" ht="18" customHeight="1">
      <c r="A10" s="1005" t="s">
        <v>402</v>
      </c>
      <c r="B10" s="1273" t="s">
        <v>700</v>
      </c>
      <c r="C10" s="307">
        <f ca="1">ROUND(IF(F10="押一",C6/12*F11,IF(F10="押二",C6/12*2*F11,IF(F10="押三",C6/12*3*F11,C11*F11))),0)</f>
        <v>559</v>
      </c>
      <c r="D10" s="150" t="s">
        <v>2112</v>
      </c>
      <c r="E10" s="304" t="s">
        <v>701</v>
      </c>
      <c r="F10" s="1052" t="s">
        <v>3538</v>
      </c>
      <c r="G10" s="1291"/>
      <c r="H10" s="1005" t="s">
        <v>402</v>
      </c>
      <c r="I10" s="1273" t="s">
        <v>700</v>
      </c>
      <c r="J10" s="292">
        <f ca="1">ROUND(IF(M10="押一",J6/12*M11,IF(M10="押二",J6/12*2*M11,IF(M10="押三",J6/12*3*M11,J11*M11))),0)</f>
        <v>0</v>
      </c>
      <c r="K10" s="1284" t="s">
        <v>2114</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415622</v>
      </c>
      <c r="D13" s="1017" t="s">
        <v>705</v>
      </c>
      <c r="E13" s="1017" t="s">
        <v>706</v>
      </c>
      <c r="F13" s="1018">
        <f ca="1">INDIRECT("'数据-取费表'!y"&amp;$G$1)</f>
        <v>0.8</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340230</v>
      </c>
      <c r="D14" s="1256" t="s">
        <v>708</v>
      </c>
      <c r="E14" s="1254"/>
      <c r="F14" s="310"/>
      <c r="G14" s="1291"/>
      <c r="H14" s="927" t="s">
        <v>398</v>
      </c>
      <c r="I14" s="293" t="s">
        <v>709</v>
      </c>
      <c r="J14" s="21">
        <f ca="1">C29</f>
        <v>519528</v>
      </c>
      <c r="K14" s="12"/>
      <c r="L14" s="758"/>
      <c r="M14" s="759"/>
    </row>
    <row r="15" spans="1:37" s="1303" customFormat="1" ht="18" customHeight="1" thickBot="1">
      <c r="A15" s="927" t="s">
        <v>399</v>
      </c>
      <c r="B15" s="293" t="s">
        <v>710</v>
      </c>
      <c r="C15" s="21">
        <f ca="1">ROUND(C14*F15,0)</f>
        <v>10207</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7793</v>
      </c>
      <c r="K16" s="1023" t="s">
        <v>715</v>
      </c>
      <c r="L16" s="1024"/>
      <c r="M16" s="1008"/>
    </row>
    <row r="17" spans="1:37" s="1303" customFormat="1" ht="18" customHeight="1">
      <c r="A17" s="927" t="s">
        <v>681</v>
      </c>
      <c r="B17" s="293" t="s">
        <v>716</v>
      </c>
      <c r="C17" s="21">
        <f ca="1">ROUND(F17*(F43+INDIRECT("'数据-取费表'!S"&amp;$G$1)),0)</f>
        <v>22682</v>
      </c>
      <c r="D17" s="293" t="s">
        <v>717</v>
      </c>
      <c r="E17" s="293" t="s">
        <v>718</v>
      </c>
      <c r="F17" s="23">
        <f>'数据-取费表'!B35</f>
        <v>200</v>
      </c>
      <c r="G17" s="1302"/>
      <c r="H17" s="927" t="s">
        <v>398</v>
      </c>
      <c r="I17" s="293" t="s">
        <v>719</v>
      </c>
      <c r="J17" s="2138">
        <f ca="1">ROUND(IF(AND(项目基本情况!B11="自然人",项目基本情况!B10="北京市"),J6*M17/(1+'数据-取费表'!C42),J18+J19+J20),0)</f>
        <v>0</v>
      </c>
      <c r="K17" s="1256" t="s">
        <v>720</v>
      </c>
      <c r="L17" s="1255" t="s">
        <v>721</v>
      </c>
      <c r="M17" s="2137"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5103</v>
      </c>
      <c r="D18" s="293" t="s">
        <v>711</v>
      </c>
      <c r="E18" s="293" t="s">
        <v>712</v>
      </c>
      <c r="F18" s="313">
        <f>'数据-取费表'!B36</f>
        <v>1.4999999999999999E-2</v>
      </c>
      <c r="G18" s="1302"/>
      <c r="H18" s="927" t="s">
        <v>397</v>
      </c>
      <c r="I18" s="293" t="s">
        <v>723</v>
      </c>
      <c r="J18" s="21">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378222</v>
      </c>
      <c r="D19" s="123" t="s">
        <v>726</v>
      </c>
      <c r="E19" s="1268"/>
      <c r="F19" s="23"/>
      <c r="G19" s="1291"/>
      <c r="H19" s="927" t="s">
        <v>399</v>
      </c>
      <c r="I19" s="293" t="s">
        <v>727</v>
      </c>
      <c r="J19" s="21">
        <f ca="1">IF(K19="按租金收入计税",ROUND(J6*M19/(1+'数据-取费表'!C42),0),ROUND(C29*M19*0.7,0))</f>
        <v>0</v>
      </c>
      <c r="K19" s="1277" t="s">
        <v>3326</v>
      </c>
      <c r="L19" s="293" t="s">
        <v>712</v>
      </c>
      <c r="M19" s="313">
        <f>IF(K19="按租金收入计税",'数据-取费表'!B51,'数据-取费表'!B50)</f>
        <v>0.12</v>
      </c>
    </row>
    <row r="20" spans="1:37" s="1303" customFormat="1" ht="18" customHeight="1">
      <c r="A20" s="927" t="s">
        <v>402</v>
      </c>
      <c r="B20" s="293" t="s">
        <v>728</v>
      </c>
      <c r="C20" s="21">
        <f ca="1">ROUND(C19*F20,0)</f>
        <v>7564</v>
      </c>
      <c r="D20" s="314" t="s">
        <v>729</v>
      </c>
      <c r="E20" s="293" t="s">
        <v>712</v>
      </c>
      <c r="F20" s="313">
        <f>'数据-取费表'!B37</f>
        <v>0.02</v>
      </c>
      <c r="G20" s="1302"/>
      <c r="H20" s="927" t="s">
        <v>680</v>
      </c>
      <c r="I20" s="147" t="s">
        <v>730</v>
      </c>
      <c r="J20" s="22">
        <f ca="1">ROUND(M20*M21,0)</f>
        <v>0</v>
      </c>
      <c r="K20" s="315" t="s">
        <v>731</v>
      </c>
      <c r="L20" s="293" t="s">
        <v>732</v>
      </c>
      <c r="M20" s="316">
        <f>'数据-取费表'!B52</f>
        <v>30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3" t="str">
        <f>IF(F23&lt;=1,"单利计息。","复利计息。")&amp;"建造成本、管理费用、销售费用产生的利息。"</f>
        <v>复利计息。建造成本、管理费用、销售费用产生的利息。</v>
      </c>
      <c r="E22" s="1268"/>
      <c r="F22" s="23"/>
      <c r="G22" s="1291"/>
      <c r="H22" s="927" t="s">
        <v>402</v>
      </c>
      <c r="I22" s="293" t="s">
        <v>738</v>
      </c>
      <c r="J22" s="21">
        <f ca="1">ROUND(J14*M22,0)</f>
        <v>7793</v>
      </c>
      <c r="K22" s="1255" t="s">
        <v>739</v>
      </c>
      <c r="L22" s="293" t="s">
        <v>712</v>
      </c>
      <c r="M22" s="319">
        <f ca="1">INDIRECT("'数据-取费表'!Ak"&amp;$G$1)</f>
        <v>1.4999999999999999E-2</v>
      </c>
    </row>
    <row r="23" spans="1:37" s="1303" customFormat="1" ht="18" customHeight="1">
      <c r="A23" s="927" t="s">
        <v>397</v>
      </c>
      <c r="B23" s="293" t="s">
        <v>740</v>
      </c>
      <c r="C23" s="21">
        <f ca="1">IF('数据-取费表'!B22&lt;=1,ROUND(C19*F24*F23/2,0)+ROUND(C20*F24*F23/2,0),ROUND(C19*(POWER((1+F24),F23/2)-1),0)+ROUND(C20*(POWER((1+F24),F23/2)-1),0))</f>
        <v>16010</v>
      </c>
      <c r="D23" s="138"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f ca="1">ROUND(J13*M23,0)</f>
        <v>0</v>
      </c>
      <c r="K23" s="1255" t="s">
        <v>743</v>
      </c>
      <c r="L23" s="293" t="s">
        <v>744</v>
      </c>
      <c r="M23" s="320">
        <f ca="1">INDIRECT("'数据-取费表'!Al"&amp;$G$1)</f>
        <v>1.5E-3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8.0000000000000004E-4</v>
      </c>
      <c r="D24" s="138" t="str">
        <f>IF(F23&lt;=1,"销售费用×利率×(建设周期÷2)","销售费用×((1+利率)^(建设周期÷2)-1)")</f>
        <v>销售费用×((1+利率)^(建设周期÷2)-1)</v>
      </c>
      <c r="E24" s="293" t="s">
        <v>747</v>
      </c>
      <c r="F24" s="321">
        <f ca="1">'数据-取费表'!B40</f>
        <v>4.1499999999999995E-2</v>
      </c>
      <c r="G24" s="1302"/>
      <c r="H24" s="1025" t="s">
        <v>684</v>
      </c>
      <c r="I24" s="1026" t="s">
        <v>728</v>
      </c>
      <c r="J24" s="1027">
        <f ca="1">ROUND(J5*M24,0)</f>
        <v>0</v>
      </c>
      <c r="K24" s="1028" t="s">
        <v>748</v>
      </c>
      <c r="L24" s="1026" t="s">
        <v>744</v>
      </c>
      <c r="M24" s="1022">
        <f ca="1">INDIRECT("'数据-取费表'!Am"&amp;$G$1)</f>
        <v>0.02</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3" t="s">
        <v>751</v>
      </c>
      <c r="E25" s="1268"/>
      <c r="F25" s="23"/>
      <c r="G25" s="1291"/>
      <c r="H25" s="1015" t="s">
        <v>394</v>
      </c>
      <c r="I25" s="1030" t="s">
        <v>752</v>
      </c>
      <c r="J25" s="301">
        <f ca="1">J5-J16</f>
        <v>-7793</v>
      </c>
      <c r="K25" s="1031" t="s">
        <v>753</v>
      </c>
      <c r="L25" s="1032"/>
      <c r="M25" s="1033"/>
    </row>
    <row r="26" spans="1:37" ht="18" customHeight="1">
      <c r="A26" s="927" t="s">
        <v>397</v>
      </c>
      <c r="B26" s="293" t="s">
        <v>754</v>
      </c>
      <c r="C26" s="21">
        <f ca="1">ROUND((C19+C20)*F26,0)</f>
        <v>77157</v>
      </c>
      <c r="D26" s="314" t="s">
        <v>755</v>
      </c>
      <c r="E26" s="304" t="s">
        <v>756</v>
      </c>
      <c r="F26" s="303">
        <f ca="1">INDIRECT("'数据-取费表'!q"&amp;$G$1)</f>
        <v>0.2</v>
      </c>
      <c r="G26" s="1291"/>
      <c r="H26" s="290" t="s">
        <v>395</v>
      </c>
      <c r="I26" s="291" t="s">
        <v>757</v>
      </c>
      <c r="J26" s="292">
        <f ca="1">IF(J5&lt;&gt;0,ROUND(J25*(1-((1+M28)/(1+M26))^M27)/(M26-M28),0),0)</f>
        <v>0</v>
      </c>
      <c r="K26" s="315" t="s">
        <v>758</v>
      </c>
      <c r="L26" s="293" t="s">
        <v>759</v>
      </c>
      <c r="M26" s="303">
        <f ca="1">INDIRECT("'数据-取费表'!I"&amp;$G$1)</f>
        <v>0.06</v>
      </c>
    </row>
    <row r="27" spans="1:37" ht="18" customHeight="1">
      <c r="A27" s="927" t="s">
        <v>399</v>
      </c>
      <c r="B27" s="293" t="s">
        <v>760</v>
      </c>
      <c r="C27" s="21">
        <f ca="1">ROUND(F21*F26,4)</f>
        <v>4.0000000000000001E-3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519528</v>
      </c>
      <c r="D29" s="1028"/>
      <c r="E29" s="1026"/>
      <c r="F29" s="1029"/>
      <c r="G29" s="1302"/>
      <c r="H29" s="324" t="s">
        <v>396</v>
      </c>
      <c r="I29" s="325" t="s">
        <v>768</v>
      </c>
      <c r="J29" s="326">
        <f ca="1">ROUND(J26/(1+F40)^F41,0)</f>
        <v>0</v>
      </c>
      <c r="K29" s="327" t="s">
        <v>769</v>
      </c>
      <c r="L29" s="328"/>
      <c r="M29" s="329">
        <f ca="1">INDIRECT("'数据-取费表'!k"&amp;$G$1)</f>
        <v>113.41</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92304</v>
      </c>
      <c r="D30" s="1023" t="s">
        <v>715</v>
      </c>
      <c r="E30" s="1024"/>
      <c r="F30" s="1008"/>
      <c r="G30" s="1291"/>
      <c r="H30" s="2467"/>
      <c r="I30" s="1304"/>
      <c r="J30" s="1305"/>
      <c r="K30" s="121"/>
      <c r="L30" s="2468"/>
      <c r="M30" s="2469"/>
    </row>
    <row r="31" spans="1:37" ht="18" customHeight="1">
      <c r="A31" s="927" t="s">
        <v>398</v>
      </c>
      <c r="B31" s="293" t="s">
        <v>719</v>
      </c>
      <c r="C31" s="2138">
        <f ca="1">ROUND(IF(AND(项目基本情况!B11="自然人",项目基本情况!B10="北京市"),C6*F31/(1+'数据-取费表'!C42),C32+C33+C34),0)</f>
        <v>74936</v>
      </c>
      <c r="D31" s="1256" t="s">
        <v>720</v>
      </c>
      <c r="E31" s="1255" t="s">
        <v>770</v>
      </c>
      <c r="F31" s="2137" t="str">
        <f>IF(项目基本情况!B11="企业","——",IF(M47="住宅",IF(F6*F7*F8/12/(1+'数据-取费表'!F30)&gt;100000,4%,2.5%),IF(F6*F7*F8/12/(1+'数据-取费表'!F30)&gt;100000,12%,7%)))</f>
        <v>——</v>
      </c>
      <c r="G31" s="1291"/>
      <c r="H31" s="2566" t="s">
        <v>2294</v>
      </c>
      <c r="I31" s="1304"/>
      <c r="J31" s="1305"/>
      <c r="K31" s="121"/>
      <c r="L31" s="2468"/>
      <c r="M31" s="2469"/>
    </row>
    <row r="32" spans="1:37" ht="18" customHeight="1">
      <c r="A32" s="927" t="s">
        <v>397</v>
      </c>
      <c r="B32" s="293" t="s">
        <v>723</v>
      </c>
      <c r="C32" s="21">
        <f ca="1">IF(项目基本情况!B11="自然人","——",ROUND(C6*F32/(1+'数据-取费表'!C42),0))</f>
        <v>23843</v>
      </c>
      <c r="D32" s="1255" t="s">
        <v>724</v>
      </c>
      <c r="E32" s="293" t="s">
        <v>712</v>
      </c>
      <c r="F32" s="321">
        <f>'数据-取费表'!B41</f>
        <v>5.6000000000000001E-2</v>
      </c>
      <c r="G32" s="1291"/>
      <c r="H32" s="2467"/>
      <c r="I32" s="1304"/>
      <c r="J32" s="1305"/>
      <c r="K32" s="121"/>
      <c r="L32" s="2468"/>
      <c r="M32" s="2469"/>
    </row>
    <row r="33" spans="1:18" ht="18" customHeight="1">
      <c r="A33" s="927" t="s">
        <v>399</v>
      </c>
      <c r="B33" s="293" t="s">
        <v>727</v>
      </c>
      <c r="C33" s="21">
        <f ca="1">IF(项目基本情况!B11="自然人","——",IF(D33="按租金收入计税",ROUND(C6*F33/(1+'数据-取费表'!C42),0),IF(D33="按房产原值计税",ROUND(C29*F33*0.7,0),INDIRECT("'数据-取费表'!Aj"&amp;$G$1))))</f>
        <v>51093</v>
      </c>
      <c r="D33" s="1277" t="s">
        <v>3326</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7" t="s">
        <v>730</v>
      </c>
      <c r="C34" s="22">
        <f ca="1">IF(项目基本情况!B11="自然人","——",ROUND(F34*F35,0))</f>
        <v>0</v>
      </c>
      <c r="D34" s="315" t="s">
        <v>731</v>
      </c>
      <c r="E34" s="293" t="s">
        <v>732</v>
      </c>
      <c r="F34" s="316">
        <f>'数据-取费表'!B52</f>
        <v>30</v>
      </c>
      <c r="G34" s="1291"/>
      <c r="H34" s="2467"/>
      <c r="I34" s="1304"/>
      <c r="J34" s="1305"/>
      <c r="K34" s="2472"/>
      <c r="L34" s="2473"/>
      <c r="M34" s="2473"/>
    </row>
    <row r="35" spans="1:18" ht="18" customHeight="1">
      <c r="A35" s="1039"/>
      <c r="B35" s="1037"/>
      <c r="C35" s="26"/>
      <c r="D35" s="318"/>
      <c r="E35" s="293" t="s">
        <v>736</v>
      </c>
      <c r="F35" s="294">
        <f ca="1">INDIRECT("'数据-取费表'!r"&amp;$G$1)</f>
        <v>0</v>
      </c>
      <c r="G35" s="1291"/>
      <c r="H35" s="2467"/>
      <c r="I35" s="1304"/>
      <c r="J35" s="1305"/>
      <c r="K35" s="2471"/>
      <c r="L35" s="2470"/>
      <c r="M35" s="2470"/>
    </row>
    <row r="36" spans="1:18" ht="18" customHeight="1">
      <c r="A36" s="1038" t="s">
        <v>402</v>
      </c>
      <c r="B36" s="293" t="s">
        <v>738</v>
      </c>
      <c r="C36" s="21">
        <f ca="1">ROUND(C29*F36,0)</f>
        <v>7793</v>
      </c>
      <c r="D36" s="1255" t="s">
        <v>771</v>
      </c>
      <c r="E36" s="293" t="s">
        <v>712</v>
      </c>
      <c r="F36" s="319">
        <f ca="1">INDIRECT("'数据-取费表'!Ak"&amp;$G$1)</f>
        <v>1.4999999999999999E-2</v>
      </c>
      <c r="G36" s="1291"/>
      <c r="H36" s="2470"/>
      <c r="I36" s="1304"/>
      <c r="J36" s="1305"/>
      <c r="K36" s="2328"/>
      <c r="L36" s="2470"/>
      <c r="M36" s="2470"/>
    </row>
    <row r="37" spans="1:18" ht="18" customHeight="1">
      <c r="A37" s="927" t="s">
        <v>437</v>
      </c>
      <c r="B37" s="293" t="s">
        <v>742</v>
      </c>
      <c r="C37" s="21">
        <f ca="1">ROUND(C13*F37,0)</f>
        <v>623</v>
      </c>
      <c r="D37" s="1255" t="s">
        <v>743</v>
      </c>
      <c r="E37" s="293" t="s">
        <v>744</v>
      </c>
      <c r="F37" s="320">
        <f ca="1">INDIRECT("'数据-取费表'!Al"&amp;$G$1)</f>
        <v>1.5E-3</v>
      </c>
      <c r="G37" s="1291"/>
      <c r="H37" s="2470"/>
      <c r="I37" s="1304"/>
      <c r="J37" s="1305"/>
      <c r="K37" s="2328"/>
      <c r="L37" s="2470"/>
      <c r="M37" s="2470"/>
    </row>
    <row r="38" spans="1:18" ht="18" customHeight="1" thickBot="1">
      <c r="A38" s="1025" t="s">
        <v>684</v>
      </c>
      <c r="B38" s="1026" t="s">
        <v>728</v>
      </c>
      <c r="C38" s="1027">
        <f ca="1">ROUND(C5*F38,0)</f>
        <v>8952</v>
      </c>
      <c r="D38" s="1028" t="s">
        <v>748</v>
      </c>
      <c r="E38" s="1026" t="s">
        <v>744</v>
      </c>
      <c r="F38" s="1022">
        <f ca="1">INDIRECT("'数据-取费表'!Am"&amp;$G$1)</f>
        <v>0.02</v>
      </c>
      <c r="G38" s="1291"/>
      <c r="H38" s="2470"/>
      <c r="I38" s="1304"/>
      <c r="J38" s="1305"/>
      <c r="K38" s="2468"/>
      <c r="L38" s="2470"/>
      <c r="M38" s="2470"/>
    </row>
    <row r="39" spans="1:18" ht="24.6" customHeight="1" thickTop="1">
      <c r="A39" s="1015" t="s">
        <v>394</v>
      </c>
      <c r="B39" s="1030" t="s">
        <v>772</v>
      </c>
      <c r="C39" s="301">
        <f ca="1">C5-C30</f>
        <v>355317</v>
      </c>
      <c r="D39" s="1031" t="s">
        <v>773</v>
      </c>
      <c r="E39" s="1032"/>
      <c r="F39" s="1033"/>
      <c r="G39" s="1291"/>
      <c r="H39" s="2470"/>
      <c r="I39" s="1304"/>
      <c r="J39" s="1305"/>
      <c r="K39" s="2468"/>
      <c r="L39" s="2470"/>
      <c r="M39" s="2470"/>
    </row>
    <row r="40" spans="1:18" ht="18" customHeight="1">
      <c r="A40" s="290" t="s">
        <v>395</v>
      </c>
      <c r="B40" s="291" t="s">
        <v>774</v>
      </c>
      <c r="C40" s="292">
        <f ca="1">ROUND(C39*(1-((1+F42)/(1+F40))^F41)/(F40-F42),0)</f>
        <v>6976024</v>
      </c>
      <c r="D40" s="315" t="s">
        <v>758</v>
      </c>
      <c r="E40" s="293" t="s">
        <v>759</v>
      </c>
      <c r="F40" s="303">
        <f ca="1">INDIRECT("'数据-取费表'!I"&amp;$G$1)</f>
        <v>0.06</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40</v>
      </c>
      <c r="G41" s="1291"/>
      <c r="H41" s="121"/>
      <c r="I41" s="1304"/>
      <c r="J41" s="1305"/>
      <c r="K41" s="2328"/>
      <c r="L41" s="121"/>
      <c r="M41" s="121"/>
    </row>
    <row r="42" spans="1:18" ht="18" customHeight="1">
      <c r="A42" s="299"/>
      <c r="B42" s="300"/>
      <c r="C42" s="301"/>
      <c r="D42" s="318"/>
      <c r="E42" s="293" t="s">
        <v>766</v>
      </c>
      <c r="F42" s="303">
        <f ca="1">INDIRECT("'数据-取费表'!v"&amp;$G$1)</f>
        <v>0.02</v>
      </c>
      <c r="G42" s="1291"/>
      <c r="H42" s="121"/>
      <c r="I42" s="1304"/>
      <c r="J42" s="1305"/>
      <c r="K42" s="2328"/>
      <c r="L42" s="121"/>
      <c r="M42" s="121"/>
    </row>
    <row r="43" spans="1:18" ht="18" customHeight="1" thickBot="1">
      <c r="A43" s="324" t="s">
        <v>396</v>
      </c>
      <c r="B43" s="325" t="s">
        <v>776</v>
      </c>
      <c r="C43" s="326">
        <f ca="1">ROUND(C40/F43,0)</f>
        <v>61512</v>
      </c>
      <c r="D43" s="327" t="s">
        <v>777</v>
      </c>
      <c r="E43" s="328" t="s">
        <v>778</v>
      </c>
      <c r="F43" s="329">
        <f ca="1">INDIRECT("'数据-取费表'!k"&amp;$G$1)</f>
        <v>113.41</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3126" t="s">
        <v>3342</v>
      </c>
      <c r="B45" s="1306"/>
      <c r="C45" s="1375">
        <f ca="1">ROUND((C68-C40)/10000,4)</f>
        <v>-710.2654</v>
      </c>
      <c r="D45" s="3127" t="s">
        <v>3343</v>
      </c>
      <c r="E45" s="1306"/>
      <c r="F45" s="1306"/>
      <c r="O45" s="1309" t="s">
        <v>808</v>
      </c>
      <c r="P45" s="1365"/>
      <c r="Q45" s="1365"/>
      <c r="R45" s="1365"/>
    </row>
    <row r="46" spans="1:18" s="1291" customFormat="1" ht="13.5" thickBot="1">
      <c r="A46" s="1310" t="s">
        <v>809</v>
      </c>
      <c r="C46" s="1311">
        <f ca="1">ROUND(C45,0)</f>
        <v>-710</v>
      </c>
      <c r="D46" s="1312" t="str">
        <f>C2</f>
        <v>万元</v>
      </c>
      <c r="I46" s="1313" t="s">
        <v>810</v>
      </c>
      <c r="J46" s="1314"/>
      <c r="K46" s="1315"/>
      <c r="L46" s="1316" t="str">
        <f ca="1">IF(M47="住宅",0,IF(L48&gt;J51,L60,J60))</f>
        <v>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t="s">
        <v>3539</v>
      </c>
      <c r="K47" s="1322" t="s">
        <v>816</v>
      </c>
      <c r="L47" s="1323">
        <f ca="1">INDIRECT("'数据-取费表'!d"&amp;$G$1)</f>
        <v>40</v>
      </c>
      <c r="M47" s="1287" t="str">
        <f>IF(ISNUMBER(FIND("住宅",C1)),"住宅","非住宅")</f>
        <v>非住宅</v>
      </c>
      <c r="O47" s="1324" t="s">
        <v>403</v>
      </c>
      <c r="P47" s="1325" t="s">
        <v>817</v>
      </c>
      <c r="Q47" s="1326">
        <f ca="1">C40+J29</f>
        <v>6976024</v>
      </c>
      <c r="R47" s="1326" t="s">
        <v>818</v>
      </c>
    </row>
    <row r="48" spans="1:18" s="1291" customFormat="1" ht="28.5" thickBot="1">
      <c r="A48" s="1046" t="s">
        <v>438</v>
      </c>
      <c r="B48" s="291" t="s">
        <v>692</v>
      </c>
      <c r="C48" s="1267">
        <f ca="1">C49+C53+C55</f>
        <v>0</v>
      </c>
      <c r="D48" s="1048"/>
      <c r="E48" s="1049"/>
      <c r="F48" s="907"/>
      <c r="G48" s="680"/>
      <c r="H48" s="681"/>
      <c r="I48" s="1327" t="s">
        <v>819</v>
      </c>
      <c r="J48" s="1328" t="s">
        <v>3540</v>
      </c>
      <c r="K48" s="1329" t="s">
        <v>820</v>
      </c>
      <c r="L48" s="1330">
        <f ca="1">INDIRECT("'数据-取费表'!f"&amp;$G$1)</f>
        <v>40</v>
      </c>
      <c r="O48" s="1324" t="s">
        <v>404</v>
      </c>
      <c r="P48" s="1325" t="s">
        <v>821</v>
      </c>
      <c r="Q48" s="1326" t="str">
        <f ca="1">J60</f>
        <v>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v>2011</v>
      </c>
      <c r="K49" s="1329" t="s">
        <v>824</v>
      </c>
      <c r="L49" s="1332"/>
      <c r="O49" s="1333" t="s">
        <v>405</v>
      </c>
      <c r="P49" s="1325" t="s">
        <v>825</v>
      </c>
      <c r="Q49" s="1326">
        <f ca="1">C29</f>
        <v>519528</v>
      </c>
      <c r="R49" s="1326" t="s">
        <v>818</v>
      </c>
    </row>
    <row r="50" spans="1:18" s="1291" customFormat="1" ht="13.5" thickBot="1">
      <c r="A50" s="921"/>
      <c r="B50" s="924"/>
      <c r="C50" s="925"/>
      <c r="D50" s="898"/>
      <c r="E50" s="992" t="s">
        <v>697</v>
      </c>
      <c r="F50" s="993">
        <f ca="1">F7</f>
        <v>113.41</v>
      </c>
      <c r="H50" s="681"/>
      <c r="I50" s="1327" t="s">
        <v>826</v>
      </c>
      <c r="J50" s="1334">
        <f>SUMPRODUCT((I63:I65=J47)*(J62:L62=J48)*(J63:L65))</f>
        <v>60</v>
      </c>
      <c r="K50" s="1329" t="s">
        <v>827</v>
      </c>
      <c r="L50" s="1332"/>
      <c r="M50" s="1335"/>
      <c r="O50" s="1333" t="s">
        <v>406</v>
      </c>
      <c r="P50" s="1325" t="s">
        <v>828</v>
      </c>
      <c r="Q50" s="1336" t="e">
        <f ca="1">J58</f>
        <v>#VALUE!</v>
      </c>
      <c r="R50" s="1326"/>
    </row>
    <row r="51" spans="1:18" s="1291" customFormat="1" ht="13.5" thickBot="1">
      <c r="A51" s="922"/>
      <c r="B51" s="924"/>
      <c r="C51" s="925"/>
      <c r="D51" s="898"/>
      <c r="E51" s="926" t="s">
        <v>698</v>
      </c>
      <c r="F51" s="294">
        <f ca="1">F8</f>
        <v>365</v>
      </c>
      <c r="I51" s="1337" t="s">
        <v>829</v>
      </c>
      <c r="J51" s="1330">
        <f>IF(J49="",J50,J49+J50-YEAR('数据-取费表'!B2))</f>
        <v>48</v>
      </c>
      <c r="K51" s="1338" t="s">
        <v>830</v>
      </c>
      <c r="L51" s="1339">
        <f ca="1">ROUND(-PV(INDIRECT("'数据-取费表'!h"&amp;$G$1),J51,(C39-C13*C76),0),0)</f>
        <v>6423121</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40</v>
      </c>
      <c r="R52" s="1326" t="s">
        <v>835</v>
      </c>
    </row>
    <row r="53" spans="1:18" s="1291" customFormat="1" ht="30.75" customHeight="1" thickBot="1">
      <c r="A53" s="1047" t="s">
        <v>440</v>
      </c>
      <c r="B53" s="314" t="s">
        <v>700</v>
      </c>
      <c r="C53" s="307">
        <f ca="1">ROUND(IF(F53="押一",C49/12*F11,IF(F53="押二",C49/12*2*F11,IF(F53="押三",C49/12*3*F11,C54*F11))),0)</f>
        <v>0</v>
      </c>
      <c r="D53" s="150" t="s">
        <v>2115</v>
      </c>
      <c r="E53" s="304" t="s">
        <v>701</v>
      </c>
      <c r="F53" s="1052"/>
      <c r="I53" s="1343" t="s">
        <v>836</v>
      </c>
      <c r="J53" s="2004">
        <f ca="1">IF(M47="住宅",IF(D1="——",MAX(J51,L48),MAX(J51,L48-'数据-取费表'!B24)),IF(D1="——",MIN(J51,L48),MIN(J51,L48-'数据-取费表'!B24)))</f>
        <v>40</v>
      </c>
      <c r="K53" s="3445" t="s">
        <v>837</v>
      </c>
      <c r="L53" s="3446"/>
      <c r="O53" s="1324" t="s">
        <v>409</v>
      </c>
      <c r="P53" s="1325" t="s">
        <v>838</v>
      </c>
      <c r="Q53" s="1326">
        <f ca="1">Q47+Q48</f>
        <v>6976024</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415622</v>
      </c>
      <c r="D56" s="1351"/>
      <c r="E56" s="1352"/>
      <c r="F56" s="1344"/>
      <c r="I56" s="1353" t="s">
        <v>842</v>
      </c>
      <c r="J56" s="1354" t="s">
        <v>3367</v>
      </c>
      <c r="K56" s="1327" t="s">
        <v>843</v>
      </c>
      <c r="L56" s="1330" t="str">
        <f ca="1">IF(L48&lt;J51,"——",L48-J51)</f>
        <v>——</v>
      </c>
      <c r="O56" s="1324" t="s">
        <v>403</v>
      </c>
      <c r="P56" s="1325" t="s">
        <v>817</v>
      </c>
      <c r="Q56" s="1326">
        <f ca="1">C40+J29</f>
        <v>6976024</v>
      </c>
      <c r="R56" s="1326" t="s">
        <v>818</v>
      </c>
    </row>
    <row r="57" spans="1:18" s="1291" customFormat="1" ht="24.75" thickBot="1">
      <c r="A57" s="1355"/>
      <c r="B57" s="895" t="s">
        <v>767</v>
      </c>
      <c r="C57" s="229">
        <f ca="1">C29</f>
        <v>519528</v>
      </c>
      <c r="D57" s="1356"/>
      <c r="E57" s="1357"/>
      <c r="F57" s="1358"/>
      <c r="I57" s="1359" t="s">
        <v>844</v>
      </c>
      <c r="J57" s="1360" t="str">
        <f ca="1">IF(OR(M47="住宅",J51&lt;L48,J56="是"),"——",J51-L48)</f>
        <v>——</v>
      </c>
      <c r="K57" s="1327" t="s">
        <v>892</v>
      </c>
      <c r="L57" s="1330" t="str">
        <f ca="1">IF(L48&lt;J51,"——",IF(L55="比较法",L49,IF(L55="基准地价",L50,L51)))</f>
        <v>——</v>
      </c>
      <c r="O57" s="1324" t="s">
        <v>404</v>
      </c>
      <c r="P57" s="1325" t="s">
        <v>893</v>
      </c>
      <c r="Q57" s="1326">
        <f ca="1">L60</f>
        <v>0</v>
      </c>
      <c r="R57" s="1326" t="s">
        <v>894</v>
      </c>
    </row>
    <row r="58" spans="1:18" s="1291" customFormat="1" ht="24.75" thickBot="1">
      <c r="A58" s="306" t="s">
        <v>393</v>
      </c>
      <c r="B58" s="903" t="s">
        <v>714</v>
      </c>
      <c r="C58" s="307">
        <f ca="1">ROUND(C59+C64+C65+C66,0)</f>
        <v>8416</v>
      </c>
      <c r="D58" s="905" t="s">
        <v>715</v>
      </c>
      <c r="E58" s="906"/>
      <c r="F58" s="907"/>
      <c r="I58" s="1359" t="s">
        <v>848</v>
      </c>
      <c r="J58" s="1361" t="e">
        <f ca="1">IF(J55&lt;0.4,0.4,J55)</f>
        <v>#VALUE!</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8">
        <f ca="1">ROUND(IF(AND(项目基本情况!B11="自然人",项目基本情况!B10="北京市"),C49*F59/(1+'数据-取费表'!C42),C60+C61+C62),0)</f>
        <v>0</v>
      </c>
      <c r="D59" s="908" t="s">
        <v>720</v>
      </c>
      <c r="E59" s="909" t="s">
        <v>721</v>
      </c>
      <c r="F59" s="2137" t="str">
        <f>IF(项目基本情况!B11="企业","——",IF('数据-取费表'!B10="住宅",IF(F49*F50*F51/12/(1+'数据-取费表'!F30)&gt;100000,4%,2.5%),IF(F49*F50*F51/12/(1+'数据-取费表'!F30)&gt;100000,12%,7%)))</f>
        <v>——</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1">
        <f t="shared" ref="F60:F66" si="0">F32</f>
        <v>5.6000000000000001E-2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3326</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6">
        <f t="shared" si="0"/>
        <v>30</v>
      </c>
      <c r="I62" s="1366" t="s">
        <v>858</v>
      </c>
      <c r="J62" s="609" t="s">
        <v>859</v>
      </c>
      <c r="K62" s="609" t="s">
        <v>860</v>
      </c>
      <c r="L62" s="609" t="s">
        <v>861</v>
      </c>
      <c r="M62" s="1367" t="s">
        <v>862</v>
      </c>
      <c r="O62" s="1324" t="s">
        <v>409</v>
      </c>
      <c r="P62" s="1325" t="s">
        <v>863</v>
      </c>
      <c r="Q62" s="1326">
        <f ca="1">Q56+Q57</f>
        <v>6976024</v>
      </c>
      <c r="R62" s="1326" t="s">
        <v>410</v>
      </c>
    </row>
    <row r="63" spans="1:18" s="1291" customFormat="1" ht="13.5"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7793</v>
      </c>
      <c r="D64" s="909" t="s">
        <v>791</v>
      </c>
      <c r="E64" s="895" t="s">
        <v>783</v>
      </c>
      <c r="F64" s="319">
        <f t="shared" ca="1" si="0"/>
        <v>1.4999999999999999E-2</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623</v>
      </c>
      <c r="D65" s="909" t="s">
        <v>743</v>
      </c>
      <c r="E65" s="895" t="s">
        <v>744</v>
      </c>
      <c r="F65" s="320">
        <f t="shared" ca="1" si="0"/>
        <v>1.5E-3</v>
      </c>
      <c r="I65" s="1366" t="s">
        <v>867</v>
      </c>
      <c r="J65" s="609">
        <v>40</v>
      </c>
      <c r="K65" s="609">
        <v>30</v>
      </c>
      <c r="L65" s="609">
        <v>50</v>
      </c>
      <c r="M65" s="1368">
        <v>0.02</v>
      </c>
      <c r="O65" s="1324" t="s">
        <v>403</v>
      </c>
      <c r="P65" s="1325" t="s">
        <v>868</v>
      </c>
      <c r="Q65" s="1326">
        <f ca="1">C40+J29</f>
        <v>6976024</v>
      </c>
      <c r="R65" s="1326" t="s">
        <v>818</v>
      </c>
    </row>
    <row r="66" spans="1:18" s="1291" customFormat="1" ht="16.5" thickBot="1">
      <c r="A66" s="927" t="s">
        <v>793</v>
      </c>
      <c r="B66" s="895" t="s">
        <v>728</v>
      </c>
      <c r="C66" s="21">
        <f ca="1">ROUND(C48*F66,0)</f>
        <v>0</v>
      </c>
      <c r="D66" s="909" t="s">
        <v>794</v>
      </c>
      <c r="E66" s="895" t="s">
        <v>712</v>
      </c>
      <c r="F66" s="303">
        <f t="shared" ca="1" si="0"/>
        <v>0.02</v>
      </c>
      <c r="O66" s="1324" t="s">
        <v>404</v>
      </c>
      <c r="P66" s="1325" t="s">
        <v>846</v>
      </c>
      <c r="Q66" s="1326">
        <f ca="1">L60</f>
        <v>0</v>
      </c>
      <c r="R66" s="1326" t="s">
        <v>869</v>
      </c>
    </row>
    <row r="67" spans="1:18" s="1291" customFormat="1" ht="16.5" thickBot="1">
      <c r="A67" s="902" t="s">
        <v>394</v>
      </c>
      <c r="B67" s="912" t="s">
        <v>752</v>
      </c>
      <c r="C67" s="307">
        <f ca="1">C48-C58</f>
        <v>-8416</v>
      </c>
      <c r="D67" s="908" t="s">
        <v>753</v>
      </c>
      <c r="E67" s="913"/>
      <c r="F67" s="914"/>
      <c r="O67" s="1333" t="s">
        <v>405</v>
      </c>
      <c r="P67" s="1325" t="s">
        <v>850</v>
      </c>
      <c r="Q67" s="1369">
        <f ca="1">L51</f>
        <v>6423121</v>
      </c>
      <c r="R67" s="1326" t="s">
        <v>870</v>
      </c>
    </row>
    <row r="68" spans="1:18" s="1291" customFormat="1" ht="16.5" thickBot="1">
      <c r="A68" s="892" t="s">
        <v>395</v>
      </c>
      <c r="B68" s="893" t="s">
        <v>774</v>
      </c>
      <c r="C68" s="292">
        <f ca="1">ROUND(C67*(1-((1+F70)/(1+F68))^F69)/(F68-F70),0)</f>
        <v>-126630</v>
      </c>
      <c r="D68" s="910" t="s">
        <v>758</v>
      </c>
      <c r="E68" s="895" t="s">
        <v>759</v>
      </c>
      <c r="F68" s="303">
        <f ca="1">F40</f>
        <v>0.06</v>
      </c>
      <c r="O68" s="1333" t="s">
        <v>406</v>
      </c>
      <c r="P68" s="1370" t="s">
        <v>871</v>
      </c>
      <c r="Q68" s="1326">
        <f ca="1">ROUND(Q69-Q70*Q71,0)</f>
        <v>355317</v>
      </c>
      <c r="R68" s="1326" t="s">
        <v>414</v>
      </c>
    </row>
    <row r="69" spans="1:18" s="1291" customFormat="1" ht="13.5" thickBot="1">
      <c r="A69" s="896"/>
      <c r="B69" s="897"/>
      <c r="C69" s="297"/>
      <c r="D69" s="915" t="s">
        <v>762</v>
      </c>
      <c r="E69" s="895" t="s">
        <v>763</v>
      </c>
      <c r="F69" s="323">
        <f ca="1">F41</f>
        <v>40</v>
      </c>
      <c r="O69" s="1333" t="s">
        <v>411</v>
      </c>
      <c r="P69" s="1370" t="s">
        <v>872</v>
      </c>
      <c r="Q69" s="1326">
        <f ca="1">C39</f>
        <v>355317</v>
      </c>
      <c r="R69" s="1326" t="s">
        <v>818</v>
      </c>
    </row>
    <row r="70" spans="1:18" s="1291" customFormat="1" ht="13.5" thickBot="1">
      <c r="A70" s="899"/>
      <c r="B70" s="900"/>
      <c r="C70" s="301"/>
      <c r="D70" s="911"/>
      <c r="E70" s="895" t="s">
        <v>766</v>
      </c>
      <c r="F70" s="990"/>
      <c r="O70" s="1333" t="s">
        <v>412</v>
      </c>
      <c r="P70" s="1370" t="s">
        <v>873</v>
      </c>
      <c r="Q70" s="1326">
        <f ca="1">C13</f>
        <v>415622</v>
      </c>
      <c r="R70" s="1326" t="s">
        <v>818</v>
      </c>
    </row>
    <row r="71" spans="1:18" s="1291" customFormat="1" ht="13.5" thickBot="1">
      <c r="A71" s="916" t="s">
        <v>396</v>
      </c>
      <c r="B71" s="917" t="s">
        <v>776</v>
      </c>
      <c r="C71" s="326">
        <f ca="1">ROUND(C68/F71,0)</f>
        <v>-1117</v>
      </c>
      <c r="D71" s="918" t="s">
        <v>777</v>
      </c>
      <c r="E71" s="919" t="s">
        <v>778</v>
      </c>
      <c r="F71" s="329">
        <f ca="1">F43</f>
        <v>113.41</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0</v>
      </c>
      <c r="D75" s="1291"/>
      <c r="E75" s="1291"/>
      <c r="F75" s="1291"/>
      <c r="K75" s="1308"/>
      <c r="L75" s="1291"/>
      <c r="O75" s="1324" t="s">
        <v>409</v>
      </c>
      <c r="P75" s="1325" t="s">
        <v>838</v>
      </c>
      <c r="Q75" s="1326">
        <f ca="1">Q65+Q66</f>
        <v>6976024</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1</v>
      </c>
    </row>
    <row r="80" spans="1:18">
      <c r="B80" s="330" t="s">
        <v>800</v>
      </c>
      <c r="C80" s="265">
        <f ca="1">ROUND(C75/C39,3)</f>
        <v>0</v>
      </c>
    </row>
    <row r="81" spans="2:3">
      <c r="B81" s="261" t="s">
        <v>801</v>
      </c>
      <c r="C81" s="229"/>
    </row>
    <row r="82" spans="2:3">
      <c r="B82" s="264" t="s">
        <v>802</v>
      </c>
      <c r="C82" s="266">
        <f ca="1">1-C83</f>
        <v>0.94</v>
      </c>
    </row>
    <row r="83" spans="2:3">
      <c r="B83" s="264" t="s">
        <v>803</v>
      </c>
      <c r="C83" s="265">
        <f ca="1">ROUND(C13/C40,3)</f>
        <v>0.06</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估价范围判定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zoomScale="70" zoomScaleNormal="70" zoomScaleSheetLayoutView="70" workbookViewId="0">
      <selection activeCell="H43" sqref="H43"/>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673</v>
      </c>
      <c r="D1" s="1270" t="s">
        <v>43</v>
      </c>
      <c r="E1" s="1271" t="s">
        <v>678</v>
      </c>
      <c r="F1" s="998" t="e">
        <f ca="1">J53</f>
        <v>#N/A</v>
      </c>
      <c r="G1" s="1285" t="e">
        <f>MATCH(C1,'数据-取费表'!A6:A16,0)+5</f>
        <v>#N/A</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#N/A</v>
      </c>
      <c r="C2" s="1288" t="s">
        <v>805</v>
      </c>
      <c r="D2" s="1288"/>
      <c r="E2" s="1294"/>
      <c r="F2" s="1295"/>
      <c r="G2" s="2475"/>
      <c r="H2" s="2465"/>
      <c r="I2" s="2465"/>
      <c r="J2" s="2465"/>
      <c r="K2" s="2466"/>
      <c r="L2" s="2465"/>
      <c r="M2" s="2465"/>
    </row>
    <row r="3" spans="1:37" ht="18" customHeight="1" thickBot="1">
      <c r="A3" s="1296" t="s">
        <v>806</v>
      </c>
      <c r="B3" s="1297">
        <f ca="1">IF(ISERROR(B2*10000/F43),0,ROUND(B2*10000/F43,0))</f>
        <v>0</v>
      </c>
      <c r="C3" s="1288" t="s">
        <v>807</v>
      </c>
      <c r="D3" s="1288"/>
      <c r="E3" s="1294"/>
      <c r="F3" s="1295"/>
      <c r="G3" s="2475"/>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t="e">
        <f ca="1">C6+C10+C12</f>
        <v>#N/A</v>
      </c>
      <c r="D5" s="1272" t="s">
        <v>693</v>
      </c>
      <c r="E5" s="1007"/>
      <c r="F5" s="1008"/>
      <c r="G5" s="1291"/>
      <c r="H5" s="290">
        <v>1</v>
      </c>
      <c r="I5" s="291" t="s">
        <v>692</v>
      </c>
      <c r="J5" s="1006" t="e">
        <f ca="1">J6+J10+J12</f>
        <v>#N/A</v>
      </c>
      <c r="K5" s="1272" t="s">
        <v>693</v>
      </c>
      <c r="L5" s="1007"/>
      <c r="M5" s="1008"/>
    </row>
    <row r="6" spans="1:37" ht="18" customHeight="1">
      <c r="A6" s="1005" t="s">
        <v>398</v>
      </c>
      <c r="B6" s="3442" t="s">
        <v>694</v>
      </c>
      <c r="C6" s="1010" t="e">
        <f ca="1">ROUND(F6*F8*F7*(1-F9)/10000,0)</f>
        <v>#N/A</v>
      </c>
      <c r="D6" s="147" t="s">
        <v>2105</v>
      </c>
      <c r="E6" s="293" t="s">
        <v>696</v>
      </c>
      <c r="F6" s="294" t="e">
        <f ca="1">INDIRECT("'数据-取费表'!u"&amp;$G$1)</f>
        <v>#N/A</v>
      </c>
      <c r="G6" s="1291"/>
      <c r="H6" s="1005" t="s">
        <v>398</v>
      </c>
      <c r="I6" s="3442" t="s">
        <v>694</v>
      </c>
      <c r="J6" s="292" t="e">
        <f ca="1">ROUND(M6*M8*M7*(1-M9)/10000,0)</f>
        <v>#N/A</v>
      </c>
      <c r="K6" s="147" t="s">
        <v>2104</v>
      </c>
      <c r="L6" s="293" t="s">
        <v>696</v>
      </c>
      <c r="M6" s="294" t="e">
        <f ca="1">INDIRECT("'数据-取费表'!z"&amp;$G$1)</f>
        <v>#N/A</v>
      </c>
    </row>
    <row r="7" spans="1:37" ht="18" customHeight="1">
      <c r="A7" s="1009"/>
      <c r="B7" s="3443"/>
      <c r="C7" s="1011"/>
      <c r="D7" s="298"/>
      <c r="E7" s="1012" t="s">
        <v>697</v>
      </c>
      <c r="F7" s="294" t="e">
        <f ca="1">IF(INDIRECT("'数据-取费表'!ah"&amp;$G$1)="",INDIRECT("'数据-取费表'!k"&amp;$G$1),INDIRECT("'数据-取费表'!ah"&amp;$G$1))</f>
        <v>#N/A</v>
      </c>
      <c r="G7" s="1291"/>
      <c r="H7" s="295"/>
      <c r="I7" s="3443"/>
      <c r="J7" s="297"/>
      <c r="K7" s="298"/>
      <c r="L7" s="293" t="s">
        <v>697</v>
      </c>
      <c r="M7" s="294" t="e">
        <f ca="1">F7</f>
        <v>#N/A</v>
      </c>
    </row>
    <row r="8" spans="1:37" ht="18" customHeight="1">
      <c r="A8" s="295"/>
      <c r="B8" s="3443"/>
      <c r="C8" s="297"/>
      <c r="D8" s="298"/>
      <c r="E8" s="293" t="s">
        <v>698</v>
      </c>
      <c r="F8" s="294" t="e">
        <f ca="1">INDIRECT("'数据-取费表'!ai"&amp;$G$1)</f>
        <v>#N/A</v>
      </c>
      <c r="G8" s="1291"/>
      <c r="H8" s="295"/>
      <c r="I8" s="3443"/>
      <c r="J8" s="297"/>
      <c r="K8" s="298"/>
      <c r="L8" s="293" t="s">
        <v>698</v>
      </c>
      <c r="M8" s="294" t="e">
        <f ca="1">INDIRECT("'数据-取费表'!ai"&amp;$G$1)</f>
        <v>#N/A</v>
      </c>
    </row>
    <row r="9" spans="1:37" ht="18" customHeight="1">
      <c r="A9" s="295"/>
      <c r="B9" s="3444"/>
      <c r="C9" s="297"/>
      <c r="D9" s="298"/>
      <c r="E9" s="293" t="s">
        <v>699</v>
      </c>
      <c r="F9" s="303" t="e">
        <f ca="1">INDIRECT("'数据-取费表'!w"&amp;$G$1)</f>
        <v>#N/A</v>
      </c>
      <c r="G9" s="1291"/>
      <c r="H9" s="295"/>
      <c r="I9" s="3444"/>
      <c r="J9" s="297"/>
      <c r="K9" s="298"/>
      <c r="L9" s="304" t="s">
        <v>699</v>
      </c>
      <c r="M9" s="305" t="e">
        <f ca="1">INDIRECT("'数据-取费表'!ab"&amp;$G$1)</f>
        <v>#N/A</v>
      </c>
    </row>
    <row r="10" spans="1:37" ht="18" customHeight="1">
      <c r="A10" s="1005" t="s">
        <v>402</v>
      </c>
      <c r="B10" s="1273" t="s">
        <v>700</v>
      </c>
      <c r="C10" s="307" t="e">
        <f ca="1">ROUND(IF(F10="押一",C6/12*F11,IF(F10="押二",C6/12*2*F11,IF(F10="押三",C6/12*3*F11,C11*F11))),0)</f>
        <v>#N/A</v>
      </c>
      <c r="D10" s="150" t="s">
        <v>2113</v>
      </c>
      <c r="E10" s="304" t="s">
        <v>701</v>
      </c>
      <c r="F10" s="1052" t="s">
        <v>3538</v>
      </c>
      <c r="G10" s="1291"/>
      <c r="H10" s="1005" t="s">
        <v>402</v>
      </c>
      <c r="I10" s="1273" t="s">
        <v>700</v>
      </c>
      <c r="J10" s="292">
        <f ca="1">ROUND(IF(M10="押一",J6/12*M11,IF(M10="押二",J6/12*2*M11,IF(M10="押三",J6/12*3*M11,J11*M11))),0)</f>
        <v>0</v>
      </c>
      <c r="K10" s="150" t="s">
        <v>2112</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t="e">
        <f ca="1">ROUND(C29*F13,0)</f>
        <v>#N/A</v>
      </c>
      <c r="D13" s="1017" t="s">
        <v>705</v>
      </c>
      <c r="E13" s="1017" t="s">
        <v>706</v>
      </c>
      <c r="F13" s="1018" t="e">
        <f ca="1">INDIRECT("'数据-取费表'!y"&amp;$G$1)</f>
        <v>#N/A</v>
      </c>
      <c r="G13" s="1291"/>
      <c r="H13" s="1015">
        <v>2</v>
      </c>
      <c r="I13" s="1016" t="s">
        <v>704</v>
      </c>
      <c r="J13" s="1004" t="e">
        <f ca="1">ROUND(J14*J15,0)</f>
        <v>#N/A</v>
      </c>
      <c r="K13" s="1023" t="s">
        <v>705</v>
      </c>
      <c r="L13" s="1298"/>
      <c r="M13" s="1299"/>
    </row>
    <row r="14" spans="1:37" ht="18" customHeight="1">
      <c r="A14" s="927" t="s">
        <v>397</v>
      </c>
      <c r="B14" s="293" t="s">
        <v>707</v>
      </c>
      <c r="C14" s="309" t="e">
        <f ca="1">INDIRECT("'数据-取费表'!m"&amp;$G$1)+INDIRECT("'数据-取费表'!t"&amp;$G$1)</f>
        <v>#N/A</v>
      </c>
      <c r="D14" s="1256" t="s">
        <v>708</v>
      </c>
      <c r="E14" s="1254"/>
      <c r="F14" s="310"/>
      <c r="G14" s="1291"/>
      <c r="H14" s="927" t="s">
        <v>398</v>
      </c>
      <c r="I14" s="293" t="s">
        <v>709</v>
      </c>
      <c r="J14" s="21" t="e">
        <f ca="1">C29</f>
        <v>#N/A</v>
      </c>
      <c r="K14" s="12"/>
      <c r="L14" s="758"/>
      <c r="M14" s="759"/>
    </row>
    <row r="15" spans="1:37" s="1303" customFormat="1" ht="18" customHeight="1" thickBot="1">
      <c r="A15" s="927" t="s">
        <v>399</v>
      </c>
      <c r="B15" s="293" t="s">
        <v>710</v>
      </c>
      <c r="C15" s="21" t="e">
        <f ca="1">ROUND(C14*F15,0)</f>
        <v>#N/A</v>
      </c>
      <c r="D15" s="311" t="s">
        <v>711</v>
      </c>
      <c r="E15" s="311" t="s">
        <v>712</v>
      </c>
      <c r="F15" s="312">
        <f>'数据-取费表'!B33</f>
        <v>0.03</v>
      </c>
      <c r="G15" s="1302"/>
      <c r="H15" s="1025" t="s">
        <v>402</v>
      </c>
      <c r="I15" s="1026" t="s">
        <v>706</v>
      </c>
      <c r="J15" s="1035" t="e">
        <f ca="1">INDIRECT("'数据-取费表'!ad"&amp;$G$1)</f>
        <v>#N/A</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t="e">
        <f ca="1">ROUND(INDIRECT("'数据-取费表'!m"&amp;$G$1)*F16,0)</f>
        <v>#N/A</v>
      </c>
      <c r="D16" s="293" t="s">
        <v>711</v>
      </c>
      <c r="E16" s="293" t="s">
        <v>712</v>
      </c>
      <c r="F16" s="313" t="e">
        <f ca="1">IF(INDIRECT("'数据-取费表'!c"&amp;$G$1)="住宅",'数据-取费表'!B34,0)</f>
        <v>#N/A</v>
      </c>
      <c r="G16" s="1291"/>
      <c r="H16" s="1015" t="s">
        <v>393</v>
      </c>
      <c r="I16" s="1016" t="s">
        <v>714</v>
      </c>
      <c r="J16" s="301" t="e">
        <f ca="1">ROUND(J17+J22+J23+J24,0)</f>
        <v>#N/A</v>
      </c>
      <c r="K16" s="1023" t="s">
        <v>715</v>
      </c>
      <c r="L16" s="1024"/>
      <c r="M16" s="1008"/>
    </row>
    <row r="17" spans="1:37" s="1303" customFormat="1" ht="18" customHeight="1">
      <c r="A17" s="927" t="s">
        <v>681</v>
      </c>
      <c r="B17" s="293" t="s">
        <v>716</v>
      </c>
      <c r="C17" s="21" t="e">
        <f ca="1">ROUND(F17*(F43+INDIRECT("'数据-取费表'!S"&amp;$G$1))/10000,0)</f>
        <v>#N/A</v>
      </c>
      <c r="D17" s="293" t="s">
        <v>717</v>
      </c>
      <c r="E17" s="293" t="s">
        <v>718</v>
      </c>
      <c r="F17" s="23">
        <f>'数据-取费表'!B35</f>
        <v>200</v>
      </c>
      <c r="G17" s="1302"/>
      <c r="H17" s="927" t="s">
        <v>398</v>
      </c>
      <c r="I17" s="293" t="s">
        <v>719</v>
      </c>
      <c r="J17" s="2138" t="e">
        <f ca="1">ROUND(IF(AND(项目基本情况!B11="自然人",项目基本情况!B10="北京市"),J6*M17/(1+'数据-取费表'!C42),J18+J19+J20),2)</f>
        <v>#N/A</v>
      </c>
      <c r="K17" s="1256" t="s">
        <v>720</v>
      </c>
      <c r="L17" s="1255" t="s">
        <v>721</v>
      </c>
      <c r="M17" s="2137"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t="e">
        <f ca="1">ROUND(C14*F18,0)</f>
        <v>#N/A</v>
      </c>
      <c r="D18" s="293" t="s">
        <v>711</v>
      </c>
      <c r="E18" s="293" t="s">
        <v>712</v>
      </c>
      <c r="F18" s="313">
        <f>'数据-取费表'!B36</f>
        <v>1.4999999999999999E-2</v>
      </c>
      <c r="G18" s="1302"/>
      <c r="H18" s="927" t="s">
        <v>397</v>
      </c>
      <c r="I18" s="293" t="s">
        <v>723</v>
      </c>
      <c r="J18" s="21" t="e">
        <f ca="1">ROUND(J6*M18/(1+'数据-取费表'!C42),2)</f>
        <v>#N/A</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t="e">
        <f ca="1">SUM(C14:C18)</f>
        <v>#N/A</v>
      </c>
      <c r="D19" s="123" t="s">
        <v>726</v>
      </c>
      <c r="E19" s="1268"/>
      <c r="F19" s="23"/>
      <c r="G19" s="1291"/>
      <c r="H19" s="927" t="s">
        <v>399</v>
      </c>
      <c r="I19" s="293" t="s">
        <v>727</v>
      </c>
      <c r="J19" s="21" t="e">
        <f ca="1">IF(K19="按租金收入计税",ROUND(J6*M19/(1+'数据-取费表'!C42),2),ROUND(C29*M19*0.7,2))</f>
        <v>#N/A</v>
      </c>
      <c r="K19" s="1277" t="s">
        <v>3326</v>
      </c>
      <c r="L19" s="293" t="s">
        <v>712</v>
      </c>
      <c r="M19" s="313">
        <f>IF(K19="按租金收入计税",'数据-取费表'!B51,'数据-取费表'!B50)</f>
        <v>0.12</v>
      </c>
    </row>
    <row r="20" spans="1:37" s="1303" customFormat="1" ht="18" customHeight="1">
      <c r="A20" s="927" t="s">
        <v>402</v>
      </c>
      <c r="B20" s="293" t="s">
        <v>728</v>
      </c>
      <c r="C20" s="21" t="e">
        <f ca="1">ROUND(C19*F20,0)</f>
        <v>#N/A</v>
      </c>
      <c r="D20" s="314" t="s">
        <v>729</v>
      </c>
      <c r="E20" s="293" t="s">
        <v>712</v>
      </c>
      <c r="F20" s="313">
        <f>'数据-取费表'!B37</f>
        <v>0.02</v>
      </c>
      <c r="G20" s="1302"/>
      <c r="H20" s="927" t="s">
        <v>680</v>
      </c>
      <c r="I20" s="147" t="s">
        <v>730</v>
      </c>
      <c r="J20" s="22" t="e">
        <f ca="1">ROUND(M20*M21/10000,2)</f>
        <v>#N/A</v>
      </c>
      <c r="K20" s="315" t="s">
        <v>731</v>
      </c>
      <c r="L20" s="293" t="s">
        <v>732</v>
      </c>
      <c r="M20" s="316">
        <f>'数据-取费表'!B52</f>
        <v>30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t="e">
        <f ca="1">INDIRECT("'数据-取费表'!r"&amp;$G$1)</f>
        <v>#N/A</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3" t="str">
        <f>IF(F23&lt;=1,"单利计息。","复利计息。")&amp;"建造成本、管理费用、销售费用产生的利息。"</f>
        <v>复利计息。建造成本、管理费用、销售费用产生的利息。</v>
      </c>
      <c r="E22" s="1268"/>
      <c r="F22" s="23"/>
      <c r="G22" s="1291"/>
      <c r="H22" s="927" t="s">
        <v>402</v>
      </c>
      <c r="I22" s="293" t="s">
        <v>738</v>
      </c>
      <c r="J22" s="21" t="e">
        <f ca="1">ROUND(J14*M22,2)</f>
        <v>#N/A</v>
      </c>
      <c r="K22" s="1255" t="s">
        <v>739</v>
      </c>
      <c r="L22" s="293" t="s">
        <v>712</v>
      </c>
      <c r="M22" s="319" t="e">
        <f ca="1">INDIRECT("'数据-取费表'!Ak"&amp;$G$1)</f>
        <v>#N/A</v>
      </c>
    </row>
    <row r="23" spans="1:37" s="1303" customFormat="1" ht="18" customHeight="1">
      <c r="A23" s="927" t="s">
        <v>397</v>
      </c>
      <c r="B23" s="293"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t="e">
        <f ca="1">ROUND(J13*M23,2)</f>
        <v>#N/A</v>
      </c>
      <c r="K23" s="1255" t="s">
        <v>743</v>
      </c>
      <c r="L23" s="293" t="s">
        <v>744</v>
      </c>
      <c r="M23" s="320" t="e">
        <f ca="1">INDIRECT("'数据-取费表'!Al"&amp;$G$1)</f>
        <v>#N/A</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8.0000000000000004E-4</v>
      </c>
      <c r="D24" s="138" t="str">
        <f>IF(F23&lt;=1,"销售费用×利率×(建设周期÷2)","销售费用×((1+利率)^(建设周期÷2)-1)")</f>
        <v>销售费用×((1+利率)^(建设周期÷2)-1)</v>
      </c>
      <c r="E24" s="293" t="s">
        <v>747</v>
      </c>
      <c r="F24" s="321">
        <f ca="1">'数据-取费表'!B40</f>
        <v>4.1499999999999995E-2</v>
      </c>
      <c r="G24" s="1302"/>
      <c r="H24" s="1025" t="s">
        <v>684</v>
      </c>
      <c r="I24" s="1026" t="s">
        <v>728</v>
      </c>
      <c r="J24" s="1027" t="e">
        <f ca="1">ROUND(J5*M24,2)</f>
        <v>#N/A</v>
      </c>
      <c r="K24" s="1028" t="s">
        <v>748</v>
      </c>
      <c r="L24" s="1026" t="s">
        <v>744</v>
      </c>
      <c r="M24" s="1022" t="e">
        <f ca="1">INDIRECT("'数据-取费表'!Am"&amp;$G$1)</f>
        <v>#N/A</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3" t="s">
        <v>751</v>
      </c>
      <c r="E25" s="1268"/>
      <c r="F25" s="23"/>
      <c r="G25" s="1291"/>
      <c r="H25" s="1015" t="s">
        <v>394</v>
      </c>
      <c r="I25" s="1030" t="s">
        <v>752</v>
      </c>
      <c r="J25" s="301" t="e">
        <f ca="1">J5-J16</f>
        <v>#N/A</v>
      </c>
      <c r="K25" s="1031" t="s">
        <v>753</v>
      </c>
      <c r="L25" s="1032"/>
      <c r="M25" s="1033"/>
    </row>
    <row r="26" spans="1:37">
      <c r="A26" s="927" t="s">
        <v>397</v>
      </c>
      <c r="B26" s="293" t="s">
        <v>754</v>
      </c>
      <c r="C26" s="21" t="e">
        <f ca="1">ROUND((C19+C20)*F26,0)</f>
        <v>#N/A</v>
      </c>
      <c r="D26" s="314" t="s">
        <v>755</v>
      </c>
      <c r="E26" s="304" t="s">
        <v>756</v>
      </c>
      <c r="F26" s="303" t="e">
        <f ca="1">INDIRECT("'数据-取费表'!q"&amp;$G$1)</f>
        <v>#N/A</v>
      </c>
      <c r="G26" s="1291"/>
      <c r="H26" s="290" t="s">
        <v>395</v>
      </c>
      <c r="I26" s="291" t="s">
        <v>757</v>
      </c>
      <c r="J26" s="292" t="e">
        <f ca="1">IF(J5&lt;&gt;0,ROUND(J25*(1-((1+M28)/(1+M26))^M27)/(M26-M28),0),0)</f>
        <v>#N/A</v>
      </c>
      <c r="K26" s="315" t="s">
        <v>758</v>
      </c>
      <c r="L26" s="293" t="s">
        <v>759</v>
      </c>
      <c r="M26" s="303" t="e">
        <f ca="1">INDIRECT("'数据-取费表'!I"&amp;$G$1)</f>
        <v>#N/A</v>
      </c>
    </row>
    <row r="27" spans="1:37" ht="18" customHeight="1">
      <c r="A27" s="927" t="s">
        <v>399</v>
      </c>
      <c r="B27" s="293" t="s">
        <v>760</v>
      </c>
      <c r="C27" s="21" t="e">
        <f ca="1">ROUND(F21*F26,4)</f>
        <v>#N/A</v>
      </c>
      <c r="D27" s="314" t="s">
        <v>761</v>
      </c>
      <c r="E27" s="311"/>
      <c r="F27" s="312"/>
      <c r="G27" s="1291"/>
      <c r="H27" s="295"/>
      <c r="I27" s="296"/>
      <c r="J27" s="297"/>
      <c r="K27" s="322" t="s">
        <v>762</v>
      </c>
      <c r="L27" s="293" t="s">
        <v>763</v>
      </c>
      <c r="M27" s="323" t="e">
        <f ca="1">INDIRECT("'数据-取费表'!ag"&amp;$G$1)</f>
        <v>#N/A</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t="e">
        <f ca="1">INDIRECT("'数据-取费表'!aa"&amp;$G$1)</f>
        <v>#N/A</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t="e">
        <f ca="1">ROUND((C19+C20+C23+C26)/(1-F21-C24-C27-C28),0)</f>
        <v>#N/A</v>
      </c>
      <c r="D29" s="1028"/>
      <c r="E29" s="1026"/>
      <c r="F29" s="1029"/>
      <c r="G29" s="1302"/>
      <c r="H29" s="324" t="s">
        <v>396</v>
      </c>
      <c r="I29" s="325" t="s">
        <v>768</v>
      </c>
      <c r="J29" s="326" t="e">
        <f ca="1">ROUND(J26/(1+F40)^F41,0)</f>
        <v>#N/A</v>
      </c>
      <c r="K29" s="327" t="s">
        <v>769</v>
      </c>
      <c r="L29" s="328"/>
      <c r="M29" s="329" t="e">
        <f ca="1">INDIRECT("'数据-取费表'!k"&amp;$G$1)</f>
        <v>#N/A</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t="e">
        <f ca="1">ROUND(C31+C36+C37+C38,0)</f>
        <v>#N/A</v>
      </c>
      <c r="D30" s="1023" t="s">
        <v>715</v>
      </c>
      <c r="E30" s="1024"/>
      <c r="F30" s="1008"/>
      <c r="G30" s="1291"/>
      <c r="H30" s="2467"/>
      <c r="I30" s="1304"/>
      <c r="J30" s="1305"/>
      <c r="K30" s="121"/>
      <c r="L30" s="2468"/>
      <c r="M30" s="2469"/>
    </row>
    <row r="31" spans="1:37" ht="18" customHeight="1">
      <c r="A31" s="927" t="s">
        <v>398</v>
      </c>
      <c r="B31" s="293" t="s">
        <v>719</v>
      </c>
      <c r="C31" s="2138" t="e">
        <f ca="1">ROUND(IF(AND(项目基本情况!B11="自然人",项目基本情况!B10="北京市"),C6*F31/(1+'数据-取费表'!C42),C32+C33+C34),2)</f>
        <v>#N/A</v>
      </c>
      <c r="D31" s="1256" t="s">
        <v>720</v>
      </c>
      <c r="E31" s="1255" t="s">
        <v>770</v>
      </c>
      <c r="F31" s="2137" t="str">
        <f>IF(项目基本情况!B11="企业","——",IF(M47="住宅",IF(F6*F7*F8/12/(1+'数据-取费表'!F30)&gt;100000,4%,2.5%),IF(F6*F7*F8/12/(1+'数据-取费表'!F30)&gt;100000,12%,7%)))</f>
        <v>——</v>
      </c>
      <c r="G31" s="1291"/>
      <c r="H31" s="2566" t="s">
        <v>2294</v>
      </c>
      <c r="I31" s="1304"/>
      <c r="J31" s="1305"/>
      <c r="K31" s="121"/>
      <c r="L31" s="2468"/>
      <c r="M31" s="2469"/>
    </row>
    <row r="32" spans="1:37" ht="18" customHeight="1">
      <c r="A32" s="927" t="s">
        <v>397</v>
      </c>
      <c r="B32" s="293" t="s">
        <v>723</v>
      </c>
      <c r="C32" s="21" t="e">
        <f ca="1">IF(项目基本情况!B11="自然人","——",ROUND(C6*F32/(1+'数据-取费表'!C42),2))</f>
        <v>#N/A</v>
      </c>
      <c r="D32" s="1255" t="s">
        <v>724</v>
      </c>
      <c r="E32" s="293" t="s">
        <v>712</v>
      </c>
      <c r="F32" s="321">
        <f>'数据-取费表'!B41</f>
        <v>5.6000000000000001E-2</v>
      </c>
      <c r="G32" s="1291"/>
      <c r="H32" s="2467"/>
      <c r="I32" s="1304"/>
      <c r="J32" s="1305"/>
      <c r="K32" s="121"/>
      <c r="L32" s="2468"/>
      <c r="M32" s="2469"/>
    </row>
    <row r="33" spans="1:18" ht="18" customHeight="1">
      <c r="A33" s="927" t="s">
        <v>399</v>
      </c>
      <c r="B33" s="293" t="s">
        <v>727</v>
      </c>
      <c r="C33" s="21" t="e">
        <f ca="1">IF(项目基本情况!B11="自然人","——",IF(D33="按租金收入计税",ROUND(C6*F33/(1+'数据-取费表'!C42),2),IF(D33="按房产原值计税",ROUND(C29*F33*0.7,2),INDIRECT("'数据-取费表'!Aj"&amp;$G$1))))</f>
        <v>#N/A</v>
      </c>
      <c r="D33" s="1277" t="s">
        <v>3326</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7" t="s">
        <v>730</v>
      </c>
      <c r="C34" s="22" t="e">
        <f ca="1">IF(项目基本情况!B11="自然人","——",ROUND(F34*F35/10000,2))</f>
        <v>#N/A</v>
      </c>
      <c r="D34" s="315" t="s">
        <v>731</v>
      </c>
      <c r="E34" s="293" t="s">
        <v>732</v>
      </c>
      <c r="F34" s="316">
        <f>'数据-取费表'!B52</f>
        <v>30</v>
      </c>
      <c r="G34" s="1291"/>
      <c r="H34" s="2467"/>
      <c r="I34" s="1304"/>
      <c r="J34" s="1305"/>
      <c r="K34" s="2472"/>
      <c r="L34" s="2473"/>
      <c r="M34" s="2473"/>
    </row>
    <row r="35" spans="1:18" ht="18" customHeight="1">
      <c r="A35" s="1039"/>
      <c r="B35" s="1037"/>
      <c r="C35" s="26"/>
      <c r="D35" s="318"/>
      <c r="E35" s="293" t="s">
        <v>736</v>
      </c>
      <c r="F35" s="294" t="e">
        <f ca="1">INDIRECT("'数据-取费表'!r"&amp;$G$1)</f>
        <v>#N/A</v>
      </c>
      <c r="G35" s="1291"/>
      <c r="H35" s="2467"/>
      <c r="I35" s="1304"/>
      <c r="J35" s="1305"/>
      <c r="K35" s="2471"/>
      <c r="L35" s="2470"/>
      <c r="M35" s="2470"/>
    </row>
    <row r="36" spans="1:18" ht="18" customHeight="1">
      <c r="A36" s="1038" t="s">
        <v>402</v>
      </c>
      <c r="B36" s="293" t="s">
        <v>738</v>
      </c>
      <c r="C36" s="21" t="e">
        <f ca="1">ROUND(C29*F36,2)</f>
        <v>#N/A</v>
      </c>
      <c r="D36" s="1255" t="s">
        <v>771</v>
      </c>
      <c r="E36" s="293" t="s">
        <v>712</v>
      </c>
      <c r="F36" s="319" t="e">
        <f ca="1">INDIRECT("'数据-取费表'!Ak"&amp;$G$1)</f>
        <v>#N/A</v>
      </c>
      <c r="G36" s="1291"/>
      <c r="H36" s="2470"/>
      <c r="I36" s="1304"/>
      <c r="J36" s="1305"/>
      <c r="K36" s="2328"/>
      <c r="L36" s="2470"/>
      <c r="M36" s="2470"/>
    </row>
    <row r="37" spans="1:18" ht="18" customHeight="1">
      <c r="A37" s="927" t="s">
        <v>437</v>
      </c>
      <c r="B37" s="293" t="s">
        <v>742</v>
      </c>
      <c r="C37" s="21" t="e">
        <f ca="1">ROUND(C13*F37,2)</f>
        <v>#N/A</v>
      </c>
      <c r="D37" s="1255" t="s">
        <v>743</v>
      </c>
      <c r="E37" s="293" t="s">
        <v>744</v>
      </c>
      <c r="F37" s="320" t="e">
        <f ca="1">INDIRECT("'数据-取费表'!Al"&amp;$G$1)</f>
        <v>#N/A</v>
      </c>
      <c r="G37" s="1291"/>
      <c r="H37" s="2470"/>
      <c r="I37" s="1304"/>
      <c r="J37" s="1305"/>
      <c r="K37" s="2328"/>
      <c r="L37" s="2470"/>
      <c r="M37" s="2470"/>
    </row>
    <row r="38" spans="1:18" ht="18" customHeight="1" thickBot="1">
      <c r="A38" s="1025" t="s">
        <v>684</v>
      </c>
      <c r="B38" s="1026" t="s">
        <v>728</v>
      </c>
      <c r="C38" s="1027" t="e">
        <f ca="1">ROUND(C5*F38,2)</f>
        <v>#N/A</v>
      </c>
      <c r="D38" s="1028" t="s">
        <v>748</v>
      </c>
      <c r="E38" s="1026" t="s">
        <v>744</v>
      </c>
      <c r="F38" s="1022" t="e">
        <f ca="1">INDIRECT("'数据-取费表'!Am"&amp;$G$1)</f>
        <v>#N/A</v>
      </c>
      <c r="G38" s="1291"/>
      <c r="H38" s="2470"/>
      <c r="I38" s="1304"/>
      <c r="J38" s="1305"/>
      <c r="K38" s="2468"/>
      <c r="L38" s="2470"/>
      <c r="M38" s="2470"/>
    </row>
    <row r="39" spans="1:18" ht="24.6" customHeight="1" thickTop="1">
      <c r="A39" s="1015" t="s">
        <v>394</v>
      </c>
      <c r="B39" s="1030" t="s">
        <v>772</v>
      </c>
      <c r="C39" s="301" t="e">
        <f ca="1">C5-C30</f>
        <v>#N/A</v>
      </c>
      <c r="D39" s="1031" t="s">
        <v>773</v>
      </c>
      <c r="E39" s="1032"/>
      <c r="F39" s="1033"/>
      <c r="G39" s="1291"/>
      <c r="H39" s="2470"/>
      <c r="I39" s="1304"/>
      <c r="J39" s="1305"/>
      <c r="K39" s="2468"/>
      <c r="L39" s="2470"/>
      <c r="M39" s="2470"/>
    </row>
    <row r="40" spans="1:18" ht="18" customHeight="1">
      <c r="A40" s="290" t="s">
        <v>395</v>
      </c>
      <c r="B40" s="291" t="s">
        <v>774</v>
      </c>
      <c r="C40" s="292" t="e">
        <f ca="1">ROUND(C39*(1-((1+F42)/(1+F40))^F41)/(F40-F42),0)</f>
        <v>#N/A</v>
      </c>
      <c r="D40" s="315" t="s">
        <v>758</v>
      </c>
      <c r="E40" s="293" t="s">
        <v>759</v>
      </c>
      <c r="F40" s="303" t="e">
        <f ca="1">INDIRECT("'数据-取费表'!I"&amp;$G$1)</f>
        <v>#N/A</v>
      </c>
      <c r="G40" s="1291"/>
      <c r="H40" s="1365"/>
      <c r="I40" s="1304"/>
      <c r="J40" s="1305"/>
      <c r="K40" s="2468"/>
      <c r="L40" s="1365"/>
      <c r="M40" s="1365"/>
    </row>
    <row r="41" spans="1:18" ht="18" customHeight="1">
      <c r="A41" s="295"/>
      <c r="B41" s="296"/>
      <c r="C41" s="297"/>
      <c r="D41" s="322" t="s">
        <v>775</v>
      </c>
      <c r="E41" s="293" t="s">
        <v>763</v>
      </c>
      <c r="F41" s="323" t="e">
        <f ca="1">IF(INDIRECT("'数据-取费表'!af"&amp;$G$1)=0,INDIRECT("'数据-取费表'!ae"&amp;$G$1),INDIRECT("'数据-取费表'!af"&amp;$G$1))</f>
        <v>#N/A</v>
      </c>
      <c r="G41" s="1291"/>
      <c r="H41" s="121"/>
      <c r="I41" s="1304"/>
      <c r="J41" s="1305"/>
      <c r="K41" s="2328"/>
      <c r="L41" s="121"/>
      <c r="M41" s="121"/>
    </row>
    <row r="42" spans="1:18" ht="18" customHeight="1">
      <c r="A42" s="299"/>
      <c r="B42" s="300"/>
      <c r="C42" s="301"/>
      <c r="D42" s="318"/>
      <c r="E42" s="293" t="s">
        <v>766</v>
      </c>
      <c r="F42" s="303" t="e">
        <f ca="1">INDIRECT("'数据-取费表'!v"&amp;$G$1)</f>
        <v>#N/A</v>
      </c>
      <c r="G42" s="1291"/>
      <c r="H42" s="121"/>
      <c r="I42" s="1304"/>
      <c r="J42" s="1305"/>
      <c r="K42" s="2328"/>
      <c r="L42" s="121"/>
      <c r="M42" s="121"/>
    </row>
    <row r="43" spans="1:18" ht="18" customHeight="1" thickBot="1">
      <c r="A43" s="324" t="s">
        <v>396</v>
      </c>
      <c r="B43" s="325" t="s">
        <v>776</v>
      </c>
      <c r="C43" s="326" t="e">
        <f ca="1">ROUND(C40*10000/F43,0)</f>
        <v>#N/A</v>
      </c>
      <c r="D43" s="327" t="s">
        <v>777</v>
      </c>
      <c r="E43" s="328" t="s">
        <v>778</v>
      </c>
      <c r="F43" s="329" t="e">
        <f ca="1">INDIRECT("'数据-取费表'!k"&amp;$G$1)</f>
        <v>#N/A</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4" t="s">
        <v>808</v>
      </c>
      <c r="P45" s="1365"/>
      <c r="Q45" s="1365"/>
      <c r="R45" s="1365"/>
    </row>
    <row r="46" spans="1:18" s="1291" customFormat="1" ht="13.5" thickBot="1">
      <c r="A46" s="1310" t="s">
        <v>809</v>
      </c>
      <c r="C46" s="1311" t="e">
        <f ca="1">C68-C40</f>
        <v>#N/A</v>
      </c>
      <c r="D46" s="1312" t="str">
        <f>C2</f>
        <v>万元</v>
      </c>
      <c r="E46" s="1306"/>
      <c r="F46" s="1306"/>
      <c r="I46" s="1313" t="s">
        <v>810</v>
      </c>
      <c r="J46" s="1314"/>
      <c r="K46" s="1315"/>
      <c r="L46" s="1316" t="e">
        <f ca="1">IF(M47="住宅",0,IF(L48&gt;J51,L60,J60))</f>
        <v>#N/A</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3539</v>
      </c>
      <c r="K47" s="1322" t="s">
        <v>816</v>
      </c>
      <c r="L47" s="1323" t="e">
        <f ca="1">INDIRECT("'数据-取费表'!d"&amp;$G$1)</f>
        <v>#N/A</v>
      </c>
      <c r="M47" s="1287" t="str">
        <f>IF(ISNUMBER(FIND("住宅",C1)),"住宅","非住宅")</f>
        <v>非住宅</v>
      </c>
      <c r="O47" s="1324" t="s">
        <v>403</v>
      </c>
      <c r="P47" s="1325" t="s">
        <v>817</v>
      </c>
      <c r="Q47" s="1326" t="e">
        <f ca="1">C40+J29</f>
        <v>#N/A</v>
      </c>
      <c r="R47" s="1326" t="s">
        <v>818</v>
      </c>
    </row>
    <row r="48" spans="1:18" s="1291" customFormat="1" ht="28.5" thickBot="1">
      <c r="A48" s="1046" t="s">
        <v>438</v>
      </c>
      <c r="B48" s="291" t="s">
        <v>692</v>
      </c>
      <c r="C48" s="1267" t="e">
        <f ca="1">C49+C53+C55</f>
        <v>#N/A</v>
      </c>
      <c r="D48" s="1048"/>
      <c r="E48" s="1049"/>
      <c r="F48" s="907"/>
      <c r="G48" s="680"/>
      <c r="H48" s="681"/>
      <c r="I48" s="1327" t="s">
        <v>819</v>
      </c>
      <c r="J48" s="1328" t="s">
        <v>3540</v>
      </c>
      <c r="K48" s="1329" t="s">
        <v>820</v>
      </c>
      <c r="L48" s="1330" t="e">
        <f ca="1">INDIRECT("'数据-取费表'!f"&amp;$G$1)</f>
        <v>#N/A</v>
      </c>
      <c r="O48" s="1324" t="s">
        <v>404</v>
      </c>
      <c r="P48" s="1325" t="s">
        <v>821</v>
      </c>
      <c r="Q48" s="1326" t="e">
        <f ca="1">J60</f>
        <v>#N/A</v>
      </c>
      <c r="R48" s="1326" t="s">
        <v>822</v>
      </c>
    </row>
    <row r="49" spans="1:18" s="1291" customFormat="1" ht="13.5" thickBot="1">
      <c r="A49" s="920" t="s">
        <v>439</v>
      </c>
      <c r="B49" s="1278" t="s">
        <v>779</v>
      </c>
      <c r="C49" s="1050" t="e">
        <f ca="1">ROUND(F49*F51*F50*(1-F52)/10000,0)</f>
        <v>#N/A</v>
      </c>
      <c r="D49" s="991" t="s">
        <v>2106</v>
      </c>
      <c r="E49" s="1279" t="s">
        <v>780</v>
      </c>
      <c r="F49" s="996"/>
      <c r="H49" s="681"/>
      <c r="I49" s="1327" t="s">
        <v>823</v>
      </c>
      <c r="J49" s="1331">
        <v>2011</v>
      </c>
      <c r="K49" s="1329" t="s">
        <v>824</v>
      </c>
      <c r="L49" s="1332"/>
      <c r="O49" s="1333" t="s">
        <v>405</v>
      </c>
      <c r="P49" s="1325" t="s">
        <v>825</v>
      </c>
      <c r="Q49" s="1326" t="e">
        <f ca="1">C29</f>
        <v>#N/A</v>
      </c>
      <c r="R49" s="1326" t="s">
        <v>818</v>
      </c>
    </row>
    <row r="50" spans="1:18" s="1291" customFormat="1" ht="13.5" thickBot="1">
      <c r="A50" s="921"/>
      <c r="B50" s="924"/>
      <c r="C50" s="1054"/>
      <c r="D50" s="898"/>
      <c r="E50" s="992" t="s">
        <v>697</v>
      </c>
      <c r="F50" s="993" t="e">
        <f ca="1">F7</f>
        <v>#N/A</v>
      </c>
      <c r="H50" s="681"/>
      <c r="I50" s="1327" t="s">
        <v>826</v>
      </c>
      <c r="J50" s="1334">
        <f>SUMPRODUCT((I63:I65=J47)*(J62:L62=J48)*(J63:L65))</f>
        <v>60</v>
      </c>
      <c r="K50" s="1329" t="s">
        <v>827</v>
      </c>
      <c r="L50" s="1332"/>
      <c r="M50" s="1335"/>
      <c r="O50" s="1333" t="s">
        <v>406</v>
      </c>
      <c r="P50" s="1325" t="s">
        <v>828</v>
      </c>
      <c r="Q50" s="1336" t="e">
        <f ca="1">J58</f>
        <v>#N/A</v>
      </c>
      <c r="R50" s="1326"/>
    </row>
    <row r="51" spans="1:18" s="1291" customFormat="1" ht="13.5" thickBot="1">
      <c r="A51" s="922"/>
      <c r="B51" s="924"/>
      <c r="C51" s="925"/>
      <c r="D51" s="898"/>
      <c r="E51" s="926" t="s">
        <v>698</v>
      </c>
      <c r="F51" s="294" t="e">
        <f ca="1">F8</f>
        <v>#N/A</v>
      </c>
      <c r="I51" s="1337" t="s">
        <v>829</v>
      </c>
      <c r="J51" s="1330">
        <f>IF(J49="",J50,J49+J50-YEAR('数据-取费表'!B2))</f>
        <v>48</v>
      </c>
      <c r="K51" s="1338" t="s">
        <v>830</v>
      </c>
      <c r="L51" s="1339" t="e">
        <f ca="1">ROUND(-PV(INDIRECT("'数据-取费表'!h"&amp;$G$1),J51,(C39-C13*C76),0),0)</f>
        <v>#N/A</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t="e">
        <f ca="1">J53</f>
        <v>#N/A</v>
      </c>
      <c r="R52" s="1326" t="s">
        <v>835</v>
      </c>
    </row>
    <row r="53" spans="1:18" s="1291" customFormat="1" ht="24.75" thickBot="1">
      <c r="A53" s="1078" t="s">
        <v>440</v>
      </c>
      <c r="B53" s="1280" t="s">
        <v>700</v>
      </c>
      <c r="C53" s="307">
        <f ca="1">ROUND(IF(F53="押一",C49/12*F11,IF(F53="押二",C49/12*2*F11,IF(F53="押三",C49/12*3*F11,C54*F11))),0)</f>
        <v>0</v>
      </c>
      <c r="D53" s="150" t="s">
        <v>2112</v>
      </c>
      <c r="E53" s="304" t="s">
        <v>701</v>
      </c>
      <c r="F53" s="1052"/>
      <c r="I53" s="1343" t="s">
        <v>836</v>
      </c>
      <c r="J53" s="2004" t="e">
        <f ca="1">IF(M47="住宅",IF(D1="——",MAX(J51,L48),MAX(J51,L48-'数据-取费表'!B24)),IF(D1="——",MIN(J51,L48),MIN(J51,L48-'数据-取费表'!B24)))</f>
        <v>#N/A</v>
      </c>
      <c r="K53" s="3445" t="s">
        <v>837</v>
      </c>
      <c r="L53" s="3446"/>
      <c r="O53" s="1324" t="s">
        <v>409</v>
      </c>
      <c r="P53" s="1325" t="s">
        <v>838</v>
      </c>
      <c r="Q53" s="1326" t="e">
        <f ca="1">Q47+Q48</f>
        <v>#N/A</v>
      </c>
      <c r="R53" s="1326" t="s">
        <v>410</v>
      </c>
    </row>
    <row r="54" spans="1:18" s="1291" customFormat="1" ht="13.5" thickBot="1">
      <c r="A54" s="1079"/>
      <c r="B54" s="1274" t="s">
        <v>679</v>
      </c>
      <c r="C54" s="904"/>
      <c r="D54" s="150"/>
      <c r="E54" s="1281"/>
      <c r="F54" s="1344"/>
      <c r="I54" s="134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#N/A</v>
      </c>
      <c r="K55" s="1349" t="s">
        <v>841</v>
      </c>
      <c r="L55" s="1350"/>
      <c r="O55" s="1317" t="s">
        <v>811</v>
      </c>
      <c r="P55" s="1318" t="s">
        <v>812</v>
      </c>
      <c r="Q55" s="1319" t="s">
        <v>813</v>
      </c>
      <c r="R55" s="1319" t="s">
        <v>814</v>
      </c>
    </row>
    <row r="56" spans="1:18" s="1291" customFormat="1" ht="25.5" thickTop="1" thickBot="1">
      <c r="A56" s="902">
        <v>2</v>
      </c>
      <c r="B56" s="903" t="s">
        <v>704</v>
      </c>
      <c r="C56" s="223" t="e">
        <f ca="1">C13</f>
        <v>#N/A</v>
      </c>
      <c r="D56" s="1351"/>
      <c r="E56" s="1352"/>
      <c r="F56" s="1344"/>
      <c r="I56" s="1353" t="s">
        <v>842</v>
      </c>
      <c r="J56" s="1354" t="s">
        <v>3367</v>
      </c>
      <c r="K56" s="1327" t="s">
        <v>843</v>
      </c>
      <c r="L56" s="1330" t="e">
        <f ca="1">IF(L48&lt;J51,"——",L48-J53)</f>
        <v>#N/A</v>
      </c>
      <c r="O56" s="1324" t="s">
        <v>403</v>
      </c>
      <c r="P56" s="1325" t="s">
        <v>817</v>
      </c>
      <c r="Q56" s="1326" t="e">
        <f ca="1">C40+J29</f>
        <v>#N/A</v>
      </c>
      <c r="R56" s="1326" t="s">
        <v>818</v>
      </c>
    </row>
    <row r="57" spans="1:18" s="1291" customFormat="1" ht="24.75" thickBot="1">
      <c r="A57" s="1355"/>
      <c r="B57" s="895" t="s">
        <v>767</v>
      </c>
      <c r="C57" s="229" t="e">
        <f ca="1">C29</f>
        <v>#N/A</v>
      </c>
      <c r="D57" s="1356"/>
      <c r="E57" s="1357"/>
      <c r="F57" s="1358"/>
      <c r="I57" s="1359" t="s">
        <v>844</v>
      </c>
      <c r="J57" s="1360" t="e">
        <f ca="1">IF(OR(M47="住宅",J51&lt;L48,J56="是"),"——",J51-L48)</f>
        <v>#N/A</v>
      </c>
      <c r="K57" s="1327" t="s">
        <v>845</v>
      </c>
      <c r="L57" s="1330" t="e">
        <f ca="1">IF(L48&lt;J51,"——",IF(L55="比较法",L49,IF(L55="基准地价",L50,L51)))</f>
        <v>#N/A</v>
      </c>
      <c r="O57" s="1324" t="s">
        <v>404</v>
      </c>
      <c r="P57" s="1325" t="s">
        <v>846</v>
      </c>
      <c r="Q57" s="1326" t="e">
        <f ca="1">L60</f>
        <v>#N/A</v>
      </c>
      <c r="R57" s="1326" t="s">
        <v>847</v>
      </c>
    </row>
    <row r="58" spans="1:18" s="1291" customFormat="1" ht="24.75" thickBot="1">
      <c r="A58" s="306" t="s">
        <v>393</v>
      </c>
      <c r="B58" s="903" t="s">
        <v>714</v>
      </c>
      <c r="C58" s="307" t="e">
        <f ca="1">ROUND(C59+C64+C65+C66,0)</f>
        <v>#N/A</v>
      </c>
      <c r="D58" s="905" t="s">
        <v>715</v>
      </c>
      <c r="E58" s="906"/>
      <c r="F58" s="907"/>
      <c r="I58" s="1359" t="s">
        <v>848</v>
      </c>
      <c r="J58" s="1361" t="e">
        <f ca="1">IF(J55&lt;0.4,0.4,J55)</f>
        <v>#N/A</v>
      </c>
      <c r="K58" s="1338" t="s">
        <v>849</v>
      </c>
      <c r="L58" s="1330" t="e">
        <f ca="1">ROUND(POWER(1+L52,L47-L48)*(POWER(1+L52,L48)-1)/(POWER(1+L52,L47)-1),4)</f>
        <v>#N/A</v>
      </c>
      <c r="O58" s="1333" t="s">
        <v>405</v>
      </c>
      <c r="P58" s="1325" t="s">
        <v>850</v>
      </c>
      <c r="Q58" s="1326">
        <f>IF(L55="比较法",L49,IF(L55="基准地价",L50,0))</f>
        <v>0</v>
      </c>
      <c r="R58" s="1326" t="s">
        <v>818</v>
      </c>
    </row>
    <row r="59" spans="1:18" s="1291" customFormat="1" ht="24.75" thickBot="1">
      <c r="A59" s="927" t="s">
        <v>398</v>
      </c>
      <c r="B59" s="895" t="s">
        <v>719</v>
      </c>
      <c r="C59" s="2138" t="e">
        <f ca="1">ROUND(IF(AND(项目基本情况!B11="自然人",项目基本情况!B10="北京市"),C49*F59/(1+'数据-取费表'!C42),C60+C61+C62),0)</f>
        <v>#N/A</v>
      </c>
      <c r="D59" s="908" t="s">
        <v>720</v>
      </c>
      <c r="E59" s="909" t="s">
        <v>721</v>
      </c>
      <c r="F59" s="2137" t="str">
        <f>IF(项目基本情况!B11="企业","——",IF('数据-取费表'!B10="住宅",IF(F49*F50*F51/12/(1+'数据-取费表'!F30)&gt;100000,4%,2.5%),IF(F49*F50*F51/12/(1+'数据-取费表'!F30)&gt;100000,12%,7%)))</f>
        <v>——</v>
      </c>
      <c r="I59" s="1359" t="s">
        <v>851</v>
      </c>
      <c r="J59" s="1360" t="e">
        <f ca="1">IF(OR(M47="住宅",J51&lt;L48,J56="是"),"——",ROUND(C29*J58,0))</f>
        <v>#N/A</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#N/A</v>
      </c>
      <c r="M59" s="1287" t="e">
        <f ca="1">ROUND(POWER(1+L52,L47-(J51+'数据-取费表'!B24))*(POWER(1+L52,(J51+'数据-取费表'!B24))-1)/(POWER(1+L52,L47)-1),4)</f>
        <v>#N/A</v>
      </c>
      <c r="N59" s="1287" t="e">
        <f ca="1">ROUND(POWER(1+L52,L47-(J51+'数据-取费表'!B20))*(POWER(1+L52,(J51+'数据-取费表'!B20))-1)/(POWER(1+L52,L47)-1),4)</f>
        <v>#N/A</v>
      </c>
      <c r="O59" s="1333" t="s">
        <v>406</v>
      </c>
      <c r="P59" s="1325" t="s">
        <v>852</v>
      </c>
      <c r="Q59" s="1336">
        <f>L52</f>
        <v>0</v>
      </c>
      <c r="R59" s="1326"/>
    </row>
    <row r="60" spans="1:18" s="1291" customFormat="1" ht="16.5" thickBot="1">
      <c r="A60" s="927" t="s">
        <v>397</v>
      </c>
      <c r="B60" s="895" t="s">
        <v>723</v>
      </c>
      <c r="C60" s="21" t="e">
        <f ca="1">IF(项目基本情况!B11="自然人","——",ROUND(C48*F60/(1+'数据-取费表'!C42),2))</f>
        <v>#N/A</v>
      </c>
      <c r="D60" s="909" t="s">
        <v>724</v>
      </c>
      <c r="E60" s="895" t="s">
        <v>712</v>
      </c>
      <c r="F60" s="321">
        <f t="shared" ref="F60:F66" si="0">F32</f>
        <v>5.6000000000000001E-2</v>
      </c>
      <c r="I60" s="1362" t="s">
        <v>853</v>
      </c>
      <c r="J60" s="1363" t="e">
        <f ca="1">IF(OR(M47="住宅",J51&lt;L48,J56="是"),"0",ROUND(J59/(1+J52)^J53,0))</f>
        <v>#N/A</v>
      </c>
      <c r="K60" s="1364" t="s">
        <v>854</v>
      </c>
      <c r="L60" s="1363" t="e">
        <f ca="1">IF(OR(M47="住宅",L48&lt;J51),0,ROUND(L57*(L58/L59-1),0))</f>
        <v>#N/A</v>
      </c>
      <c r="O60" s="1333" t="s">
        <v>407</v>
      </c>
      <c r="P60" s="1325" t="s">
        <v>855</v>
      </c>
      <c r="Q60" s="1326" t="e">
        <f ca="1">L58</f>
        <v>#N/A</v>
      </c>
      <c r="R60" s="1326" t="s">
        <v>856</v>
      </c>
    </row>
    <row r="61" spans="1:18" s="1291" customFormat="1" ht="13.5" thickBot="1">
      <c r="A61" s="927" t="s">
        <v>781</v>
      </c>
      <c r="B61" s="895" t="s">
        <v>782</v>
      </c>
      <c r="C61" s="21" t="e">
        <f ca="1">IF(项目基本情况!B11="自然人","——",IF(D61="按租金收入计税",ROUND(C49*F61/(1+'数据-取费表'!C42),2),IF(D61="按房产原值计税",ROUND(C57*F61*0.7,2),INDIRECT("'数据-取费表'!Aj"&amp;$G$1))))</f>
        <v>#N/A</v>
      </c>
      <c r="D61" s="1277" t="s">
        <v>3326</v>
      </c>
      <c r="E61" s="895" t="s">
        <v>783</v>
      </c>
      <c r="F61" s="313">
        <f t="shared" si="0"/>
        <v>0.12</v>
      </c>
      <c r="I61" s="1365"/>
      <c r="J61" s="1365"/>
      <c r="K61" s="1365"/>
      <c r="L61" s="1365"/>
      <c r="O61" s="1333" t="s">
        <v>408</v>
      </c>
      <c r="P61" s="1325" t="str">
        <f>K59</f>
        <v>建筑物剩余耐用年限下的土地年期修正系数Kn</v>
      </c>
      <c r="Q61" s="1326" t="e">
        <f ca="1">L59</f>
        <v>#N/A</v>
      </c>
      <c r="R61" s="1326" t="s">
        <v>857</v>
      </c>
    </row>
    <row r="62" spans="1:18" s="1291" customFormat="1" ht="13.5" thickBot="1">
      <c r="A62" s="927" t="s">
        <v>784</v>
      </c>
      <c r="B62" s="894" t="s">
        <v>785</v>
      </c>
      <c r="C62" s="22" t="e">
        <f ca="1">IF(项目基本情况!B11="自然人","——",ROUND(F62*F63/10000,2))</f>
        <v>#N/A</v>
      </c>
      <c r="D62" s="910" t="s">
        <v>786</v>
      </c>
      <c r="E62" s="895" t="s">
        <v>787</v>
      </c>
      <c r="F62" s="316">
        <f t="shared" si="0"/>
        <v>30</v>
      </c>
      <c r="I62" s="1366" t="s">
        <v>858</v>
      </c>
      <c r="J62" s="609" t="s">
        <v>859</v>
      </c>
      <c r="K62" s="609" t="s">
        <v>860</v>
      </c>
      <c r="L62" s="609" t="s">
        <v>861</v>
      </c>
      <c r="M62" s="1367" t="s">
        <v>862</v>
      </c>
      <c r="O62" s="1324" t="s">
        <v>409</v>
      </c>
      <c r="P62" s="1325" t="s">
        <v>863</v>
      </c>
      <c r="Q62" s="1326" t="e">
        <f ca="1">Q56+Q57</f>
        <v>#N/A</v>
      </c>
      <c r="R62" s="1326" t="s">
        <v>410</v>
      </c>
    </row>
    <row r="63" spans="1:18" s="1291" customFormat="1" ht="13.5" thickBot="1">
      <c r="A63" s="317"/>
      <c r="B63" s="901"/>
      <c r="C63" s="26"/>
      <c r="D63" s="911"/>
      <c r="E63" s="895" t="s">
        <v>788</v>
      </c>
      <c r="F63" s="294" t="e">
        <f t="shared" ca="1" si="0"/>
        <v>#N/A</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t="e">
        <f ca="1">ROUND(C57*F64,2)</f>
        <v>#N/A</v>
      </c>
      <c r="D64" s="909" t="s">
        <v>791</v>
      </c>
      <c r="E64" s="895" t="s">
        <v>783</v>
      </c>
      <c r="F64" s="319" t="e">
        <f t="shared" ca="1" si="0"/>
        <v>#N/A</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t="e">
        <f ca="1">ROUND(C56*F65,2)</f>
        <v>#N/A</v>
      </c>
      <c r="D65" s="909" t="s">
        <v>743</v>
      </c>
      <c r="E65" s="895" t="s">
        <v>744</v>
      </c>
      <c r="F65" s="320" t="e">
        <f t="shared" ca="1" si="0"/>
        <v>#N/A</v>
      </c>
      <c r="I65" s="1366" t="s">
        <v>867</v>
      </c>
      <c r="J65" s="609">
        <v>40</v>
      </c>
      <c r="K65" s="609">
        <v>30</v>
      </c>
      <c r="L65" s="609">
        <v>50</v>
      </c>
      <c r="M65" s="1368">
        <v>0.02</v>
      </c>
      <c r="O65" s="1324" t="s">
        <v>403</v>
      </c>
      <c r="P65" s="1325" t="s">
        <v>868</v>
      </c>
      <c r="Q65" s="1326" t="e">
        <f ca="1">C40+J29</f>
        <v>#N/A</v>
      </c>
      <c r="R65" s="1326" t="s">
        <v>818</v>
      </c>
    </row>
    <row r="66" spans="1:18" s="1291" customFormat="1" ht="16.5" thickBot="1">
      <c r="A66" s="927" t="s">
        <v>793</v>
      </c>
      <c r="B66" s="895" t="s">
        <v>728</v>
      </c>
      <c r="C66" s="21" t="e">
        <f ca="1">ROUND(C48*F66,2)</f>
        <v>#N/A</v>
      </c>
      <c r="D66" s="909" t="s">
        <v>794</v>
      </c>
      <c r="E66" s="895" t="s">
        <v>712</v>
      </c>
      <c r="F66" s="303" t="e">
        <f t="shared" ca="1" si="0"/>
        <v>#N/A</v>
      </c>
      <c r="O66" s="1324" t="s">
        <v>404</v>
      </c>
      <c r="P66" s="1325" t="s">
        <v>846</v>
      </c>
      <c r="Q66" s="1326" t="e">
        <f ca="1">L60</f>
        <v>#N/A</v>
      </c>
      <c r="R66" s="1326" t="s">
        <v>869</v>
      </c>
    </row>
    <row r="67" spans="1:18" s="1291" customFormat="1" ht="16.5" thickBot="1">
      <c r="A67" s="902" t="s">
        <v>394</v>
      </c>
      <c r="B67" s="912" t="s">
        <v>752</v>
      </c>
      <c r="C67" s="307" t="e">
        <f ca="1">C48-C58</f>
        <v>#N/A</v>
      </c>
      <c r="D67" s="908" t="s">
        <v>753</v>
      </c>
      <c r="E67" s="913"/>
      <c r="F67" s="914"/>
      <c r="O67" s="1333" t="s">
        <v>405</v>
      </c>
      <c r="P67" s="1325" t="s">
        <v>850</v>
      </c>
      <c r="Q67" s="1369" t="e">
        <f ca="1">L51</f>
        <v>#N/A</v>
      </c>
      <c r="R67" s="1326" t="s">
        <v>870</v>
      </c>
    </row>
    <row r="68" spans="1:18" s="1291" customFormat="1" ht="16.5" thickBot="1">
      <c r="A68" s="892" t="s">
        <v>395</v>
      </c>
      <c r="B68" s="893" t="s">
        <v>774</v>
      </c>
      <c r="C68" s="292" t="e">
        <f ca="1">ROUND(C67*(1-((1+F70)/(1+F68))^F69)/(F68-F70),0)</f>
        <v>#N/A</v>
      </c>
      <c r="D68" s="910" t="s">
        <v>758</v>
      </c>
      <c r="E68" s="895" t="s">
        <v>759</v>
      </c>
      <c r="F68" s="303" t="e">
        <f ca="1">F40</f>
        <v>#N/A</v>
      </c>
      <c r="O68" s="1333" t="s">
        <v>406</v>
      </c>
      <c r="P68" s="1370" t="s">
        <v>871</v>
      </c>
      <c r="Q68" s="1326" t="e">
        <f ca="1">ROUND(Q69-Q70*Q71,0)</f>
        <v>#N/A</v>
      </c>
      <c r="R68" s="1326" t="s">
        <v>414</v>
      </c>
    </row>
    <row r="69" spans="1:18" s="1291" customFormat="1" ht="13.5" thickBot="1">
      <c r="A69" s="896"/>
      <c r="B69" s="897"/>
      <c r="C69" s="297"/>
      <c r="D69" s="915" t="s">
        <v>762</v>
      </c>
      <c r="E69" s="895" t="s">
        <v>763</v>
      </c>
      <c r="F69" s="323" t="e">
        <f ca="1">F41</f>
        <v>#N/A</v>
      </c>
      <c r="O69" s="1333" t="s">
        <v>411</v>
      </c>
      <c r="P69" s="1370" t="s">
        <v>872</v>
      </c>
      <c r="Q69" s="1326" t="e">
        <f ca="1">C39</f>
        <v>#N/A</v>
      </c>
      <c r="R69" s="1326" t="s">
        <v>818</v>
      </c>
    </row>
    <row r="70" spans="1:18" s="1291" customFormat="1" ht="13.5" thickBot="1">
      <c r="A70" s="899"/>
      <c r="B70" s="900"/>
      <c r="C70" s="301"/>
      <c r="D70" s="911"/>
      <c r="E70" s="895" t="s">
        <v>766</v>
      </c>
      <c r="F70" s="990"/>
      <c r="O70" s="1333" t="s">
        <v>412</v>
      </c>
      <c r="P70" s="1370" t="s">
        <v>873</v>
      </c>
      <c r="Q70" s="1326" t="e">
        <f ca="1">C13</f>
        <v>#N/A</v>
      </c>
      <c r="R70" s="1326" t="s">
        <v>818</v>
      </c>
    </row>
    <row r="71" spans="1:18" s="1291" customFormat="1" ht="13.5" thickBot="1">
      <c r="A71" s="916" t="s">
        <v>396</v>
      </c>
      <c r="B71" s="917" t="s">
        <v>776</v>
      </c>
      <c r="C71" s="326" t="e">
        <f ca="1">ROUND(C68*10000/F71,0)</f>
        <v>#N/A</v>
      </c>
      <c r="D71" s="918" t="s">
        <v>777</v>
      </c>
      <c r="E71" s="919" t="s">
        <v>778</v>
      </c>
      <c r="F71" s="329" t="e">
        <f ca="1">F43</f>
        <v>#N/A</v>
      </c>
      <c r="O71" s="1333" t="s">
        <v>413</v>
      </c>
      <c r="P71" s="1370" t="s">
        <v>874</v>
      </c>
      <c r="Q71" s="1336" t="e">
        <f ca="1">C76</f>
        <v>#N/A</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#N/A</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#N/A</v>
      </c>
      <c r="R74" s="1326" t="s">
        <v>857</v>
      </c>
    </row>
    <row r="75" spans="1:18" ht="13.5" thickBot="1">
      <c r="A75" s="1291"/>
      <c r="B75" s="330" t="s">
        <v>795</v>
      </c>
      <c r="C75" s="331" t="e">
        <f ca="1">ROUND(C13*C76,0)</f>
        <v>#N/A</v>
      </c>
      <c r="D75" s="1291"/>
      <c r="E75" s="1291"/>
      <c r="F75" s="1291"/>
      <c r="K75" s="1308"/>
      <c r="L75" s="1291"/>
      <c r="O75" s="1324" t="s">
        <v>409</v>
      </c>
      <c r="P75" s="1325" t="s">
        <v>838</v>
      </c>
      <c r="Q75" s="1326" t="e">
        <f ca="1">Q65+Q66</f>
        <v>#N/A</v>
      </c>
      <c r="R75" s="1326" t="s">
        <v>410</v>
      </c>
    </row>
    <row r="76" spans="1:18">
      <c r="B76" s="332" t="s">
        <v>796</v>
      </c>
      <c r="C76" s="333" t="e">
        <f ca="1">INDIRECT("'数据-取费表'!j"&amp;$G$1)</f>
        <v>#N/A</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35" priority="56">
      <formula>$L$48&gt;$J$51</formula>
    </cfRule>
  </conditionalFormatting>
  <conditionalFormatting sqref="I55 I60">
    <cfRule type="expression" dxfId="134" priority="57">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K19" xr:uid="{00000000-0002-0000-1B00-000000000000}">
      <formula1>"按租金收入计税,按房产原值计税"</formula1>
    </dataValidation>
    <dataValidation type="list" allowBlank="1" showInputMessage="1" showErrorMessage="1" sqref="D33 D61" xr:uid="{00000000-0002-0000-1B00-000001000000}">
      <formula1>"按租金收入计税,按房产原值计税,按票据"</formula1>
    </dataValidation>
    <dataValidation type="list" allowBlank="1" showInputMessage="1" showErrorMessage="1" sqref="C1" xr:uid="{00000000-0002-0000-1B00-000002000000}">
      <formula1>项目类型</formula1>
    </dataValidation>
    <dataValidation type="list" allowBlank="1" showInputMessage="1" showErrorMessage="1" sqref="J47" xr:uid="{00000000-0002-0000-1B00-000003000000}">
      <formula1>"钢,钢混,砖混"</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56" xr:uid="{00000000-0002-0000-1B00-000005000000}">
      <formula1>估价范围判定</formula1>
    </dataValidation>
    <dataValidation type="list" allowBlank="1" showInputMessage="1" showErrorMessage="1" sqref="L55" xr:uid="{00000000-0002-0000-1B00-000006000000}">
      <formula1>"比较法,基准地价,收益还原"</formula1>
    </dataValidation>
    <dataValidation type="list" allowBlank="1" showInputMessage="1" showErrorMessage="1" sqref="M10 F10 F53"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I57"/>
  <sheetViews>
    <sheetView view="pageBreakPreview" zoomScale="70" zoomScaleNormal="70" zoomScaleSheetLayoutView="70" workbookViewId="0">
      <selection activeCell="H43" sqref="H43"/>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1459</v>
      </c>
      <c r="B1" s="1373"/>
      <c r="C1" s="189"/>
      <c r="D1" s="189"/>
      <c r="E1" s="189"/>
      <c r="F1" s="189"/>
      <c r="G1" s="1061">
        <f>MATCH(B1,'数据-取费表'!A6:A16,0)+5</f>
        <v>8</v>
      </c>
    </row>
    <row r="2" spans="1:9" s="191" customFormat="1" ht="18" customHeight="1">
      <c r="A2" s="192" t="s">
        <v>1460</v>
      </c>
      <c r="B2" s="193">
        <f ca="1">IF(D2="——",C52,C52-E2)</f>
        <v>25315</v>
      </c>
      <c r="C2" s="190" t="s">
        <v>1461</v>
      </c>
      <c r="D2" s="1710" t="s">
        <v>43</v>
      </c>
      <c r="E2" s="1088" t="e">
        <f ca="1">SUMIF(INDIRECT("'"&amp;G2&amp;"'"&amp;"!A:A"),"承租人权益价值",INDIRECT("'"&amp;G2&amp;"'"&amp;"!c:c"))</f>
        <v>#REF!</v>
      </c>
      <c r="F2" s="1711" t="s">
        <v>1461</v>
      </c>
      <c r="G2" s="1712"/>
    </row>
    <row r="3" spans="1:9" s="191" customFormat="1" ht="18" customHeight="1" thickBot="1">
      <c r="A3" s="194" t="s">
        <v>1462</v>
      </c>
      <c r="B3" s="195">
        <f ca="1">ROUND(B2*10000/(IF(B1="",'数据-汇总表'!E3,INDIRECT("'数据-取费表'!k"&amp;$G$1))),0)</f>
        <v>39823</v>
      </c>
      <c r="C3" s="190" t="s">
        <v>1463</v>
      </c>
      <c r="D3" s="190"/>
      <c r="E3" s="190"/>
      <c r="F3" s="190"/>
      <c r="G3" s="190"/>
    </row>
    <row r="4" spans="1:9" s="199" customFormat="1" ht="15.75">
      <c r="A4" s="196" t="s">
        <v>1464</v>
      </c>
      <c r="B4" s="197"/>
      <c r="C4" s="197"/>
      <c r="D4" s="197"/>
      <c r="E4" s="197"/>
      <c r="F4" s="197"/>
      <c r="G4" s="198"/>
    </row>
    <row r="5" spans="1:9" s="205" customFormat="1" ht="13.5" customHeight="1">
      <c r="A5" s="246" t="s">
        <v>1465</v>
      </c>
      <c r="B5" s="201" t="s">
        <v>1466</v>
      </c>
      <c r="C5" s="202">
        <f ca="1">C6+C7+C8</f>
        <v>17696</v>
      </c>
      <c r="D5" s="202" t="s">
        <v>1467</v>
      </c>
      <c r="E5" s="203" t="s">
        <v>1468</v>
      </c>
      <c r="F5" s="203" t="s">
        <v>1469</v>
      </c>
      <c r="G5" s="204"/>
    </row>
    <row r="6" spans="1:9" s="205" customFormat="1" ht="13.5" customHeight="1">
      <c r="A6" s="731" t="s">
        <v>1470</v>
      </c>
      <c r="B6" s="206" t="s">
        <v>1471</v>
      </c>
      <c r="C6" s="207">
        <f>基准地价修正!B2</f>
        <v>17049</v>
      </c>
      <c r="D6" s="208"/>
      <c r="E6" s="209"/>
      <c r="F6" s="209"/>
      <c r="G6" s="210"/>
    </row>
    <row r="7" spans="1:9" s="205" customFormat="1" ht="13.5" customHeight="1">
      <c r="A7" s="731" t="s">
        <v>1472</v>
      </c>
      <c r="B7" s="206" t="s">
        <v>1473</v>
      </c>
      <c r="C7" s="211">
        <f>ROUND(C6*F7,0)</f>
        <v>520</v>
      </c>
      <c r="D7" s="211"/>
      <c r="E7" s="209"/>
      <c r="F7" s="212">
        <f>IF(项目基本情况!B8="出让",0,'数据-取费表'!B48+'数据-取费表'!B49)</f>
        <v>3.0499999999999999E-2</v>
      </c>
      <c r="G7" s="210"/>
    </row>
    <row r="8" spans="1:9" s="214" customFormat="1">
      <c r="A8" s="731" t="s">
        <v>1474</v>
      </c>
      <c r="B8" s="206" t="s">
        <v>1475</v>
      </c>
      <c r="C8" s="211">
        <f ca="1">IF(G8="已包含在土地购买价格中","0",IF(B1="",'数据-取费表'!B29,IF(G9="全部缴纳",C9+C10,H9)))</f>
        <v>127</v>
      </c>
      <c r="D8" s="213"/>
      <c r="E8" s="211"/>
      <c r="F8" s="212"/>
      <c r="G8" s="1713"/>
    </row>
    <row r="9" spans="1:9" s="205" customFormat="1" ht="13.5" customHeight="1">
      <c r="A9" s="732" t="s">
        <v>355</v>
      </c>
      <c r="B9" s="215" t="s">
        <v>1476</v>
      </c>
      <c r="C9" s="216">
        <f ca="1">ROUND(D9*E9/10000,0)</f>
        <v>0</v>
      </c>
      <c r="D9" s="794">
        <f ca="1">IF(B1="",'数据-汇总表'!E5,IF(INDIRECT("'数据-取费表'!c"&amp;$G$1)="住宅",INDIRECT("'数据-取费表'!k"&amp;$G$1),0))</f>
        <v>0</v>
      </c>
      <c r="E9" s="216">
        <f>'数据-取费表'!B27</f>
        <v>160</v>
      </c>
      <c r="F9" s="212"/>
      <c r="G9" s="1714"/>
      <c r="H9" s="1069"/>
      <c r="I9" s="1715" t="s">
        <v>1477</v>
      </c>
    </row>
    <row r="10" spans="1:9" s="205" customFormat="1" ht="13.5" customHeight="1">
      <c r="A10" s="732" t="s">
        <v>356</v>
      </c>
      <c r="B10" s="215" t="s">
        <v>1478</v>
      </c>
      <c r="C10" s="216">
        <f ca="1">ROUND(D10*E10/10000,0)</f>
        <v>127</v>
      </c>
      <c r="D10" s="794">
        <f ca="1">IF(B1="",'数据-汇总表'!E6,IF(INDIRECT("'数据-取费表'!c"&amp;$G$1)="住宅",INDIRECT("'数据-取费表'!s"&amp;$G$1),INDIRECT("'数据-取费表'!k"&amp;$G$1)+INDIRECT("'数据-取费表'!s"&amp;$G$1)))</f>
        <v>6356.88</v>
      </c>
      <c r="E10" s="216">
        <f>'数据-取费表'!B28</f>
        <v>200</v>
      </c>
      <c r="F10" s="212"/>
      <c r="G10" s="217"/>
    </row>
    <row r="11" spans="1:9" s="205" customFormat="1" ht="13.5" hidden="1" customHeight="1">
      <c r="A11" s="218" t="s">
        <v>4</v>
      </c>
      <c r="B11" s="206" t="s">
        <v>1479</v>
      </c>
      <c r="C11" s="202"/>
      <c r="D11" s="209"/>
      <c r="E11" s="209"/>
      <c r="F11" s="209"/>
      <c r="G11" s="210"/>
    </row>
    <row r="12" spans="1:9" s="205" customFormat="1" ht="13.5" hidden="1" customHeight="1">
      <c r="A12" s="218" t="s">
        <v>5</v>
      </c>
      <c r="B12" s="206" t="s">
        <v>1480</v>
      </c>
      <c r="C12" s="202">
        <v>0</v>
      </c>
      <c r="D12" s="209"/>
      <c r="E12" s="219"/>
      <c r="F12" s="212">
        <v>3.0499999999999999E-2</v>
      </c>
      <c r="G12" s="210"/>
    </row>
    <row r="13" spans="1:9" s="205" customFormat="1" ht="13.5" hidden="1" customHeight="1">
      <c r="A13" s="218" t="s">
        <v>6</v>
      </c>
      <c r="B13" s="206" t="s">
        <v>1481</v>
      </c>
      <c r="C13" s="202"/>
      <c r="D13" s="209"/>
      <c r="E13" s="209"/>
      <c r="F13" s="209"/>
      <c r="G13" s="210"/>
    </row>
    <row r="14" spans="1:9" s="205" customFormat="1" ht="13.5" hidden="1" customHeight="1">
      <c r="A14" s="218" t="s">
        <v>7</v>
      </c>
      <c r="B14" s="206" t="s">
        <v>1482</v>
      </c>
      <c r="C14" s="202"/>
      <c r="D14" s="209"/>
      <c r="E14" s="209"/>
      <c r="F14" s="209"/>
      <c r="G14" s="210" t="s">
        <v>1483</v>
      </c>
    </row>
    <row r="15" spans="1:9" s="205" customFormat="1" ht="13.5" hidden="1" customHeight="1">
      <c r="A15" s="218" t="s">
        <v>8</v>
      </c>
      <c r="B15" s="206" t="s">
        <v>1484</v>
      </c>
      <c r="C15" s="211"/>
      <c r="D15" s="209"/>
      <c r="E15" s="209"/>
      <c r="F15" s="209"/>
      <c r="G15" s="210" t="s">
        <v>1485</v>
      </c>
    </row>
    <row r="16" spans="1:9" s="205" customFormat="1" ht="13.5" hidden="1" customHeight="1">
      <c r="A16" s="218" t="s">
        <v>9</v>
      </c>
      <c r="B16" s="206" t="s">
        <v>1482</v>
      </c>
      <c r="C16" s="211"/>
      <c r="D16" s="209"/>
      <c r="E16" s="209"/>
      <c r="F16" s="209"/>
      <c r="G16" s="210"/>
    </row>
    <row r="17" spans="1:7" s="205" customFormat="1" ht="13.5" hidden="1" customHeight="1">
      <c r="A17" s="218" t="s">
        <v>10</v>
      </c>
      <c r="B17" s="206" t="s">
        <v>1486</v>
      </c>
      <c r="C17" s="220"/>
      <c r="D17" s="220"/>
      <c r="E17" s="220"/>
      <c r="F17" s="220"/>
      <c r="G17" s="210" t="s">
        <v>1485</v>
      </c>
    </row>
    <row r="18" spans="1:7" s="205" customFormat="1" ht="13.5" hidden="1" customHeight="1">
      <c r="A18" s="218" t="s">
        <v>11</v>
      </c>
      <c r="B18" s="206" t="s">
        <v>1487</v>
      </c>
      <c r="C18" s="211">
        <v>0</v>
      </c>
      <c r="D18" s="209"/>
      <c r="E18" s="209"/>
      <c r="F18" s="212">
        <v>3.0499999999999999E-2</v>
      </c>
      <c r="G18" s="210" t="s">
        <v>1488</v>
      </c>
    </row>
    <row r="19" spans="1:7" s="214" customFormat="1" ht="13.5" customHeight="1">
      <c r="A19" s="246" t="s">
        <v>1489</v>
      </c>
      <c r="B19" s="201" t="s">
        <v>1490</v>
      </c>
      <c r="C19" s="202" t="str">
        <f>IF(G19="已包含在土地取得成本中","0",ROUND(D19*E19/10000,0))</f>
        <v>0</v>
      </c>
      <c r="D19" s="203">
        <f ca="1">D9+D10</f>
        <v>6356.88</v>
      </c>
      <c r="E19" s="202">
        <f>'数据-取费表'!B31</f>
        <v>200</v>
      </c>
      <c r="F19" s="222"/>
      <c r="G19" s="1713" t="s">
        <v>3548</v>
      </c>
    </row>
    <row r="20" spans="1:7" s="205" customFormat="1" ht="13.5" customHeight="1">
      <c r="A20" s="246" t="s">
        <v>1491</v>
      </c>
      <c r="B20" s="201" t="s">
        <v>1492</v>
      </c>
      <c r="C20" s="223">
        <f ca="1">ROUND((C5+C19)*F20,0)</f>
        <v>354</v>
      </c>
      <c r="D20" s="223"/>
      <c r="E20" s="223"/>
      <c r="F20" s="224">
        <f>'数据-取费表'!B37</f>
        <v>0.02</v>
      </c>
      <c r="G20" s="225" t="s">
        <v>1493</v>
      </c>
    </row>
    <row r="21" spans="1:7" s="205" customFormat="1" ht="13.5" customHeight="1">
      <c r="A21" s="246" t="s">
        <v>1494</v>
      </c>
      <c r="B21" s="201" t="s">
        <v>1495</v>
      </c>
      <c r="C21" s="226">
        <f>F21</f>
        <v>0.02</v>
      </c>
      <c r="D21" s="227" t="s">
        <v>1496</v>
      </c>
      <c r="E21" s="223"/>
      <c r="F21" s="224">
        <f>'数据-取费表'!B38</f>
        <v>0.02</v>
      </c>
      <c r="G21" s="225" t="s">
        <v>1497</v>
      </c>
    </row>
    <row r="22" spans="1:7" s="205" customFormat="1" ht="13.5" customHeight="1">
      <c r="A22" s="246" t="s">
        <v>1498</v>
      </c>
      <c r="B22" s="201" t="s">
        <v>1499</v>
      </c>
      <c r="C22" s="1040">
        <f ca="1">ROUND(SUM(C23:C25),0)</f>
        <v>1514</v>
      </c>
      <c r="D22" s="226">
        <f ca="1">C26</f>
        <v>8.0000000000000004E-4</v>
      </c>
      <c r="E22" s="227" t="s">
        <v>1496</v>
      </c>
      <c r="F22" s="228">
        <f ca="1">'数据-取费表'!B40</f>
        <v>4.1499999999999995E-2</v>
      </c>
      <c r="G22" s="225" t="str">
        <f>IF('数据-取费表'!B22&lt;=1,"单利计息","复利计息")</f>
        <v>复利计息</v>
      </c>
    </row>
    <row r="23" spans="1:7" s="205" customFormat="1" ht="13.5" customHeight="1">
      <c r="A23" s="733" t="s">
        <v>1500</v>
      </c>
      <c r="B23" s="206" t="s">
        <v>1501</v>
      </c>
      <c r="C23" s="1041">
        <f ca="1">ROUND(IF('数据-取费表'!B22&lt;=1,C5*F22*'数据-取费表'!B23,C5*(POWER((1+F22),'数据-取费表'!B23)-1)),0)</f>
        <v>1499</v>
      </c>
      <c r="D23" s="229"/>
      <c r="E23" s="229"/>
      <c r="F23" s="230"/>
      <c r="G23" s="231" t="s">
        <v>1502</v>
      </c>
    </row>
    <row r="24" spans="1:7" s="205" customFormat="1" ht="13.5" customHeight="1">
      <c r="A24" s="733" t="s">
        <v>1503</v>
      </c>
      <c r="B24" s="206" t="s">
        <v>1504</v>
      </c>
      <c r="C24" s="1041">
        <f ca="1">ROUND(IF('数据-取费表'!B22&lt;=1,C19*F22*('数据-取费表'!B19/2+'数据-取费表'!B21),C19*(POWER((1+F22),('数据-取费表'!B19/2+'数据-取费表'!B21))-1)),0)</f>
        <v>0</v>
      </c>
      <c r="D24" s="229"/>
      <c r="E24" s="229"/>
      <c r="F24" s="230"/>
      <c r="G24" s="231" t="s">
        <v>1505</v>
      </c>
    </row>
    <row r="25" spans="1:7" s="205" customFormat="1" ht="24">
      <c r="A25" s="733" t="s">
        <v>1506</v>
      </c>
      <c r="B25" s="206" t="s">
        <v>1507</v>
      </c>
      <c r="C25" s="1041">
        <f ca="1">ROUND(IF('数据-取费表'!B22&lt;=1,C20*F22*'数据-取费表'!B23/2,C20*(POWER((1+F22),'数据-取费表'!B23/2)-1)),0)</f>
        <v>15</v>
      </c>
      <c r="D25" s="229"/>
      <c r="E25" s="232"/>
      <c r="F25" s="230"/>
      <c r="G25" s="233" t="s">
        <v>1508</v>
      </c>
    </row>
    <row r="26" spans="1:7" s="205" customFormat="1">
      <c r="A26" s="733" t="s">
        <v>350</v>
      </c>
      <c r="B26" s="206" t="s">
        <v>1509</v>
      </c>
      <c r="C26" s="229">
        <f ca="1">ROUND(IF('数据-取费表'!B22&lt;=1,F21*F22*'数据-取费表'!B23/2,F21*(POWER((1+F22),'数据-取费表'!B23/2)-1)),4)</f>
        <v>8.0000000000000004E-4</v>
      </c>
      <c r="D26" s="229"/>
      <c r="E26" s="232"/>
      <c r="F26" s="230"/>
      <c r="G26" s="234"/>
    </row>
    <row r="27" spans="1:7" s="205" customFormat="1" ht="24.75">
      <c r="A27" s="246" t="s">
        <v>1510</v>
      </c>
      <c r="B27" s="235" t="s">
        <v>1511</v>
      </c>
      <c r="C27" s="236">
        <f ca="1">C28</f>
        <v>3610</v>
      </c>
      <c r="D27" s="226">
        <f ca="1">C29</f>
        <v>4.0000000000000001E-3</v>
      </c>
      <c r="E27" s="227" t="s">
        <v>1512</v>
      </c>
      <c r="F27" s="237">
        <f ca="1">IF(B1="",'数据-取费表'!Q16,INDIRECT("'数据-取费表'!q"&amp;$G$1))</f>
        <v>0.2</v>
      </c>
      <c r="G27" s="238" t="s">
        <v>1513</v>
      </c>
    </row>
    <row r="28" spans="1:7" s="205" customFormat="1" ht="13.5" customHeight="1">
      <c r="A28" s="733" t="s">
        <v>346</v>
      </c>
      <c r="B28" s="239" t="s">
        <v>1514</v>
      </c>
      <c r="C28" s="240">
        <f ca="1">ROUND((C5+C19+C20)*F27*'数据-取费表'!B21/'数据-取费表'!B20,0)</f>
        <v>3610</v>
      </c>
      <c r="D28" s="226"/>
      <c r="E28" s="227"/>
      <c r="F28" s="237"/>
      <c r="G28" s="238"/>
    </row>
    <row r="29" spans="1:7" s="205" customFormat="1" ht="13.5" customHeight="1">
      <c r="A29" s="733" t="s">
        <v>347</v>
      </c>
      <c r="B29" s="239" t="s">
        <v>1515</v>
      </c>
      <c r="C29" s="229">
        <f ca="1">ROUND(C21*F27*'数据-取费表'!B21/'数据-取费表'!B20,4)</f>
        <v>4.0000000000000001E-3</v>
      </c>
      <c r="D29" s="226"/>
      <c r="E29" s="227"/>
      <c r="F29" s="237"/>
      <c r="G29" s="238"/>
    </row>
    <row r="30" spans="1:7" s="205" customFormat="1" ht="13.5" customHeight="1">
      <c r="A30" s="246" t="s">
        <v>1516</v>
      </c>
      <c r="B30" s="201" t="s">
        <v>1517</v>
      </c>
      <c r="C30" s="226">
        <f>ROUND(F30/(1+'数据-取费表'!C42),4)</f>
        <v>5.33E-2</v>
      </c>
      <c r="D30" s="227" t="s">
        <v>1512</v>
      </c>
      <c r="E30" s="232"/>
      <c r="F30" s="228">
        <f>'数据-取费表'!B41</f>
        <v>5.6000000000000001E-2</v>
      </c>
      <c r="G30" s="225" t="s">
        <v>1518</v>
      </c>
    </row>
    <row r="31" spans="1:7" ht="16.5" customHeight="1">
      <c r="A31" s="200">
        <v>1</v>
      </c>
      <c r="B31" s="201" t="s">
        <v>1519</v>
      </c>
      <c r="C31" s="202">
        <f ca="1">ROUND((C5+C19+C20+C22+C27)/(1-C21-D22-D27-C30),0)</f>
        <v>25137</v>
      </c>
      <c r="D31" s="221"/>
      <c r="E31" s="202"/>
      <c r="F31" s="241"/>
      <c r="G31" s="225" t="s">
        <v>1520</v>
      </c>
    </row>
    <row r="32" spans="1:7" s="199" customFormat="1" ht="15.75">
      <c r="A32" s="243" t="s">
        <v>1521</v>
      </c>
      <c r="B32" s="244"/>
      <c r="C32" s="244"/>
      <c r="D32" s="244"/>
      <c r="E32" s="244"/>
      <c r="F32" s="244"/>
      <c r="G32" s="245"/>
    </row>
    <row r="33" spans="1:7" s="205" customFormat="1" ht="13.5" customHeight="1">
      <c r="A33" s="246" t="s">
        <v>337</v>
      </c>
      <c r="B33" s="201" t="s">
        <v>1522</v>
      </c>
      <c r="C33" s="247">
        <f ca="1">SUM(C34:C38)</f>
        <v>163</v>
      </c>
      <c r="D33" s="223"/>
      <c r="E33" s="203"/>
      <c r="F33" s="232"/>
      <c r="G33" s="225"/>
    </row>
    <row r="34" spans="1:7" s="249" customFormat="1" ht="13.5" customHeight="1">
      <c r="A34" s="733" t="s">
        <v>346</v>
      </c>
      <c r="B34" s="206" t="s">
        <v>1523</v>
      </c>
      <c r="C34" s="211">
        <f ca="1">IF(B1="",IF(F34=100%,'数据-取费表'!M16,'数据-取费表'!O16),IF(F34=100%,INDIRECT("'数据-取费表'!m"&amp;$G$1)+INDIRECT("'数据-取费表'!t"&amp;$G$1),INDIRECT("'数据-取费表'!o"&amp;$G$1)+INDIRECT("'数据-取费表'!aq"&amp;$G$1)))</f>
        <v>34</v>
      </c>
      <c r="D34" s="208"/>
      <c r="E34" s="211"/>
      <c r="F34" s="248">
        <f ca="1">IF('数据-取费表'!B24=0,1,IF(B1="",'数据-取费表'!N16,INDIRECT("'数据-取费表'!n"&amp;$G$1)))</f>
        <v>1</v>
      </c>
      <c r="G34" s="210" t="s">
        <v>1524</v>
      </c>
    </row>
    <row r="35" spans="1:7" ht="13.5" customHeight="1">
      <c r="A35" s="733" t="s">
        <v>351</v>
      </c>
      <c r="B35" s="206" t="s">
        <v>1525</v>
      </c>
      <c r="C35" s="211">
        <f ca="1">ROUND(C34*F35,0)</f>
        <v>1</v>
      </c>
      <c r="D35" s="211"/>
      <c r="E35" s="211"/>
      <c r="F35" s="250">
        <f>'数据-取费表'!B33</f>
        <v>0.03</v>
      </c>
      <c r="G35" s="210" t="s">
        <v>1526</v>
      </c>
    </row>
    <row r="36" spans="1:7" ht="24">
      <c r="A36" s="733" t="s">
        <v>352</v>
      </c>
      <c r="B36" s="206" t="s">
        <v>1527</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1528</v>
      </c>
    </row>
    <row r="37" spans="1:7" s="249" customFormat="1" ht="13.5" customHeight="1">
      <c r="A37" s="733" t="s">
        <v>353</v>
      </c>
      <c r="B37" s="206" t="s">
        <v>1529</v>
      </c>
      <c r="C37" s="240">
        <f ca="1">ROUND(E37*D37*F34/10000,0)</f>
        <v>127</v>
      </c>
      <c r="D37" s="208">
        <f ca="1">D19</f>
        <v>6356.88</v>
      </c>
      <c r="E37" s="240">
        <f>'数据-取费表'!B35</f>
        <v>200</v>
      </c>
      <c r="F37" s="250"/>
      <c r="G37" s="252" t="s">
        <v>1530</v>
      </c>
    </row>
    <row r="38" spans="1:7" ht="13.5" customHeight="1">
      <c r="A38" s="733" t="s">
        <v>354</v>
      </c>
      <c r="B38" s="206" t="s">
        <v>1531</v>
      </c>
      <c r="C38" s="211">
        <f ca="1">ROUND(C34*F38,0)</f>
        <v>1</v>
      </c>
      <c r="D38" s="211"/>
      <c r="E38" s="211"/>
      <c r="F38" s="250">
        <f>'数据-取费表'!B36</f>
        <v>1.4999999999999999E-2</v>
      </c>
      <c r="G38" s="210" t="s">
        <v>1526</v>
      </c>
    </row>
    <row r="39" spans="1:7" s="205" customFormat="1" ht="13.5" customHeight="1">
      <c r="A39" s="246" t="s">
        <v>1532</v>
      </c>
      <c r="B39" s="201" t="s">
        <v>1533</v>
      </c>
      <c r="C39" s="223">
        <f ca="1">ROUND(C33*F20,0)</f>
        <v>3</v>
      </c>
      <c r="D39" s="223"/>
      <c r="E39" s="223"/>
      <c r="F39" s="224">
        <f>F20</f>
        <v>0.02</v>
      </c>
      <c r="G39" s="225" t="s">
        <v>1534</v>
      </c>
    </row>
    <row r="40" spans="1:7" s="205" customFormat="1" ht="13.5" customHeight="1">
      <c r="A40" s="246" t="s">
        <v>1535</v>
      </c>
      <c r="B40" s="201" t="s">
        <v>1536</v>
      </c>
      <c r="C40" s="226">
        <f>F21</f>
        <v>0.02</v>
      </c>
      <c r="D40" s="227" t="s">
        <v>1537</v>
      </c>
      <c r="E40" s="223"/>
      <c r="F40" s="224">
        <f>F21</f>
        <v>0.02</v>
      </c>
      <c r="G40" s="225" t="s">
        <v>1538</v>
      </c>
    </row>
    <row r="41" spans="1:7" s="205" customFormat="1" ht="13.5" customHeight="1">
      <c r="A41" s="246" t="s">
        <v>1539</v>
      </c>
      <c r="B41" s="201" t="s">
        <v>1540</v>
      </c>
      <c r="C41" s="223">
        <f ca="1">ROUND(SUM(C42:C43),0)</f>
        <v>7</v>
      </c>
      <c r="D41" s="226">
        <f ca="1">C44</f>
        <v>8.0000000000000004E-4</v>
      </c>
      <c r="E41" s="227" t="s">
        <v>1537</v>
      </c>
      <c r="F41" s="228">
        <f ca="1">F22</f>
        <v>4.1499999999999995E-2</v>
      </c>
      <c r="G41" s="225" t="str">
        <f>IF('数据-取费表'!B22&lt;=1,"单利计息","复利计息")</f>
        <v>复利计息</v>
      </c>
    </row>
    <row r="42" spans="1:7" ht="13.5" customHeight="1">
      <c r="A42" s="733" t="s">
        <v>346</v>
      </c>
      <c r="B42" s="206" t="s">
        <v>1541</v>
      </c>
      <c r="C42" s="229">
        <f ca="1">ROUND(IF('数据-取费表'!B22&lt;=1,C33*F22*'数据-取费表'!B21/2,C33*(POWER((1+F22),'数据-取费表'!B21/2)-1)),0)</f>
        <v>7</v>
      </c>
      <c r="D42" s="229"/>
      <c r="E42" s="229"/>
      <c r="F42" s="230"/>
      <c r="G42" s="3420" t="s">
        <v>1542</v>
      </c>
    </row>
    <row r="43" spans="1:7" ht="13.5" customHeight="1">
      <c r="A43" s="733" t="s">
        <v>347</v>
      </c>
      <c r="B43" s="206" t="s">
        <v>1543</v>
      </c>
      <c r="C43" s="229">
        <f ca="1">ROUND(IF('数据-取费表'!B22&lt;=1,C39*F22*'数据-取费表'!B21/2,C39*(POWER((1+F22),'数据-取费表'!B21/2)-1)),0)</f>
        <v>0</v>
      </c>
      <c r="D43" s="229"/>
      <c r="E43" s="229"/>
      <c r="F43" s="230"/>
      <c r="G43" s="3421"/>
    </row>
    <row r="44" spans="1:7" ht="13.5" customHeight="1">
      <c r="A44" s="733" t="s">
        <v>348</v>
      </c>
      <c r="B44" s="206" t="s">
        <v>1544</v>
      </c>
      <c r="C44" s="229">
        <f ca="1">ROUND(IF('数据-取费表'!B22&lt;=1,C40*F22*'数据-取费表'!B21/2,C40*(POWER((1+F22),'数据-取费表'!B21/2)-1)),4)</f>
        <v>8.0000000000000004E-4</v>
      </c>
      <c r="D44" s="229"/>
      <c r="E44" s="229"/>
      <c r="F44" s="230"/>
      <c r="G44" s="3422"/>
    </row>
    <row r="45" spans="1:7" s="205" customFormat="1" ht="13.5" customHeight="1">
      <c r="A45" s="246" t="s">
        <v>1545</v>
      </c>
      <c r="B45" s="235" t="s">
        <v>1511</v>
      </c>
      <c r="C45" s="236">
        <f ca="1">C46</f>
        <v>33</v>
      </c>
      <c r="D45" s="226">
        <f ca="1">C47</f>
        <v>4.0000000000000001E-3</v>
      </c>
      <c r="E45" s="227" t="s">
        <v>1537</v>
      </c>
      <c r="F45" s="237">
        <f ca="1">F27</f>
        <v>0.2</v>
      </c>
      <c r="G45" s="238" t="s">
        <v>1546</v>
      </c>
    </row>
    <row r="46" spans="1:7" s="205" customFormat="1" ht="13.5" customHeight="1">
      <c r="A46" s="733" t="s">
        <v>346</v>
      </c>
      <c r="B46" s="239" t="s">
        <v>1547</v>
      </c>
      <c r="C46" s="240">
        <f ca="1">ROUND((C33+C39)*F27,0)</f>
        <v>33</v>
      </c>
      <c r="D46" s="254"/>
      <c r="E46" s="227"/>
      <c r="F46" s="237"/>
      <c r="G46" s="238"/>
    </row>
    <row r="47" spans="1:7" s="205" customFormat="1" ht="13.5" customHeight="1">
      <c r="A47" s="733" t="s">
        <v>347</v>
      </c>
      <c r="B47" s="239" t="s">
        <v>1548</v>
      </c>
      <c r="C47" s="229">
        <f ca="1">ROUND(C40*F27,4)</f>
        <v>4.0000000000000001E-3</v>
      </c>
      <c r="D47" s="254"/>
      <c r="E47" s="227"/>
      <c r="F47" s="237"/>
      <c r="G47" s="238"/>
    </row>
    <row r="48" spans="1:7" s="205" customFormat="1" ht="13.5" customHeight="1">
      <c r="A48" s="246" t="s">
        <v>1510</v>
      </c>
      <c r="B48" s="201" t="s">
        <v>1549</v>
      </c>
      <c r="C48" s="226">
        <f>ROUND(F30/(1+'数据-取费表'!C42),4)</f>
        <v>5.33E-2</v>
      </c>
      <c r="D48" s="227" t="s">
        <v>1537</v>
      </c>
      <c r="E48" s="223"/>
      <c r="F48" s="228">
        <f>F30</f>
        <v>5.6000000000000001E-2</v>
      </c>
      <c r="G48" s="225" t="s">
        <v>1550</v>
      </c>
    </row>
    <row r="49" spans="1:7" ht="16.5" customHeight="1">
      <c r="A49" s="246" t="s">
        <v>1516</v>
      </c>
      <c r="B49" s="201" t="s">
        <v>1551</v>
      </c>
      <c r="C49" s="223">
        <f ca="1">ROUND((C33+C39+C41+C45)/(1-C40-D41-D45-C48),0)</f>
        <v>223</v>
      </c>
      <c r="D49" s="223"/>
      <c r="E49" s="223"/>
      <c r="F49" s="255"/>
      <c r="G49" s="225" t="s">
        <v>1552</v>
      </c>
    </row>
    <row r="50" spans="1:7" s="249" customFormat="1" ht="24">
      <c r="A50" s="246" t="s">
        <v>1553</v>
      </c>
      <c r="B50" s="201" t="s">
        <v>1554</v>
      </c>
      <c r="C50" s="223"/>
      <c r="D50" s="223"/>
      <c r="E50" s="223"/>
      <c r="F50" s="255">
        <f>IF('数据-取费表'!B24=0,'数据-取费表'!N16,1)</f>
        <v>0.8</v>
      </c>
      <c r="G50" s="238" t="s">
        <v>1555</v>
      </c>
    </row>
    <row r="51" spans="1:7" ht="16.5" customHeight="1">
      <c r="A51" s="246" t="s">
        <v>1556</v>
      </c>
      <c r="B51" s="201" t="s">
        <v>1557</v>
      </c>
      <c r="C51" s="223">
        <f ca="1">ROUND(C49*F50,0)</f>
        <v>178</v>
      </c>
      <c r="D51" s="223"/>
      <c r="E51" s="223"/>
      <c r="F51" s="255"/>
      <c r="G51" s="225" t="s">
        <v>1558</v>
      </c>
    </row>
    <row r="52" spans="1:7" s="199" customFormat="1" ht="16.5" thickBot="1">
      <c r="A52" s="256" t="s">
        <v>1559</v>
      </c>
      <c r="B52" s="257"/>
      <c r="C52" s="258">
        <f ca="1">C31+C51</f>
        <v>25315</v>
      </c>
      <c r="D52" s="257"/>
      <c r="E52" s="257"/>
      <c r="F52" s="257"/>
      <c r="G52" s="259"/>
    </row>
    <row r="55" spans="1:7" ht="15">
      <c r="B55" s="261" t="s">
        <v>1560</v>
      </c>
      <c r="C55" s="262"/>
    </row>
    <row r="56" spans="1:7">
      <c r="B56" s="264" t="s">
        <v>802</v>
      </c>
      <c r="C56" s="266">
        <f ca="1">1-C57</f>
        <v>0.99299999999999999</v>
      </c>
    </row>
    <row r="57" spans="1:7">
      <c r="B57" s="264" t="s">
        <v>803</v>
      </c>
      <c r="C57" s="265">
        <f ca="1">ROUND(C51/C52,3)</f>
        <v>7.0000000000000001E-3</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C00-000000000000}">
      <formula1>"已包含在土地购买价格中,未包含在土地购买价格中"</formula1>
    </dataValidation>
    <dataValidation type="list" allowBlank="1" showInputMessage="1" showErrorMessage="1" sqref="G19" xr:uid="{00000000-0002-0000-1C00-000001000000}">
      <formula1>"已包含在土地取得成本中,未包含在土地取得成本中"</formula1>
    </dataValidation>
    <dataValidation type="list" allowBlank="1" showInputMessage="1" showErrorMessage="1" sqref="B1" xr:uid="{00000000-0002-0000-1C00-000002000000}">
      <formula1>项目类型</formula1>
    </dataValidation>
    <dataValidation type="list" allowBlank="1" showInputMessage="1" showErrorMessage="1" sqref="G9" xr:uid="{00000000-0002-0000-1C00-000003000000}">
      <formula1>"部分缴纳,全部缴纳"</formula1>
    </dataValidation>
    <dataValidation type="list" allowBlank="1" showInputMessage="1" showErrorMessage="1" sqref="G2" xr:uid="{00000000-0002-0000-1C00-000004000000}">
      <formula1>估价方法</formula1>
    </dataValidation>
    <dataValidation type="list" allowBlank="1" showInputMessage="1" showErrorMessage="1" sqref="D2" xr:uid="{00000000-0002-0000-1C00-000005000000}">
      <formula1>"需扣减承租人权益,——"</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估价对象为北京市房地产，为所有。根据，估价对象（分摊）出让国有建设用地使用权面积为0平方米，建筑面积为6356.88平方米。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估价对象为北京市房地产,属开发建设的，该项目尚在开发建设中。根据，估价对象（分摊）出让国有建设用地使用权面积为0平方米，规划建筑面积为6356.88平方米。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2023年4月6日（评估专业人员实地查勘之日）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6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本次评估采用的主估价方法为比较法和成本法。</v>
      </c>
    </row>
    <row r="25" spans="1:1" ht="18">
      <c r="A25" s="1386"/>
    </row>
    <row r="26" spans="1:1" ht="18.75">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6">
    <tabColor rgb="FF92D050"/>
    <pageSetUpPr fitToPage="1"/>
  </sheetPr>
  <dimension ref="A1:AG34"/>
  <sheetViews>
    <sheetView view="pageBreakPreview" zoomScale="70" zoomScaleNormal="70" zoomScaleSheetLayoutView="70" workbookViewId="0">
      <selection activeCell="H43" sqref="H43"/>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1592</v>
      </c>
      <c r="B1" s="121"/>
      <c r="C1" s="1109"/>
      <c r="D1" s="1108"/>
      <c r="E1" s="2564"/>
      <c r="F1" s="2564"/>
      <c r="G1" s="2445"/>
      <c r="H1" s="2564"/>
      <c r="I1" s="2564"/>
      <c r="J1" s="2564"/>
      <c r="K1" s="2565">
        <f>MATCH(C1,'数据-取费表'!A6:A16,0)+5</f>
        <v>8</v>
      </c>
    </row>
    <row r="2" spans="1:33" ht="18" customHeight="1">
      <c r="A2" s="192" t="s">
        <v>1460</v>
      </c>
      <c r="B2" s="195">
        <f ca="1">C32</f>
        <v>0</v>
      </c>
      <c r="C2" s="267" t="s">
        <v>1593</v>
      </c>
      <c r="D2" s="267"/>
      <c r="E2" s="2564"/>
      <c r="F2" s="2564"/>
      <c r="G2" s="2564"/>
      <c r="H2" s="2564"/>
      <c r="I2" s="2564"/>
      <c r="J2" s="2564"/>
      <c r="K2" s="2564"/>
    </row>
    <row r="3" spans="1:33" ht="18" customHeight="1" thickBot="1">
      <c r="A3" s="194" t="s">
        <v>1462</v>
      </c>
      <c r="B3" s="195">
        <f ca="1">ROUND(B2*10000/IF(C1="",'数据-汇总表'!E3,INDIRECT("'数据-取费表'!K"&amp;$K$1)),0)</f>
        <v>0</v>
      </c>
      <c r="C3" s="267" t="s">
        <v>1594</v>
      </c>
      <c r="D3" s="267"/>
      <c r="E3" s="2564"/>
      <c r="F3" s="2564"/>
      <c r="G3" s="2564"/>
      <c r="H3" s="2564"/>
      <c r="I3" s="2564"/>
      <c r="J3" s="2564"/>
      <c r="K3" s="2564"/>
    </row>
    <row r="4" spans="1:33" s="738" customFormat="1" ht="16.5" customHeight="1">
      <c r="A4" s="735" t="s">
        <v>1595</v>
      </c>
      <c r="B4" s="736"/>
      <c r="C4" s="774">
        <f>SUM(C8:K8)</f>
        <v>0</v>
      </c>
      <c r="D4" s="736"/>
      <c r="E4" s="736"/>
      <c r="F4" s="736"/>
      <c r="G4" s="736"/>
      <c r="H4" s="736"/>
      <c r="I4" s="736"/>
      <c r="J4" s="736"/>
      <c r="K4" s="737"/>
    </row>
    <row r="5" spans="1:33" s="742" customFormat="1" ht="15">
      <c r="A5" s="739" t="s">
        <v>1596</v>
      </c>
      <c r="B5" s="740" t="s">
        <v>1597</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1598</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1599</v>
      </c>
      <c r="B7" s="123" t="s">
        <v>1600</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1601</v>
      </c>
      <c r="B8" s="156" t="s">
        <v>1602</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1603</v>
      </c>
      <c r="B9" s="736"/>
      <c r="C9" s="736"/>
      <c r="D9" s="736"/>
      <c r="E9" s="736"/>
      <c r="F9" s="736"/>
      <c r="G9" s="736"/>
      <c r="H9" s="736"/>
      <c r="I9" s="736"/>
      <c r="J9" s="736"/>
      <c r="K9" s="737"/>
    </row>
    <row r="10" spans="1:33" s="750" customFormat="1" ht="13.5" customHeight="1">
      <c r="A10" s="739" t="s">
        <v>1604</v>
      </c>
      <c r="B10" s="5" t="s">
        <v>1605</v>
      </c>
      <c r="C10" s="746" t="s">
        <v>1606</v>
      </c>
      <c r="D10" s="747" t="s">
        <v>1607</v>
      </c>
      <c r="E10" s="747" t="s">
        <v>1608</v>
      </c>
      <c r="F10" s="747" t="s">
        <v>1609</v>
      </c>
      <c r="G10" s="5"/>
      <c r="H10" s="748"/>
      <c r="I10" s="748"/>
      <c r="J10" s="748"/>
      <c r="K10" s="749"/>
    </row>
    <row r="11" spans="1:33" s="754" customFormat="1" ht="13.5" customHeight="1">
      <c r="A11" s="751" t="s">
        <v>635</v>
      </c>
      <c r="B11" s="752" t="s">
        <v>1610</v>
      </c>
      <c r="C11" s="270">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1611</v>
      </c>
      <c r="C12" s="21">
        <f ca="1">ROUND(C11*F12,0)</f>
        <v>0</v>
      </c>
      <c r="D12" s="753"/>
      <c r="E12" s="138"/>
      <c r="F12" s="763">
        <f>'数据-取费表'!B33</f>
        <v>0.03</v>
      </c>
      <c r="G12" s="5" t="s">
        <v>1612</v>
      </c>
      <c r="H12" s="748"/>
      <c r="I12" s="748"/>
      <c r="J12" s="748"/>
      <c r="K12" s="749"/>
    </row>
    <row r="13" spans="1:33" s="754" customFormat="1" ht="13.5" customHeight="1">
      <c r="A13" s="751" t="s">
        <v>637</v>
      </c>
      <c r="B13" s="752" t="s">
        <v>1613</v>
      </c>
      <c r="C13" s="21">
        <f ca="1">ROUND(IF(C1="",SUMIF('数据-取费表'!C:C,"住宅",'数据-取费表'!P:P)*F13,IF(INDIRECT("'数据-取费表'!c"&amp;$K$1)="住宅",INDIRECT("'数据-取费表'!P"&amp;$K$1)*F13,0)),0)</f>
        <v>0</v>
      </c>
      <c r="D13" s="795"/>
      <c r="E13" s="138"/>
      <c r="F13" s="763">
        <f>'数据-取费表'!B34</f>
        <v>0</v>
      </c>
      <c r="G13" s="5" t="s">
        <v>1614</v>
      </c>
      <c r="H13" s="748"/>
      <c r="I13" s="748"/>
      <c r="J13" s="748"/>
      <c r="K13" s="749"/>
    </row>
    <row r="14" spans="1:33" s="756" customFormat="1" ht="13.5" customHeight="1">
      <c r="A14" s="751" t="s">
        <v>638</v>
      </c>
      <c r="B14" s="752" t="s">
        <v>1615</v>
      </c>
      <c r="C14" s="21">
        <f ca="1">ROUND(D14*E14*F11/10000,0)</f>
        <v>0</v>
      </c>
      <c r="D14" s="795">
        <f ca="1">IF(C1="",'数据-汇总表'!E3,INDIRECT("'数据-取费表'!K"&amp;$K$1)+INDIRECT("'数据-取费表'!S"&amp;$K$1))</f>
        <v>6356.88</v>
      </c>
      <c r="E14" s="21">
        <f>'数据-取费表'!B35</f>
        <v>200</v>
      </c>
      <c r="F14" s="755"/>
      <c r="G14" s="5" t="s">
        <v>1616</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1617</v>
      </c>
      <c r="C15" s="762">
        <f ca="1">ROUND(C11*F15,0)</f>
        <v>0</v>
      </c>
      <c r="D15" s="757"/>
      <c r="E15" s="762"/>
      <c r="F15" s="763">
        <f>'数据-取费表'!B36</f>
        <v>1.4999999999999999E-2</v>
      </c>
      <c r="G15" s="123" t="s">
        <v>1618</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1619</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1620</v>
      </c>
      <c r="C17" s="21">
        <f ca="1">ROUND(D17*E17/10000,0)</f>
        <v>0</v>
      </c>
      <c r="D17" s="795">
        <f ca="1">D14</f>
        <v>6356.88</v>
      </c>
      <c r="E17" s="21">
        <f>'数据-取费表'!B32</f>
        <v>0</v>
      </c>
      <c r="F17" s="757"/>
      <c r="G17" s="123" t="s">
        <v>1621</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1622</v>
      </c>
      <c r="C18" s="21">
        <f ca="1">C19+C20-IF(C1="",'数据-取费表'!B29,IF(G18="已全部缴纳",C19+C20,H18))</f>
        <v>0</v>
      </c>
      <c r="D18" s="795"/>
      <c r="E18" s="21"/>
      <c r="F18" s="755"/>
      <c r="G18" s="1719"/>
      <c r="H18" s="1105"/>
      <c r="I18" s="1720" t="s">
        <v>1623</v>
      </c>
      <c r="J18" s="758"/>
      <c r="K18" s="759"/>
    </row>
    <row r="19" spans="1:33" s="754" customFormat="1" ht="13.5" customHeight="1">
      <c r="A19" s="751" t="s">
        <v>360</v>
      </c>
      <c r="B19" s="752" t="s">
        <v>1624</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1625</v>
      </c>
      <c r="C20" s="21">
        <f ca="1">ROUND(D20*E20/10000,0)</f>
        <v>127</v>
      </c>
      <c r="D20" s="795">
        <f ca="1">IF(C1="",'数据-汇总表'!E6,IF(INDIRECT("'数据-取费表'!c"&amp;$K$1)="住宅",INDIRECT("'数据-取费表'!s"&amp;$K$1),INDIRECT("'数据-取费表'!k"&amp;$K$1)+INDIRECT("'数据-取费表'!s"&amp;$K$1)))</f>
        <v>6356.88</v>
      </c>
      <c r="E20" s="21">
        <f>'数据-取费表'!B28</f>
        <v>200</v>
      </c>
      <c r="F20" s="755"/>
      <c r="G20" s="12"/>
      <c r="H20" s="760"/>
      <c r="I20" s="760"/>
      <c r="J20" s="760"/>
      <c r="K20" s="761"/>
    </row>
    <row r="21" spans="1:33" s="754" customFormat="1" ht="13.5" customHeight="1">
      <c r="A21" s="743" t="s">
        <v>357</v>
      </c>
      <c r="B21" s="764" t="s">
        <v>1626</v>
      </c>
      <c r="C21" s="765">
        <f ca="1">C16+C17+C18</f>
        <v>0</v>
      </c>
      <c r="D21" s="766"/>
      <c r="E21" s="272"/>
      <c r="F21" s="272"/>
      <c r="G21" s="123" t="s">
        <v>1627</v>
      </c>
      <c r="H21" s="758"/>
      <c r="I21" s="758"/>
      <c r="J21" s="758"/>
      <c r="K21" s="759"/>
    </row>
    <row r="22" spans="1:33" s="754" customFormat="1" ht="13.5" customHeight="1">
      <c r="A22" s="743" t="s">
        <v>1599</v>
      </c>
      <c r="B22" s="764" t="s">
        <v>1628</v>
      </c>
      <c r="C22" s="765">
        <f ca="1">ROUND(C21*F22,0)</f>
        <v>0</v>
      </c>
      <c r="D22" s="272"/>
      <c r="E22" s="272"/>
      <c r="F22" s="767">
        <f>'数据-取费表'!B37</f>
        <v>0.02</v>
      </c>
      <c r="G22" s="5" t="s">
        <v>1629</v>
      </c>
      <c r="H22" s="748"/>
      <c r="I22" s="748"/>
      <c r="J22" s="748"/>
      <c r="K22" s="749"/>
    </row>
    <row r="23" spans="1:33" s="754" customFormat="1" ht="13.5" customHeight="1">
      <c r="A23" s="743" t="s">
        <v>1601</v>
      </c>
      <c r="B23" s="764" t="s">
        <v>1630</v>
      </c>
      <c r="C23" s="765">
        <f ca="1">ROUND(C4*F23*F11,0)</f>
        <v>0</v>
      </c>
      <c r="D23" s="272"/>
      <c r="E23" s="272"/>
      <c r="F23" s="767">
        <f>'数据-取费表'!B38</f>
        <v>0.02</v>
      </c>
      <c r="G23" s="5" t="s">
        <v>1631</v>
      </c>
      <c r="H23" s="748"/>
      <c r="I23" s="748"/>
      <c r="J23" s="748"/>
      <c r="K23" s="749"/>
    </row>
    <row r="24" spans="1:33" s="754" customFormat="1" ht="13.5" customHeight="1">
      <c r="A24" s="743" t="s">
        <v>1632</v>
      </c>
      <c r="B24" s="764" t="s">
        <v>1633</v>
      </c>
      <c r="C24" s="271">
        <f>ROUND(F24/(1+'数据-取费表'!C42),4)</f>
        <v>2.9000000000000001E-2</v>
      </c>
      <c r="D24" s="272" t="s">
        <v>12</v>
      </c>
      <c r="E24" s="272"/>
      <c r="F24" s="767">
        <f>IF(项目基本情况!B8="出让",0,'数据-取费表'!B48+'数据-取费表'!B49)</f>
        <v>3.0499999999999999E-2</v>
      </c>
      <c r="G24" s="5" t="s">
        <v>1634</v>
      </c>
      <c r="H24" s="769"/>
      <c r="I24" s="769"/>
      <c r="J24" s="769"/>
      <c r="K24" s="55"/>
    </row>
    <row r="25" spans="1:33" s="754" customFormat="1" ht="13.5" customHeight="1">
      <c r="A25" s="743" t="s">
        <v>1635</v>
      </c>
      <c r="B25" s="766" t="s">
        <v>1636</v>
      </c>
      <c r="C25" s="1042">
        <f ca="1">C27</f>
        <v>0</v>
      </c>
      <c r="D25" s="271">
        <f ca="1">C26</f>
        <v>0</v>
      </c>
      <c r="E25" s="273" t="s">
        <v>12</v>
      </c>
      <c r="F25" s="274">
        <f ca="1">'数据-取费表'!B40</f>
        <v>4.1499999999999995E-2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1637</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1638</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1639</v>
      </c>
      <c r="B28" s="1722" t="s">
        <v>1640</v>
      </c>
      <c r="C28" s="278">
        <f ca="1">C30</f>
        <v>0</v>
      </c>
      <c r="D28" s="271">
        <f ca="1">C29</f>
        <v>0</v>
      </c>
      <c r="E28" s="273" t="s">
        <v>12</v>
      </c>
      <c r="F28" s="279">
        <f ca="1">IF(C1="",'数据-取费表'!Q16,INDIRECT("'数据-取费表'!q"&amp;$K$1))</f>
        <v>0.2</v>
      </c>
      <c r="G28" s="768"/>
      <c r="H28" s="769"/>
      <c r="I28" s="769"/>
      <c r="J28" s="769"/>
      <c r="K28" s="55"/>
    </row>
    <row r="29" spans="1:33" s="282" customFormat="1" ht="13.5" customHeight="1">
      <c r="A29" s="751" t="s">
        <v>358</v>
      </c>
      <c r="B29" s="772" t="s">
        <v>1641</v>
      </c>
      <c r="C29" s="275">
        <f ca="1">ROUND((1+C24)*F28*'数据-取费表'!B24/'数据-取费表'!B20,4)</f>
        <v>0</v>
      </c>
      <c r="D29" s="275"/>
      <c r="E29" s="276"/>
      <c r="F29" s="281"/>
      <c r="G29" s="123" t="s">
        <v>1642</v>
      </c>
      <c r="H29" s="758"/>
      <c r="I29" s="758"/>
      <c r="J29" s="758"/>
      <c r="K29" s="759"/>
    </row>
    <row r="30" spans="1:33" s="282" customFormat="1" ht="13.5" customHeight="1">
      <c r="A30" s="751" t="s">
        <v>359</v>
      </c>
      <c r="B30" s="772" t="s">
        <v>1643</v>
      </c>
      <c r="C30" s="283">
        <f ca="1">ROUND((C21+C22+C23)*F28,0)</f>
        <v>0</v>
      </c>
      <c r="D30" s="275"/>
      <c r="E30" s="276"/>
      <c r="F30" s="281"/>
      <c r="G30" s="123"/>
      <c r="H30" s="758"/>
      <c r="I30" s="758"/>
      <c r="J30" s="758"/>
      <c r="K30" s="759"/>
    </row>
    <row r="31" spans="1:33" s="754" customFormat="1" ht="13.5" customHeight="1" thickBot="1">
      <c r="A31" s="1723" t="s">
        <v>1644</v>
      </c>
      <c r="B31" s="782" t="s">
        <v>1645</v>
      </c>
      <c r="C31" s="783">
        <f>ROUND(C4*F31/(1+'数据-取费表'!C42),0)</f>
        <v>0</v>
      </c>
      <c r="D31" s="784"/>
      <c r="E31" s="785"/>
      <c r="F31" s="786">
        <f>'数据-取费表'!B41</f>
        <v>5.6000000000000001E-2</v>
      </c>
      <c r="G31" s="787" t="s">
        <v>1646</v>
      </c>
      <c r="H31" s="788"/>
      <c r="I31" s="788"/>
      <c r="J31" s="788"/>
      <c r="K31" s="789"/>
    </row>
    <row r="32" spans="1:33" s="750" customFormat="1" ht="13.5" customHeight="1" thickBot="1">
      <c r="A32" s="448" t="s">
        <v>1647</v>
      </c>
      <c r="B32" s="778"/>
      <c r="C32" s="779">
        <f ca="1">ROUND((C4-C21-C22-C23-C25-C28-C31)/(1+C24+D25+D28),0)</f>
        <v>0</v>
      </c>
      <c r="D32" s="778"/>
      <c r="E32" s="778"/>
      <c r="F32" s="778"/>
      <c r="G32" s="780" t="s">
        <v>1648</v>
      </c>
      <c r="H32" s="778"/>
      <c r="I32" s="778"/>
      <c r="J32" s="778"/>
      <c r="K32" s="78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D00-000000000000}">
      <formula1>项目类型</formula1>
    </dataValidation>
    <dataValidation type="list" allowBlank="1" showInputMessage="1" showErrorMessage="1" sqref="G18" xr:uid="{00000000-0002-0000-1D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W44"/>
  <sheetViews>
    <sheetView zoomScale="80" zoomScaleNormal="80" workbookViewId="0">
      <selection activeCell="H43" sqref="H43"/>
    </sheetView>
  </sheetViews>
  <sheetFormatPr defaultRowHeight="13.15" customHeight="1"/>
  <cols>
    <col min="1" max="1" width="9.5" style="2590" customWidth="1"/>
    <col min="2" max="2" width="8.875" style="2590"/>
    <col min="3" max="5" width="12.875" style="2590" customWidth="1"/>
    <col min="6" max="6" width="47.5" style="2590" customWidth="1"/>
    <col min="7" max="7" width="13" style="2584" customWidth="1"/>
    <col min="8" max="8" width="8.875" style="2584"/>
    <col min="9" max="9" width="8.875" style="2585"/>
    <col min="10" max="10" width="5.75" style="2744" customWidth="1"/>
    <col min="11" max="11" width="11.75" style="2744" customWidth="1"/>
    <col min="12" max="13" width="10.75" style="2744" customWidth="1"/>
    <col min="14" max="14" width="10" style="2744" customWidth="1"/>
    <col min="15" max="16" width="10.5" style="2744" bestFit="1" customWidth="1"/>
    <col min="17" max="17" width="10" style="2744" customWidth="1"/>
    <col min="18" max="18" width="10.125" style="2744" customWidth="1"/>
    <col min="19" max="19" width="10" style="2744" customWidth="1"/>
    <col min="20" max="20" width="26.125" style="2744" customWidth="1"/>
    <col min="21" max="21" width="8.875" style="2744"/>
    <col min="22" max="22" width="8.875" style="2585"/>
    <col min="23" max="256" width="8.875" style="2590"/>
    <col min="257" max="257" width="9.5" style="2590" customWidth="1"/>
    <col min="258" max="258" width="8.875" style="2590"/>
    <col min="259" max="261" width="12.875" style="2590" customWidth="1"/>
    <col min="262" max="262" width="47.5" style="2590" customWidth="1"/>
    <col min="263" max="263" width="13" style="2590" customWidth="1"/>
    <col min="264" max="265" width="8.875" style="2590"/>
    <col min="266" max="266" width="5.75" style="2590" customWidth="1"/>
    <col min="267" max="267" width="11.75" style="2590" customWidth="1"/>
    <col min="268" max="269" width="10.75" style="2590" customWidth="1"/>
    <col min="270" max="270" width="10" style="2590" customWidth="1"/>
    <col min="271" max="272" width="10.5" style="2590" bestFit="1" customWidth="1"/>
    <col min="273" max="273" width="10" style="2590" customWidth="1"/>
    <col min="274" max="274" width="10.125" style="2590" customWidth="1"/>
    <col min="275" max="275" width="10" style="2590" customWidth="1"/>
    <col min="276" max="276" width="26.125" style="2590" customWidth="1"/>
    <col min="277" max="512" width="8.875" style="2590"/>
    <col min="513" max="513" width="9.5" style="2590" customWidth="1"/>
    <col min="514" max="514" width="8.875" style="2590"/>
    <col min="515" max="517" width="12.875" style="2590" customWidth="1"/>
    <col min="518" max="518" width="47.5" style="2590" customWidth="1"/>
    <col min="519" max="519" width="13" style="2590" customWidth="1"/>
    <col min="520" max="521" width="8.875" style="2590"/>
    <col min="522" max="522" width="5.75" style="2590" customWidth="1"/>
    <col min="523" max="523" width="11.75" style="2590" customWidth="1"/>
    <col min="524" max="525" width="10.75" style="2590" customWidth="1"/>
    <col min="526" max="526" width="10" style="2590" customWidth="1"/>
    <col min="527" max="528" width="10.5" style="2590" bestFit="1" customWidth="1"/>
    <col min="529" max="529" width="10" style="2590" customWidth="1"/>
    <col min="530" max="530" width="10.125" style="2590" customWidth="1"/>
    <col min="531" max="531" width="10" style="2590" customWidth="1"/>
    <col min="532" max="532" width="26.125" style="2590" customWidth="1"/>
    <col min="533" max="768" width="8.875" style="2590"/>
    <col min="769" max="769" width="9.5" style="2590" customWidth="1"/>
    <col min="770" max="770" width="8.875" style="2590"/>
    <col min="771" max="773" width="12.875" style="2590" customWidth="1"/>
    <col min="774" max="774" width="47.5" style="2590" customWidth="1"/>
    <col min="775" max="775" width="13" style="2590" customWidth="1"/>
    <col min="776" max="777" width="8.875" style="2590"/>
    <col min="778" max="778" width="5.75" style="2590" customWidth="1"/>
    <col min="779" max="779" width="11.75" style="2590" customWidth="1"/>
    <col min="780" max="781" width="10.75" style="2590" customWidth="1"/>
    <col min="782" max="782" width="10" style="2590" customWidth="1"/>
    <col min="783" max="784" width="10.5" style="2590" bestFit="1" customWidth="1"/>
    <col min="785" max="785" width="10" style="2590" customWidth="1"/>
    <col min="786" max="786" width="10.125" style="2590" customWidth="1"/>
    <col min="787" max="787" width="10" style="2590" customWidth="1"/>
    <col min="788" max="788" width="26.125" style="2590" customWidth="1"/>
    <col min="789" max="1024" width="8.875" style="2590"/>
    <col min="1025" max="1025" width="9.5" style="2590" customWidth="1"/>
    <col min="1026" max="1026" width="8.875" style="2590"/>
    <col min="1027" max="1029" width="12.875" style="2590" customWidth="1"/>
    <col min="1030" max="1030" width="47.5" style="2590" customWidth="1"/>
    <col min="1031" max="1031" width="13" style="2590" customWidth="1"/>
    <col min="1032" max="1033" width="8.875" style="2590"/>
    <col min="1034" max="1034" width="5.75" style="2590" customWidth="1"/>
    <col min="1035" max="1035" width="11.75" style="2590" customWidth="1"/>
    <col min="1036" max="1037" width="10.75" style="2590" customWidth="1"/>
    <col min="1038" max="1038" width="10" style="2590" customWidth="1"/>
    <col min="1039" max="1040" width="10.5" style="2590" bestFit="1" customWidth="1"/>
    <col min="1041" max="1041" width="10" style="2590" customWidth="1"/>
    <col min="1042" max="1042" width="10.125" style="2590" customWidth="1"/>
    <col min="1043" max="1043" width="10" style="2590" customWidth="1"/>
    <col min="1044" max="1044" width="26.125" style="2590" customWidth="1"/>
    <col min="1045" max="1280" width="8.875" style="2590"/>
    <col min="1281" max="1281" width="9.5" style="2590" customWidth="1"/>
    <col min="1282" max="1282" width="8.875" style="2590"/>
    <col min="1283" max="1285" width="12.875" style="2590" customWidth="1"/>
    <col min="1286" max="1286" width="47.5" style="2590" customWidth="1"/>
    <col min="1287" max="1287" width="13" style="2590" customWidth="1"/>
    <col min="1288" max="1289" width="8.875" style="2590"/>
    <col min="1290" max="1290" width="5.75" style="2590" customWidth="1"/>
    <col min="1291" max="1291" width="11.75" style="2590" customWidth="1"/>
    <col min="1292" max="1293" width="10.75" style="2590" customWidth="1"/>
    <col min="1294" max="1294" width="10" style="2590" customWidth="1"/>
    <col min="1295" max="1296" width="10.5" style="2590" bestFit="1" customWidth="1"/>
    <col min="1297" max="1297" width="10" style="2590" customWidth="1"/>
    <col min="1298" max="1298" width="10.125" style="2590" customWidth="1"/>
    <col min="1299" max="1299" width="10" style="2590" customWidth="1"/>
    <col min="1300" max="1300" width="26.125" style="2590" customWidth="1"/>
    <col min="1301" max="1536" width="8.875" style="2590"/>
    <col min="1537" max="1537" width="9.5" style="2590" customWidth="1"/>
    <col min="1538" max="1538" width="8.875" style="2590"/>
    <col min="1539" max="1541" width="12.875" style="2590" customWidth="1"/>
    <col min="1542" max="1542" width="47.5" style="2590" customWidth="1"/>
    <col min="1543" max="1543" width="13" style="2590" customWidth="1"/>
    <col min="1544" max="1545" width="8.875" style="2590"/>
    <col min="1546" max="1546" width="5.75" style="2590" customWidth="1"/>
    <col min="1547" max="1547" width="11.75" style="2590" customWidth="1"/>
    <col min="1548" max="1549" width="10.75" style="2590" customWidth="1"/>
    <col min="1550" max="1550" width="10" style="2590" customWidth="1"/>
    <col min="1551" max="1552" width="10.5" style="2590" bestFit="1" customWidth="1"/>
    <col min="1553" max="1553" width="10" style="2590" customWidth="1"/>
    <col min="1554" max="1554" width="10.125" style="2590" customWidth="1"/>
    <col min="1555" max="1555" width="10" style="2590" customWidth="1"/>
    <col min="1556" max="1556" width="26.125" style="2590" customWidth="1"/>
    <col min="1557" max="1792" width="8.875" style="2590"/>
    <col min="1793" max="1793" width="9.5" style="2590" customWidth="1"/>
    <col min="1794" max="1794" width="8.875" style="2590"/>
    <col min="1795" max="1797" width="12.875" style="2590" customWidth="1"/>
    <col min="1798" max="1798" width="47.5" style="2590" customWidth="1"/>
    <col min="1799" max="1799" width="13" style="2590" customWidth="1"/>
    <col min="1800" max="1801" width="8.875" style="2590"/>
    <col min="1802" max="1802" width="5.75" style="2590" customWidth="1"/>
    <col min="1803" max="1803" width="11.75" style="2590" customWidth="1"/>
    <col min="1804" max="1805" width="10.75" style="2590" customWidth="1"/>
    <col min="1806" max="1806" width="10" style="2590" customWidth="1"/>
    <col min="1807" max="1808" width="10.5" style="2590" bestFit="1" customWidth="1"/>
    <col min="1809" max="1809" width="10" style="2590" customWidth="1"/>
    <col min="1810" max="1810" width="10.125" style="2590" customWidth="1"/>
    <col min="1811" max="1811" width="10" style="2590" customWidth="1"/>
    <col min="1812" max="1812" width="26.125" style="2590" customWidth="1"/>
    <col min="1813" max="2048" width="8.875" style="2590"/>
    <col min="2049" max="2049" width="9.5" style="2590" customWidth="1"/>
    <col min="2050" max="2050" width="8.875" style="2590"/>
    <col min="2051" max="2053" width="12.875" style="2590" customWidth="1"/>
    <col min="2054" max="2054" width="47.5" style="2590" customWidth="1"/>
    <col min="2055" max="2055" width="13" style="2590" customWidth="1"/>
    <col min="2056" max="2057" width="8.875" style="2590"/>
    <col min="2058" max="2058" width="5.75" style="2590" customWidth="1"/>
    <col min="2059" max="2059" width="11.75" style="2590" customWidth="1"/>
    <col min="2060" max="2061" width="10.75" style="2590" customWidth="1"/>
    <col min="2062" max="2062" width="10" style="2590" customWidth="1"/>
    <col min="2063" max="2064" width="10.5" style="2590" bestFit="1" customWidth="1"/>
    <col min="2065" max="2065" width="10" style="2590" customWidth="1"/>
    <col min="2066" max="2066" width="10.125" style="2590" customWidth="1"/>
    <col min="2067" max="2067" width="10" style="2590" customWidth="1"/>
    <col min="2068" max="2068" width="26.125" style="2590" customWidth="1"/>
    <col min="2069" max="2304" width="8.875" style="2590"/>
    <col min="2305" max="2305" width="9.5" style="2590" customWidth="1"/>
    <col min="2306" max="2306" width="8.875" style="2590"/>
    <col min="2307" max="2309" width="12.875" style="2590" customWidth="1"/>
    <col min="2310" max="2310" width="47.5" style="2590" customWidth="1"/>
    <col min="2311" max="2311" width="13" style="2590" customWidth="1"/>
    <col min="2312" max="2313" width="8.875" style="2590"/>
    <col min="2314" max="2314" width="5.75" style="2590" customWidth="1"/>
    <col min="2315" max="2315" width="11.75" style="2590" customWidth="1"/>
    <col min="2316" max="2317" width="10.75" style="2590" customWidth="1"/>
    <col min="2318" max="2318" width="10" style="2590" customWidth="1"/>
    <col min="2319" max="2320" width="10.5" style="2590" bestFit="1" customWidth="1"/>
    <col min="2321" max="2321" width="10" style="2590" customWidth="1"/>
    <col min="2322" max="2322" width="10.125" style="2590" customWidth="1"/>
    <col min="2323" max="2323" width="10" style="2590" customWidth="1"/>
    <col min="2324" max="2324" width="26.125" style="2590" customWidth="1"/>
    <col min="2325" max="2560" width="8.875" style="2590"/>
    <col min="2561" max="2561" width="9.5" style="2590" customWidth="1"/>
    <col min="2562" max="2562" width="8.875" style="2590"/>
    <col min="2563" max="2565" width="12.875" style="2590" customWidth="1"/>
    <col min="2566" max="2566" width="47.5" style="2590" customWidth="1"/>
    <col min="2567" max="2567" width="13" style="2590" customWidth="1"/>
    <col min="2568" max="2569" width="8.875" style="2590"/>
    <col min="2570" max="2570" width="5.75" style="2590" customWidth="1"/>
    <col min="2571" max="2571" width="11.75" style="2590" customWidth="1"/>
    <col min="2572" max="2573" width="10.75" style="2590" customWidth="1"/>
    <col min="2574" max="2574" width="10" style="2590" customWidth="1"/>
    <col min="2575" max="2576" width="10.5" style="2590" bestFit="1" customWidth="1"/>
    <col min="2577" max="2577" width="10" style="2590" customWidth="1"/>
    <col min="2578" max="2578" width="10.125" style="2590" customWidth="1"/>
    <col min="2579" max="2579" width="10" style="2590" customWidth="1"/>
    <col min="2580" max="2580" width="26.125" style="2590" customWidth="1"/>
    <col min="2581" max="2816" width="8.875" style="2590"/>
    <col min="2817" max="2817" width="9.5" style="2590" customWidth="1"/>
    <col min="2818" max="2818" width="8.875" style="2590"/>
    <col min="2819" max="2821" width="12.875" style="2590" customWidth="1"/>
    <col min="2822" max="2822" width="47.5" style="2590" customWidth="1"/>
    <col min="2823" max="2823" width="13" style="2590" customWidth="1"/>
    <col min="2824" max="2825" width="8.875" style="2590"/>
    <col min="2826" max="2826" width="5.75" style="2590" customWidth="1"/>
    <col min="2827" max="2827" width="11.75" style="2590" customWidth="1"/>
    <col min="2828" max="2829" width="10.75" style="2590" customWidth="1"/>
    <col min="2830" max="2830" width="10" style="2590" customWidth="1"/>
    <col min="2831" max="2832" width="10.5" style="2590" bestFit="1" customWidth="1"/>
    <col min="2833" max="2833" width="10" style="2590" customWidth="1"/>
    <col min="2834" max="2834" width="10.125" style="2590" customWidth="1"/>
    <col min="2835" max="2835" width="10" style="2590" customWidth="1"/>
    <col min="2836" max="2836" width="26.125" style="2590" customWidth="1"/>
    <col min="2837" max="3072" width="8.875" style="2590"/>
    <col min="3073" max="3073" width="9.5" style="2590" customWidth="1"/>
    <col min="3074" max="3074" width="8.875" style="2590"/>
    <col min="3075" max="3077" width="12.875" style="2590" customWidth="1"/>
    <col min="3078" max="3078" width="47.5" style="2590" customWidth="1"/>
    <col min="3079" max="3079" width="13" style="2590" customWidth="1"/>
    <col min="3080" max="3081" width="8.875" style="2590"/>
    <col min="3082" max="3082" width="5.75" style="2590" customWidth="1"/>
    <col min="3083" max="3083" width="11.75" style="2590" customWidth="1"/>
    <col min="3084" max="3085" width="10.75" style="2590" customWidth="1"/>
    <col min="3086" max="3086" width="10" style="2590" customWidth="1"/>
    <col min="3087" max="3088" width="10.5" style="2590" bestFit="1" customWidth="1"/>
    <col min="3089" max="3089" width="10" style="2590" customWidth="1"/>
    <col min="3090" max="3090" width="10.125" style="2590" customWidth="1"/>
    <col min="3091" max="3091" width="10" style="2590" customWidth="1"/>
    <col min="3092" max="3092" width="26.125" style="2590" customWidth="1"/>
    <col min="3093" max="3328" width="8.875" style="2590"/>
    <col min="3329" max="3329" width="9.5" style="2590" customWidth="1"/>
    <col min="3330" max="3330" width="8.875" style="2590"/>
    <col min="3331" max="3333" width="12.875" style="2590" customWidth="1"/>
    <col min="3334" max="3334" width="47.5" style="2590" customWidth="1"/>
    <col min="3335" max="3335" width="13" style="2590" customWidth="1"/>
    <col min="3336" max="3337" width="8.875" style="2590"/>
    <col min="3338" max="3338" width="5.75" style="2590" customWidth="1"/>
    <col min="3339" max="3339" width="11.75" style="2590" customWidth="1"/>
    <col min="3340" max="3341" width="10.75" style="2590" customWidth="1"/>
    <col min="3342" max="3342" width="10" style="2590" customWidth="1"/>
    <col min="3343" max="3344" width="10.5" style="2590" bestFit="1" customWidth="1"/>
    <col min="3345" max="3345" width="10" style="2590" customWidth="1"/>
    <col min="3346" max="3346" width="10.125" style="2590" customWidth="1"/>
    <col min="3347" max="3347" width="10" style="2590" customWidth="1"/>
    <col min="3348" max="3348" width="26.125" style="2590" customWidth="1"/>
    <col min="3349" max="3584" width="8.875" style="2590"/>
    <col min="3585" max="3585" width="9.5" style="2590" customWidth="1"/>
    <col min="3586" max="3586" width="8.875" style="2590"/>
    <col min="3587" max="3589" width="12.875" style="2590" customWidth="1"/>
    <col min="3590" max="3590" width="47.5" style="2590" customWidth="1"/>
    <col min="3591" max="3591" width="13" style="2590" customWidth="1"/>
    <col min="3592" max="3593" width="8.875" style="2590"/>
    <col min="3594" max="3594" width="5.75" style="2590" customWidth="1"/>
    <col min="3595" max="3595" width="11.75" style="2590" customWidth="1"/>
    <col min="3596" max="3597" width="10.75" style="2590" customWidth="1"/>
    <col min="3598" max="3598" width="10" style="2590" customWidth="1"/>
    <col min="3599" max="3600" width="10.5" style="2590" bestFit="1" customWidth="1"/>
    <col min="3601" max="3601" width="10" style="2590" customWidth="1"/>
    <col min="3602" max="3602" width="10.125" style="2590" customWidth="1"/>
    <col min="3603" max="3603" width="10" style="2590" customWidth="1"/>
    <col min="3604" max="3604" width="26.125" style="2590" customWidth="1"/>
    <col min="3605" max="3840" width="8.875" style="2590"/>
    <col min="3841" max="3841" width="9.5" style="2590" customWidth="1"/>
    <col min="3842" max="3842" width="8.875" style="2590"/>
    <col min="3843" max="3845" width="12.875" style="2590" customWidth="1"/>
    <col min="3846" max="3846" width="47.5" style="2590" customWidth="1"/>
    <col min="3847" max="3847" width="13" style="2590" customWidth="1"/>
    <col min="3848" max="3849" width="8.875" style="2590"/>
    <col min="3850" max="3850" width="5.75" style="2590" customWidth="1"/>
    <col min="3851" max="3851" width="11.75" style="2590" customWidth="1"/>
    <col min="3852" max="3853" width="10.75" style="2590" customWidth="1"/>
    <col min="3854" max="3854" width="10" style="2590" customWidth="1"/>
    <col min="3855" max="3856" width="10.5" style="2590" bestFit="1" customWidth="1"/>
    <col min="3857" max="3857" width="10" style="2590" customWidth="1"/>
    <col min="3858" max="3858" width="10.125" style="2590" customWidth="1"/>
    <col min="3859" max="3859" width="10" style="2590" customWidth="1"/>
    <col min="3860" max="3860" width="26.125" style="2590" customWidth="1"/>
    <col min="3861" max="4096" width="8.875" style="2590"/>
    <col min="4097" max="4097" width="9.5" style="2590" customWidth="1"/>
    <col min="4098" max="4098" width="8.875" style="2590"/>
    <col min="4099" max="4101" width="12.875" style="2590" customWidth="1"/>
    <col min="4102" max="4102" width="47.5" style="2590" customWidth="1"/>
    <col min="4103" max="4103" width="13" style="2590" customWidth="1"/>
    <col min="4104" max="4105" width="8.875" style="2590"/>
    <col min="4106" max="4106" width="5.75" style="2590" customWidth="1"/>
    <col min="4107" max="4107" width="11.75" style="2590" customWidth="1"/>
    <col min="4108" max="4109" width="10.75" style="2590" customWidth="1"/>
    <col min="4110" max="4110" width="10" style="2590" customWidth="1"/>
    <col min="4111" max="4112" width="10.5" style="2590" bestFit="1" customWidth="1"/>
    <col min="4113" max="4113" width="10" style="2590" customWidth="1"/>
    <col min="4114" max="4114" width="10.125" style="2590" customWidth="1"/>
    <col min="4115" max="4115" width="10" style="2590" customWidth="1"/>
    <col min="4116" max="4116" width="26.125" style="2590" customWidth="1"/>
    <col min="4117" max="4352" width="8.875" style="2590"/>
    <col min="4353" max="4353" width="9.5" style="2590" customWidth="1"/>
    <col min="4354" max="4354" width="8.875" style="2590"/>
    <col min="4355" max="4357" width="12.875" style="2590" customWidth="1"/>
    <col min="4358" max="4358" width="47.5" style="2590" customWidth="1"/>
    <col min="4359" max="4359" width="13" style="2590" customWidth="1"/>
    <col min="4360" max="4361" width="8.875" style="2590"/>
    <col min="4362" max="4362" width="5.75" style="2590" customWidth="1"/>
    <col min="4363" max="4363" width="11.75" style="2590" customWidth="1"/>
    <col min="4364" max="4365" width="10.75" style="2590" customWidth="1"/>
    <col min="4366" max="4366" width="10" style="2590" customWidth="1"/>
    <col min="4367" max="4368" width="10.5" style="2590" bestFit="1" customWidth="1"/>
    <col min="4369" max="4369" width="10" style="2590" customWidth="1"/>
    <col min="4370" max="4370" width="10.125" style="2590" customWidth="1"/>
    <col min="4371" max="4371" width="10" style="2590" customWidth="1"/>
    <col min="4372" max="4372" width="26.125" style="2590" customWidth="1"/>
    <col min="4373" max="4608" width="8.875" style="2590"/>
    <col min="4609" max="4609" width="9.5" style="2590" customWidth="1"/>
    <col min="4610" max="4610" width="8.875" style="2590"/>
    <col min="4611" max="4613" width="12.875" style="2590" customWidth="1"/>
    <col min="4614" max="4614" width="47.5" style="2590" customWidth="1"/>
    <col min="4615" max="4615" width="13" style="2590" customWidth="1"/>
    <col min="4616" max="4617" width="8.875" style="2590"/>
    <col min="4618" max="4618" width="5.75" style="2590" customWidth="1"/>
    <col min="4619" max="4619" width="11.75" style="2590" customWidth="1"/>
    <col min="4620" max="4621" width="10.75" style="2590" customWidth="1"/>
    <col min="4622" max="4622" width="10" style="2590" customWidth="1"/>
    <col min="4623" max="4624" width="10.5" style="2590" bestFit="1" customWidth="1"/>
    <col min="4625" max="4625" width="10" style="2590" customWidth="1"/>
    <col min="4626" max="4626" width="10.125" style="2590" customWidth="1"/>
    <col min="4627" max="4627" width="10" style="2590" customWidth="1"/>
    <col min="4628" max="4628" width="26.125" style="2590" customWidth="1"/>
    <col min="4629" max="4864" width="8.875" style="2590"/>
    <col min="4865" max="4865" width="9.5" style="2590" customWidth="1"/>
    <col min="4866" max="4866" width="8.875" style="2590"/>
    <col min="4867" max="4869" width="12.875" style="2590" customWidth="1"/>
    <col min="4870" max="4870" width="47.5" style="2590" customWidth="1"/>
    <col min="4871" max="4871" width="13" style="2590" customWidth="1"/>
    <col min="4872" max="4873" width="8.875" style="2590"/>
    <col min="4874" max="4874" width="5.75" style="2590" customWidth="1"/>
    <col min="4875" max="4875" width="11.75" style="2590" customWidth="1"/>
    <col min="4876" max="4877" width="10.75" style="2590" customWidth="1"/>
    <col min="4878" max="4878" width="10" style="2590" customWidth="1"/>
    <col min="4879" max="4880" width="10.5" style="2590" bestFit="1" customWidth="1"/>
    <col min="4881" max="4881" width="10" style="2590" customWidth="1"/>
    <col min="4882" max="4882" width="10.125" style="2590" customWidth="1"/>
    <col min="4883" max="4883" width="10" style="2590" customWidth="1"/>
    <col min="4884" max="4884" width="26.125" style="2590" customWidth="1"/>
    <col min="4885" max="5120" width="8.875" style="2590"/>
    <col min="5121" max="5121" width="9.5" style="2590" customWidth="1"/>
    <col min="5122" max="5122" width="8.875" style="2590"/>
    <col min="5123" max="5125" width="12.875" style="2590" customWidth="1"/>
    <col min="5126" max="5126" width="47.5" style="2590" customWidth="1"/>
    <col min="5127" max="5127" width="13" style="2590" customWidth="1"/>
    <col min="5128" max="5129" width="8.875" style="2590"/>
    <col min="5130" max="5130" width="5.75" style="2590" customWidth="1"/>
    <col min="5131" max="5131" width="11.75" style="2590" customWidth="1"/>
    <col min="5132" max="5133" width="10.75" style="2590" customWidth="1"/>
    <col min="5134" max="5134" width="10" style="2590" customWidth="1"/>
    <col min="5135" max="5136" width="10.5" style="2590" bestFit="1" customWidth="1"/>
    <col min="5137" max="5137" width="10" style="2590" customWidth="1"/>
    <col min="5138" max="5138" width="10.125" style="2590" customWidth="1"/>
    <col min="5139" max="5139" width="10" style="2590" customWidth="1"/>
    <col min="5140" max="5140" width="26.125" style="2590" customWidth="1"/>
    <col min="5141" max="5376" width="8.875" style="2590"/>
    <col min="5377" max="5377" width="9.5" style="2590" customWidth="1"/>
    <col min="5378" max="5378" width="8.875" style="2590"/>
    <col min="5379" max="5381" width="12.875" style="2590" customWidth="1"/>
    <col min="5382" max="5382" width="47.5" style="2590" customWidth="1"/>
    <col min="5383" max="5383" width="13" style="2590" customWidth="1"/>
    <col min="5384" max="5385" width="8.875" style="2590"/>
    <col min="5386" max="5386" width="5.75" style="2590" customWidth="1"/>
    <col min="5387" max="5387" width="11.75" style="2590" customWidth="1"/>
    <col min="5388" max="5389" width="10.75" style="2590" customWidth="1"/>
    <col min="5390" max="5390" width="10" style="2590" customWidth="1"/>
    <col min="5391" max="5392" width="10.5" style="2590" bestFit="1" customWidth="1"/>
    <col min="5393" max="5393" width="10" style="2590" customWidth="1"/>
    <col min="5394" max="5394" width="10.125" style="2590" customWidth="1"/>
    <col min="5395" max="5395" width="10" style="2590" customWidth="1"/>
    <col min="5396" max="5396" width="26.125" style="2590" customWidth="1"/>
    <col min="5397" max="5632" width="8.875" style="2590"/>
    <col min="5633" max="5633" width="9.5" style="2590" customWidth="1"/>
    <col min="5634" max="5634" width="8.875" style="2590"/>
    <col min="5635" max="5637" width="12.875" style="2590" customWidth="1"/>
    <col min="5638" max="5638" width="47.5" style="2590" customWidth="1"/>
    <col min="5639" max="5639" width="13" style="2590" customWidth="1"/>
    <col min="5640" max="5641" width="8.875" style="2590"/>
    <col min="5642" max="5642" width="5.75" style="2590" customWidth="1"/>
    <col min="5643" max="5643" width="11.75" style="2590" customWidth="1"/>
    <col min="5644" max="5645" width="10.75" style="2590" customWidth="1"/>
    <col min="5646" max="5646" width="10" style="2590" customWidth="1"/>
    <col min="5647" max="5648" width="10.5" style="2590" bestFit="1" customWidth="1"/>
    <col min="5649" max="5649" width="10" style="2590" customWidth="1"/>
    <col min="5650" max="5650" width="10.125" style="2590" customWidth="1"/>
    <col min="5651" max="5651" width="10" style="2590" customWidth="1"/>
    <col min="5652" max="5652" width="26.125" style="2590" customWidth="1"/>
    <col min="5653" max="5888" width="8.875" style="2590"/>
    <col min="5889" max="5889" width="9.5" style="2590" customWidth="1"/>
    <col min="5890" max="5890" width="8.875" style="2590"/>
    <col min="5891" max="5893" width="12.875" style="2590" customWidth="1"/>
    <col min="5894" max="5894" width="47.5" style="2590" customWidth="1"/>
    <col min="5895" max="5895" width="13" style="2590" customWidth="1"/>
    <col min="5896" max="5897" width="8.875" style="2590"/>
    <col min="5898" max="5898" width="5.75" style="2590" customWidth="1"/>
    <col min="5899" max="5899" width="11.75" style="2590" customWidth="1"/>
    <col min="5900" max="5901" width="10.75" style="2590" customWidth="1"/>
    <col min="5902" max="5902" width="10" style="2590" customWidth="1"/>
    <col min="5903" max="5904" width="10.5" style="2590" bestFit="1" customWidth="1"/>
    <col min="5905" max="5905" width="10" style="2590" customWidth="1"/>
    <col min="5906" max="5906" width="10.125" style="2590" customWidth="1"/>
    <col min="5907" max="5907" width="10" style="2590" customWidth="1"/>
    <col min="5908" max="5908" width="26.125" style="2590" customWidth="1"/>
    <col min="5909" max="6144" width="8.875" style="2590"/>
    <col min="6145" max="6145" width="9.5" style="2590" customWidth="1"/>
    <col min="6146" max="6146" width="8.875" style="2590"/>
    <col min="6147" max="6149" width="12.875" style="2590" customWidth="1"/>
    <col min="6150" max="6150" width="47.5" style="2590" customWidth="1"/>
    <col min="6151" max="6151" width="13" style="2590" customWidth="1"/>
    <col min="6152" max="6153" width="8.875" style="2590"/>
    <col min="6154" max="6154" width="5.75" style="2590" customWidth="1"/>
    <col min="6155" max="6155" width="11.75" style="2590" customWidth="1"/>
    <col min="6156" max="6157" width="10.75" style="2590" customWidth="1"/>
    <col min="6158" max="6158" width="10" style="2590" customWidth="1"/>
    <col min="6159" max="6160" width="10.5" style="2590" bestFit="1" customWidth="1"/>
    <col min="6161" max="6161" width="10" style="2590" customWidth="1"/>
    <col min="6162" max="6162" width="10.125" style="2590" customWidth="1"/>
    <col min="6163" max="6163" width="10" style="2590" customWidth="1"/>
    <col min="6164" max="6164" width="26.125" style="2590" customWidth="1"/>
    <col min="6165" max="6400" width="8.875" style="2590"/>
    <col min="6401" max="6401" width="9.5" style="2590" customWidth="1"/>
    <col min="6402" max="6402" width="8.875" style="2590"/>
    <col min="6403" max="6405" width="12.875" style="2590" customWidth="1"/>
    <col min="6406" max="6406" width="47.5" style="2590" customWidth="1"/>
    <col min="6407" max="6407" width="13" style="2590" customWidth="1"/>
    <col min="6408" max="6409" width="8.875" style="2590"/>
    <col min="6410" max="6410" width="5.75" style="2590" customWidth="1"/>
    <col min="6411" max="6411" width="11.75" style="2590" customWidth="1"/>
    <col min="6412" max="6413" width="10.75" style="2590" customWidth="1"/>
    <col min="6414" max="6414" width="10" style="2590" customWidth="1"/>
    <col min="6415" max="6416" width="10.5" style="2590" bestFit="1" customWidth="1"/>
    <col min="6417" max="6417" width="10" style="2590" customWidth="1"/>
    <col min="6418" max="6418" width="10.125" style="2590" customWidth="1"/>
    <col min="6419" max="6419" width="10" style="2590" customWidth="1"/>
    <col min="6420" max="6420" width="26.125" style="2590" customWidth="1"/>
    <col min="6421" max="6656" width="8.875" style="2590"/>
    <col min="6657" max="6657" width="9.5" style="2590" customWidth="1"/>
    <col min="6658" max="6658" width="8.875" style="2590"/>
    <col min="6659" max="6661" width="12.875" style="2590" customWidth="1"/>
    <col min="6662" max="6662" width="47.5" style="2590" customWidth="1"/>
    <col min="6663" max="6663" width="13" style="2590" customWidth="1"/>
    <col min="6664" max="6665" width="8.875" style="2590"/>
    <col min="6666" max="6666" width="5.75" style="2590" customWidth="1"/>
    <col min="6667" max="6667" width="11.75" style="2590" customWidth="1"/>
    <col min="6668" max="6669" width="10.75" style="2590" customWidth="1"/>
    <col min="6670" max="6670" width="10" style="2590" customWidth="1"/>
    <col min="6671" max="6672" width="10.5" style="2590" bestFit="1" customWidth="1"/>
    <col min="6673" max="6673" width="10" style="2590" customWidth="1"/>
    <col min="6674" max="6674" width="10.125" style="2590" customWidth="1"/>
    <col min="6675" max="6675" width="10" style="2590" customWidth="1"/>
    <col min="6676" max="6676" width="26.125" style="2590" customWidth="1"/>
    <col min="6677" max="6912" width="8.875" style="2590"/>
    <col min="6913" max="6913" width="9.5" style="2590" customWidth="1"/>
    <col min="6914" max="6914" width="8.875" style="2590"/>
    <col min="6915" max="6917" width="12.875" style="2590" customWidth="1"/>
    <col min="6918" max="6918" width="47.5" style="2590" customWidth="1"/>
    <col min="6919" max="6919" width="13" style="2590" customWidth="1"/>
    <col min="6920" max="6921" width="8.875" style="2590"/>
    <col min="6922" max="6922" width="5.75" style="2590" customWidth="1"/>
    <col min="6923" max="6923" width="11.75" style="2590" customWidth="1"/>
    <col min="6924" max="6925" width="10.75" style="2590" customWidth="1"/>
    <col min="6926" max="6926" width="10" style="2590" customWidth="1"/>
    <col min="6927" max="6928" width="10.5" style="2590" bestFit="1" customWidth="1"/>
    <col min="6929" max="6929" width="10" style="2590" customWidth="1"/>
    <col min="6930" max="6930" width="10.125" style="2590" customWidth="1"/>
    <col min="6931" max="6931" width="10" style="2590" customWidth="1"/>
    <col min="6932" max="6932" width="26.125" style="2590" customWidth="1"/>
    <col min="6933" max="7168" width="8.875" style="2590"/>
    <col min="7169" max="7169" width="9.5" style="2590" customWidth="1"/>
    <col min="7170" max="7170" width="8.875" style="2590"/>
    <col min="7171" max="7173" width="12.875" style="2590" customWidth="1"/>
    <col min="7174" max="7174" width="47.5" style="2590" customWidth="1"/>
    <col min="7175" max="7175" width="13" style="2590" customWidth="1"/>
    <col min="7176" max="7177" width="8.875" style="2590"/>
    <col min="7178" max="7178" width="5.75" style="2590" customWidth="1"/>
    <col min="7179" max="7179" width="11.75" style="2590" customWidth="1"/>
    <col min="7180" max="7181" width="10.75" style="2590" customWidth="1"/>
    <col min="7182" max="7182" width="10" style="2590" customWidth="1"/>
    <col min="7183" max="7184" width="10.5" style="2590" bestFit="1" customWidth="1"/>
    <col min="7185" max="7185" width="10" style="2590" customWidth="1"/>
    <col min="7186" max="7186" width="10.125" style="2590" customWidth="1"/>
    <col min="7187" max="7187" width="10" style="2590" customWidth="1"/>
    <col min="7188" max="7188" width="26.125" style="2590" customWidth="1"/>
    <col min="7189" max="7424" width="8.875" style="2590"/>
    <col min="7425" max="7425" width="9.5" style="2590" customWidth="1"/>
    <col min="7426" max="7426" width="8.875" style="2590"/>
    <col min="7427" max="7429" width="12.875" style="2590" customWidth="1"/>
    <col min="7430" max="7430" width="47.5" style="2590" customWidth="1"/>
    <col min="7431" max="7431" width="13" style="2590" customWidth="1"/>
    <col min="7432" max="7433" width="8.875" style="2590"/>
    <col min="7434" max="7434" width="5.75" style="2590" customWidth="1"/>
    <col min="7435" max="7435" width="11.75" style="2590" customWidth="1"/>
    <col min="7436" max="7437" width="10.75" style="2590" customWidth="1"/>
    <col min="7438" max="7438" width="10" style="2590" customWidth="1"/>
    <col min="7439" max="7440" width="10.5" style="2590" bestFit="1" customWidth="1"/>
    <col min="7441" max="7441" width="10" style="2590" customWidth="1"/>
    <col min="7442" max="7442" width="10.125" style="2590" customWidth="1"/>
    <col min="7443" max="7443" width="10" style="2590" customWidth="1"/>
    <col min="7444" max="7444" width="26.125" style="2590" customWidth="1"/>
    <col min="7445" max="7680" width="8.875" style="2590"/>
    <col min="7681" max="7681" width="9.5" style="2590" customWidth="1"/>
    <col min="7682" max="7682" width="8.875" style="2590"/>
    <col min="7683" max="7685" width="12.875" style="2590" customWidth="1"/>
    <col min="7686" max="7686" width="47.5" style="2590" customWidth="1"/>
    <col min="7687" max="7687" width="13" style="2590" customWidth="1"/>
    <col min="7688" max="7689" width="8.875" style="2590"/>
    <col min="7690" max="7690" width="5.75" style="2590" customWidth="1"/>
    <col min="7691" max="7691" width="11.75" style="2590" customWidth="1"/>
    <col min="7692" max="7693" width="10.75" style="2590" customWidth="1"/>
    <col min="7694" max="7694" width="10" style="2590" customWidth="1"/>
    <col min="7695" max="7696" width="10.5" style="2590" bestFit="1" customWidth="1"/>
    <col min="7697" max="7697" width="10" style="2590" customWidth="1"/>
    <col min="7698" max="7698" width="10.125" style="2590" customWidth="1"/>
    <col min="7699" max="7699" width="10" style="2590" customWidth="1"/>
    <col min="7700" max="7700" width="26.125" style="2590" customWidth="1"/>
    <col min="7701" max="7936" width="8.875" style="2590"/>
    <col min="7937" max="7937" width="9.5" style="2590" customWidth="1"/>
    <col min="7938" max="7938" width="8.875" style="2590"/>
    <col min="7939" max="7941" width="12.875" style="2590" customWidth="1"/>
    <col min="7942" max="7942" width="47.5" style="2590" customWidth="1"/>
    <col min="7943" max="7943" width="13" style="2590" customWidth="1"/>
    <col min="7944" max="7945" width="8.875" style="2590"/>
    <col min="7946" max="7946" width="5.75" style="2590" customWidth="1"/>
    <col min="7947" max="7947" width="11.75" style="2590" customWidth="1"/>
    <col min="7948" max="7949" width="10.75" style="2590" customWidth="1"/>
    <col min="7950" max="7950" width="10" style="2590" customWidth="1"/>
    <col min="7951" max="7952" width="10.5" style="2590" bestFit="1" customWidth="1"/>
    <col min="7953" max="7953" width="10" style="2590" customWidth="1"/>
    <col min="7954" max="7954" width="10.125" style="2590" customWidth="1"/>
    <col min="7955" max="7955" width="10" style="2590" customWidth="1"/>
    <col min="7956" max="7956" width="26.125" style="2590" customWidth="1"/>
    <col min="7957" max="8192" width="8.875" style="2590"/>
    <col min="8193" max="8193" width="9.5" style="2590" customWidth="1"/>
    <col min="8194" max="8194" width="8.875" style="2590"/>
    <col min="8195" max="8197" width="12.875" style="2590" customWidth="1"/>
    <col min="8198" max="8198" width="47.5" style="2590" customWidth="1"/>
    <col min="8199" max="8199" width="13" style="2590" customWidth="1"/>
    <col min="8200" max="8201" width="8.875" style="2590"/>
    <col min="8202" max="8202" width="5.75" style="2590" customWidth="1"/>
    <col min="8203" max="8203" width="11.75" style="2590" customWidth="1"/>
    <col min="8204" max="8205" width="10.75" style="2590" customWidth="1"/>
    <col min="8206" max="8206" width="10" style="2590" customWidth="1"/>
    <col min="8207" max="8208" width="10.5" style="2590" bestFit="1" customWidth="1"/>
    <col min="8209" max="8209" width="10" style="2590" customWidth="1"/>
    <col min="8210" max="8210" width="10.125" style="2590" customWidth="1"/>
    <col min="8211" max="8211" width="10" style="2590" customWidth="1"/>
    <col min="8212" max="8212" width="26.125" style="2590" customWidth="1"/>
    <col min="8213" max="8448" width="8.875" style="2590"/>
    <col min="8449" max="8449" width="9.5" style="2590" customWidth="1"/>
    <col min="8450" max="8450" width="8.875" style="2590"/>
    <col min="8451" max="8453" width="12.875" style="2590" customWidth="1"/>
    <col min="8454" max="8454" width="47.5" style="2590" customWidth="1"/>
    <col min="8455" max="8455" width="13" style="2590" customWidth="1"/>
    <col min="8456" max="8457" width="8.875" style="2590"/>
    <col min="8458" max="8458" width="5.75" style="2590" customWidth="1"/>
    <col min="8459" max="8459" width="11.75" style="2590" customWidth="1"/>
    <col min="8460" max="8461" width="10.75" style="2590" customWidth="1"/>
    <col min="8462" max="8462" width="10" style="2590" customWidth="1"/>
    <col min="8463" max="8464" width="10.5" style="2590" bestFit="1" customWidth="1"/>
    <col min="8465" max="8465" width="10" style="2590" customWidth="1"/>
    <col min="8466" max="8466" width="10.125" style="2590" customWidth="1"/>
    <col min="8467" max="8467" width="10" style="2590" customWidth="1"/>
    <col min="8468" max="8468" width="26.125" style="2590" customWidth="1"/>
    <col min="8469" max="8704" width="8.875" style="2590"/>
    <col min="8705" max="8705" width="9.5" style="2590" customWidth="1"/>
    <col min="8706" max="8706" width="8.875" style="2590"/>
    <col min="8707" max="8709" width="12.875" style="2590" customWidth="1"/>
    <col min="8710" max="8710" width="47.5" style="2590" customWidth="1"/>
    <col min="8711" max="8711" width="13" style="2590" customWidth="1"/>
    <col min="8712" max="8713" width="8.875" style="2590"/>
    <col min="8714" max="8714" width="5.75" style="2590" customWidth="1"/>
    <col min="8715" max="8715" width="11.75" style="2590" customWidth="1"/>
    <col min="8716" max="8717" width="10.75" style="2590" customWidth="1"/>
    <col min="8718" max="8718" width="10" style="2590" customWidth="1"/>
    <col min="8719" max="8720" width="10.5" style="2590" bestFit="1" customWidth="1"/>
    <col min="8721" max="8721" width="10" style="2590" customWidth="1"/>
    <col min="8722" max="8722" width="10.125" style="2590" customWidth="1"/>
    <col min="8723" max="8723" width="10" style="2590" customWidth="1"/>
    <col min="8724" max="8724" width="26.125" style="2590" customWidth="1"/>
    <col min="8725" max="8960" width="8.875" style="2590"/>
    <col min="8961" max="8961" width="9.5" style="2590" customWidth="1"/>
    <col min="8962" max="8962" width="8.875" style="2590"/>
    <col min="8963" max="8965" width="12.875" style="2590" customWidth="1"/>
    <col min="8966" max="8966" width="47.5" style="2590" customWidth="1"/>
    <col min="8967" max="8967" width="13" style="2590" customWidth="1"/>
    <col min="8968" max="8969" width="8.875" style="2590"/>
    <col min="8970" max="8970" width="5.75" style="2590" customWidth="1"/>
    <col min="8971" max="8971" width="11.75" style="2590" customWidth="1"/>
    <col min="8972" max="8973" width="10.75" style="2590" customWidth="1"/>
    <col min="8974" max="8974" width="10" style="2590" customWidth="1"/>
    <col min="8975" max="8976" width="10.5" style="2590" bestFit="1" customWidth="1"/>
    <col min="8977" max="8977" width="10" style="2590" customWidth="1"/>
    <col min="8978" max="8978" width="10.125" style="2590" customWidth="1"/>
    <col min="8979" max="8979" width="10" style="2590" customWidth="1"/>
    <col min="8980" max="8980" width="26.125" style="2590" customWidth="1"/>
    <col min="8981" max="9216" width="8.875" style="2590"/>
    <col min="9217" max="9217" width="9.5" style="2590" customWidth="1"/>
    <col min="9218" max="9218" width="8.875" style="2590"/>
    <col min="9219" max="9221" width="12.875" style="2590" customWidth="1"/>
    <col min="9222" max="9222" width="47.5" style="2590" customWidth="1"/>
    <col min="9223" max="9223" width="13" style="2590" customWidth="1"/>
    <col min="9224" max="9225" width="8.875" style="2590"/>
    <col min="9226" max="9226" width="5.75" style="2590" customWidth="1"/>
    <col min="9227" max="9227" width="11.75" style="2590" customWidth="1"/>
    <col min="9228" max="9229" width="10.75" style="2590" customWidth="1"/>
    <col min="9230" max="9230" width="10" style="2590" customWidth="1"/>
    <col min="9231" max="9232" width="10.5" style="2590" bestFit="1" customWidth="1"/>
    <col min="9233" max="9233" width="10" style="2590" customWidth="1"/>
    <col min="9234" max="9234" width="10.125" style="2590" customWidth="1"/>
    <col min="9235" max="9235" width="10" style="2590" customWidth="1"/>
    <col min="9236" max="9236" width="26.125" style="2590" customWidth="1"/>
    <col min="9237" max="9472" width="8.875" style="2590"/>
    <col min="9473" max="9473" width="9.5" style="2590" customWidth="1"/>
    <col min="9474" max="9474" width="8.875" style="2590"/>
    <col min="9475" max="9477" width="12.875" style="2590" customWidth="1"/>
    <col min="9478" max="9478" width="47.5" style="2590" customWidth="1"/>
    <col min="9479" max="9479" width="13" style="2590" customWidth="1"/>
    <col min="9480" max="9481" width="8.875" style="2590"/>
    <col min="9482" max="9482" width="5.75" style="2590" customWidth="1"/>
    <col min="9483" max="9483" width="11.75" style="2590" customWidth="1"/>
    <col min="9484" max="9485" width="10.75" style="2590" customWidth="1"/>
    <col min="9486" max="9486" width="10" style="2590" customWidth="1"/>
    <col min="9487" max="9488" width="10.5" style="2590" bestFit="1" customWidth="1"/>
    <col min="9489" max="9489" width="10" style="2590" customWidth="1"/>
    <col min="9490" max="9490" width="10.125" style="2590" customWidth="1"/>
    <col min="9491" max="9491" width="10" style="2590" customWidth="1"/>
    <col min="9492" max="9492" width="26.125" style="2590" customWidth="1"/>
    <col min="9493" max="9728" width="8.875" style="2590"/>
    <col min="9729" max="9729" width="9.5" style="2590" customWidth="1"/>
    <col min="9730" max="9730" width="8.875" style="2590"/>
    <col min="9731" max="9733" width="12.875" style="2590" customWidth="1"/>
    <col min="9734" max="9734" width="47.5" style="2590" customWidth="1"/>
    <col min="9735" max="9735" width="13" style="2590" customWidth="1"/>
    <col min="9736" max="9737" width="8.875" style="2590"/>
    <col min="9738" max="9738" width="5.75" style="2590" customWidth="1"/>
    <col min="9739" max="9739" width="11.75" style="2590" customWidth="1"/>
    <col min="9740" max="9741" width="10.75" style="2590" customWidth="1"/>
    <col min="9742" max="9742" width="10" style="2590" customWidth="1"/>
    <col min="9743" max="9744" width="10.5" style="2590" bestFit="1" customWidth="1"/>
    <col min="9745" max="9745" width="10" style="2590" customWidth="1"/>
    <col min="9746" max="9746" width="10.125" style="2590" customWidth="1"/>
    <col min="9747" max="9747" width="10" style="2590" customWidth="1"/>
    <col min="9748" max="9748" width="26.125" style="2590" customWidth="1"/>
    <col min="9749" max="9984" width="8.875" style="2590"/>
    <col min="9985" max="9985" width="9.5" style="2590" customWidth="1"/>
    <col min="9986" max="9986" width="8.875" style="2590"/>
    <col min="9987" max="9989" width="12.875" style="2590" customWidth="1"/>
    <col min="9990" max="9990" width="47.5" style="2590" customWidth="1"/>
    <col min="9991" max="9991" width="13" style="2590" customWidth="1"/>
    <col min="9992" max="9993" width="8.875" style="2590"/>
    <col min="9994" max="9994" width="5.75" style="2590" customWidth="1"/>
    <col min="9995" max="9995" width="11.75" style="2590" customWidth="1"/>
    <col min="9996" max="9997" width="10.75" style="2590" customWidth="1"/>
    <col min="9998" max="9998" width="10" style="2590" customWidth="1"/>
    <col min="9999" max="10000" width="10.5" style="2590" bestFit="1" customWidth="1"/>
    <col min="10001" max="10001" width="10" style="2590" customWidth="1"/>
    <col min="10002" max="10002" width="10.125" style="2590" customWidth="1"/>
    <col min="10003" max="10003" width="10" style="2590" customWidth="1"/>
    <col min="10004" max="10004" width="26.125" style="2590" customWidth="1"/>
    <col min="10005" max="10240" width="8.875" style="2590"/>
    <col min="10241" max="10241" width="9.5" style="2590" customWidth="1"/>
    <col min="10242" max="10242" width="8.875" style="2590"/>
    <col min="10243" max="10245" width="12.875" style="2590" customWidth="1"/>
    <col min="10246" max="10246" width="47.5" style="2590" customWidth="1"/>
    <col min="10247" max="10247" width="13" style="2590" customWidth="1"/>
    <col min="10248" max="10249" width="8.875" style="2590"/>
    <col min="10250" max="10250" width="5.75" style="2590" customWidth="1"/>
    <col min="10251" max="10251" width="11.75" style="2590" customWidth="1"/>
    <col min="10252" max="10253" width="10.75" style="2590" customWidth="1"/>
    <col min="10254" max="10254" width="10" style="2590" customWidth="1"/>
    <col min="10255" max="10256" width="10.5" style="2590" bestFit="1" customWidth="1"/>
    <col min="10257" max="10257" width="10" style="2590" customWidth="1"/>
    <col min="10258" max="10258" width="10.125" style="2590" customWidth="1"/>
    <col min="10259" max="10259" width="10" style="2590" customWidth="1"/>
    <col min="10260" max="10260" width="26.125" style="2590" customWidth="1"/>
    <col min="10261" max="10496" width="8.875" style="2590"/>
    <col min="10497" max="10497" width="9.5" style="2590" customWidth="1"/>
    <col min="10498" max="10498" width="8.875" style="2590"/>
    <col min="10499" max="10501" width="12.875" style="2590" customWidth="1"/>
    <col min="10502" max="10502" width="47.5" style="2590" customWidth="1"/>
    <col min="10503" max="10503" width="13" style="2590" customWidth="1"/>
    <col min="10504" max="10505" width="8.875" style="2590"/>
    <col min="10506" max="10506" width="5.75" style="2590" customWidth="1"/>
    <col min="10507" max="10507" width="11.75" style="2590" customWidth="1"/>
    <col min="10508" max="10509" width="10.75" style="2590" customWidth="1"/>
    <col min="10510" max="10510" width="10" style="2590" customWidth="1"/>
    <col min="10511" max="10512" width="10.5" style="2590" bestFit="1" customWidth="1"/>
    <col min="10513" max="10513" width="10" style="2590" customWidth="1"/>
    <col min="10514" max="10514" width="10.125" style="2590" customWidth="1"/>
    <col min="10515" max="10515" width="10" style="2590" customWidth="1"/>
    <col min="10516" max="10516" width="26.125" style="2590" customWidth="1"/>
    <col min="10517" max="10752" width="8.875" style="2590"/>
    <col min="10753" max="10753" width="9.5" style="2590" customWidth="1"/>
    <col min="10754" max="10754" width="8.875" style="2590"/>
    <col min="10755" max="10757" width="12.875" style="2590" customWidth="1"/>
    <col min="10758" max="10758" width="47.5" style="2590" customWidth="1"/>
    <col min="10759" max="10759" width="13" style="2590" customWidth="1"/>
    <col min="10760" max="10761" width="8.875" style="2590"/>
    <col min="10762" max="10762" width="5.75" style="2590" customWidth="1"/>
    <col min="10763" max="10763" width="11.75" style="2590" customWidth="1"/>
    <col min="10764" max="10765" width="10.75" style="2590" customWidth="1"/>
    <col min="10766" max="10766" width="10" style="2590" customWidth="1"/>
    <col min="10767" max="10768" width="10.5" style="2590" bestFit="1" customWidth="1"/>
    <col min="10769" max="10769" width="10" style="2590" customWidth="1"/>
    <col min="10770" max="10770" width="10.125" style="2590" customWidth="1"/>
    <col min="10771" max="10771" width="10" style="2590" customWidth="1"/>
    <col min="10772" max="10772" width="26.125" style="2590" customWidth="1"/>
    <col min="10773" max="11008" width="8.875" style="2590"/>
    <col min="11009" max="11009" width="9.5" style="2590" customWidth="1"/>
    <col min="11010" max="11010" width="8.875" style="2590"/>
    <col min="11011" max="11013" width="12.875" style="2590" customWidth="1"/>
    <col min="11014" max="11014" width="47.5" style="2590" customWidth="1"/>
    <col min="11015" max="11015" width="13" style="2590" customWidth="1"/>
    <col min="11016" max="11017" width="8.875" style="2590"/>
    <col min="11018" max="11018" width="5.75" style="2590" customWidth="1"/>
    <col min="11019" max="11019" width="11.75" style="2590" customWidth="1"/>
    <col min="11020" max="11021" width="10.75" style="2590" customWidth="1"/>
    <col min="11022" max="11022" width="10" style="2590" customWidth="1"/>
    <col min="11023" max="11024" width="10.5" style="2590" bestFit="1" customWidth="1"/>
    <col min="11025" max="11025" width="10" style="2590" customWidth="1"/>
    <col min="11026" max="11026" width="10.125" style="2590" customWidth="1"/>
    <col min="11027" max="11027" width="10" style="2590" customWidth="1"/>
    <col min="11028" max="11028" width="26.125" style="2590" customWidth="1"/>
    <col min="11029" max="11264" width="8.875" style="2590"/>
    <col min="11265" max="11265" width="9.5" style="2590" customWidth="1"/>
    <col min="11266" max="11266" width="8.875" style="2590"/>
    <col min="11267" max="11269" width="12.875" style="2590" customWidth="1"/>
    <col min="11270" max="11270" width="47.5" style="2590" customWidth="1"/>
    <col min="11271" max="11271" width="13" style="2590" customWidth="1"/>
    <col min="11272" max="11273" width="8.875" style="2590"/>
    <col min="11274" max="11274" width="5.75" style="2590" customWidth="1"/>
    <col min="11275" max="11275" width="11.75" style="2590" customWidth="1"/>
    <col min="11276" max="11277" width="10.75" style="2590" customWidth="1"/>
    <col min="11278" max="11278" width="10" style="2590" customWidth="1"/>
    <col min="11279" max="11280" width="10.5" style="2590" bestFit="1" customWidth="1"/>
    <col min="11281" max="11281" width="10" style="2590" customWidth="1"/>
    <col min="11282" max="11282" width="10.125" style="2590" customWidth="1"/>
    <col min="11283" max="11283" width="10" style="2590" customWidth="1"/>
    <col min="11284" max="11284" width="26.125" style="2590" customWidth="1"/>
    <col min="11285" max="11520" width="8.875" style="2590"/>
    <col min="11521" max="11521" width="9.5" style="2590" customWidth="1"/>
    <col min="11522" max="11522" width="8.875" style="2590"/>
    <col min="11523" max="11525" width="12.875" style="2590" customWidth="1"/>
    <col min="11526" max="11526" width="47.5" style="2590" customWidth="1"/>
    <col min="11527" max="11527" width="13" style="2590" customWidth="1"/>
    <col min="11528" max="11529" width="8.875" style="2590"/>
    <col min="11530" max="11530" width="5.75" style="2590" customWidth="1"/>
    <col min="11531" max="11531" width="11.75" style="2590" customWidth="1"/>
    <col min="11532" max="11533" width="10.75" style="2590" customWidth="1"/>
    <col min="11534" max="11534" width="10" style="2590" customWidth="1"/>
    <col min="11535" max="11536" width="10.5" style="2590" bestFit="1" customWidth="1"/>
    <col min="11537" max="11537" width="10" style="2590" customWidth="1"/>
    <col min="11538" max="11538" width="10.125" style="2590" customWidth="1"/>
    <col min="11539" max="11539" width="10" style="2590" customWidth="1"/>
    <col min="11540" max="11540" width="26.125" style="2590" customWidth="1"/>
    <col min="11541" max="11776" width="8.875" style="2590"/>
    <col min="11777" max="11777" width="9.5" style="2590" customWidth="1"/>
    <col min="11778" max="11778" width="8.875" style="2590"/>
    <col min="11779" max="11781" width="12.875" style="2590" customWidth="1"/>
    <col min="11782" max="11782" width="47.5" style="2590" customWidth="1"/>
    <col min="11783" max="11783" width="13" style="2590" customWidth="1"/>
    <col min="11784" max="11785" width="8.875" style="2590"/>
    <col min="11786" max="11786" width="5.75" style="2590" customWidth="1"/>
    <col min="11787" max="11787" width="11.75" style="2590" customWidth="1"/>
    <col min="11788" max="11789" width="10.75" style="2590" customWidth="1"/>
    <col min="11790" max="11790" width="10" style="2590" customWidth="1"/>
    <col min="11791" max="11792" width="10.5" style="2590" bestFit="1" customWidth="1"/>
    <col min="11793" max="11793" width="10" style="2590" customWidth="1"/>
    <col min="11794" max="11794" width="10.125" style="2590" customWidth="1"/>
    <col min="11795" max="11795" width="10" style="2590" customWidth="1"/>
    <col min="11796" max="11796" width="26.125" style="2590" customWidth="1"/>
    <col min="11797" max="12032" width="8.875" style="2590"/>
    <col min="12033" max="12033" width="9.5" style="2590" customWidth="1"/>
    <col min="12034" max="12034" width="8.875" style="2590"/>
    <col min="12035" max="12037" width="12.875" style="2590" customWidth="1"/>
    <col min="12038" max="12038" width="47.5" style="2590" customWidth="1"/>
    <col min="12039" max="12039" width="13" style="2590" customWidth="1"/>
    <col min="12040" max="12041" width="8.875" style="2590"/>
    <col min="12042" max="12042" width="5.75" style="2590" customWidth="1"/>
    <col min="12043" max="12043" width="11.75" style="2590" customWidth="1"/>
    <col min="12044" max="12045" width="10.75" style="2590" customWidth="1"/>
    <col min="12046" max="12046" width="10" style="2590" customWidth="1"/>
    <col min="12047" max="12048" width="10.5" style="2590" bestFit="1" customWidth="1"/>
    <col min="12049" max="12049" width="10" style="2590" customWidth="1"/>
    <col min="12050" max="12050" width="10.125" style="2590" customWidth="1"/>
    <col min="12051" max="12051" width="10" style="2590" customWidth="1"/>
    <col min="12052" max="12052" width="26.125" style="2590" customWidth="1"/>
    <col min="12053" max="12288" width="8.875" style="2590"/>
    <col min="12289" max="12289" width="9.5" style="2590" customWidth="1"/>
    <col min="12290" max="12290" width="8.875" style="2590"/>
    <col min="12291" max="12293" width="12.875" style="2590" customWidth="1"/>
    <col min="12294" max="12294" width="47.5" style="2590" customWidth="1"/>
    <col min="12295" max="12295" width="13" style="2590" customWidth="1"/>
    <col min="12296" max="12297" width="8.875" style="2590"/>
    <col min="12298" max="12298" width="5.75" style="2590" customWidth="1"/>
    <col min="12299" max="12299" width="11.75" style="2590" customWidth="1"/>
    <col min="12300" max="12301" width="10.75" style="2590" customWidth="1"/>
    <col min="12302" max="12302" width="10" style="2590" customWidth="1"/>
    <col min="12303" max="12304" width="10.5" style="2590" bestFit="1" customWidth="1"/>
    <col min="12305" max="12305" width="10" style="2590" customWidth="1"/>
    <col min="12306" max="12306" width="10.125" style="2590" customWidth="1"/>
    <col min="12307" max="12307" width="10" style="2590" customWidth="1"/>
    <col min="12308" max="12308" width="26.125" style="2590" customWidth="1"/>
    <col min="12309" max="12544" width="8.875" style="2590"/>
    <col min="12545" max="12545" width="9.5" style="2590" customWidth="1"/>
    <col min="12546" max="12546" width="8.875" style="2590"/>
    <col min="12547" max="12549" width="12.875" style="2590" customWidth="1"/>
    <col min="12550" max="12550" width="47.5" style="2590" customWidth="1"/>
    <col min="12551" max="12551" width="13" style="2590" customWidth="1"/>
    <col min="12552" max="12553" width="8.875" style="2590"/>
    <col min="12554" max="12554" width="5.75" style="2590" customWidth="1"/>
    <col min="12555" max="12555" width="11.75" style="2590" customWidth="1"/>
    <col min="12556" max="12557" width="10.75" style="2590" customWidth="1"/>
    <col min="12558" max="12558" width="10" style="2590" customWidth="1"/>
    <col min="12559" max="12560" width="10.5" style="2590" bestFit="1" customWidth="1"/>
    <col min="12561" max="12561" width="10" style="2590" customWidth="1"/>
    <col min="12562" max="12562" width="10.125" style="2590" customWidth="1"/>
    <col min="12563" max="12563" width="10" style="2590" customWidth="1"/>
    <col min="12564" max="12564" width="26.125" style="2590" customWidth="1"/>
    <col min="12565" max="12800" width="8.875" style="2590"/>
    <col min="12801" max="12801" width="9.5" style="2590" customWidth="1"/>
    <col min="12802" max="12802" width="8.875" style="2590"/>
    <col min="12803" max="12805" width="12.875" style="2590" customWidth="1"/>
    <col min="12806" max="12806" width="47.5" style="2590" customWidth="1"/>
    <col min="12807" max="12807" width="13" style="2590" customWidth="1"/>
    <col min="12808" max="12809" width="8.875" style="2590"/>
    <col min="12810" max="12810" width="5.75" style="2590" customWidth="1"/>
    <col min="12811" max="12811" width="11.75" style="2590" customWidth="1"/>
    <col min="12812" max="12813" width="10.75" style="2590" customWidth="1"/>
    <col min="12814" max="12814" width="10" style="2590" customWidth="1"/>
    <col min="12815" max="12816" width="10.5" style="2590" bestFit="1" customWidth="1"/>
    <col min="12817" max="12817" width="10" style="2590" customWidth="1"/>
    <col min="12818" max="12818" width="10.125" style="2590" customWidth="1"/>
    <col min="12819" max="12819" width="10" style="2590" customWidth="1"/>
    <col min="12820" max="12820" width="26.125" style="2590" customWidth="1"/>
    <col min="12821" max="13056" width="8.875" style="2590"/>
    <col min="13057" max="13057" width="9.5" style="2590" customWidth="1"/>
    <col min="13058" max="13058" width="8.875" style="2590"/>
    <col min="13059" max="13061" width="12.875" style="2590" customWidth="1"/>
    <col min="13062" max="13062" width="47.5" style="2590" customWidth="1"/>
    <col min="13063" max="13063" width="13" style="2590" customWidth="1"/>
    <col min="13064" max="13065" width="8.875" style="2590"/>
    <col min="13066" max="13066" width="5.75" style="2590" customWidth="1"/>
    <col min="13067" max="13067" width="11.75" style="2590" customWidth="1"/>
    <col min="13068" max="13069" width="10.75" style="2590" customWidth="1"/>
    <col min="13070" max="13070" width="10" style="2590" customWidth="1"/>
    <col min="13071" max="13072" width="10.5" style="2590" bestFit="1" customWidth="1"/>
    <col min="13073" max="13073" width="10" style="2590" customWidth="1"/>
    <col min="13074" max="13074" width="10.125" style="2590" customWidth="1"/>
    <col min="13075" max="13075" width="10" style="2590" customWidth="1"/>
    <col min="13076" max="13076" width="26.125" style="2590" customWidth="1"/>
    <col min="13077" max="13312" width="8.875" style="2590"/>
    <col min="13313" max="13313" width="9.5" style="2590" customWidth="1"/>
    <col min="13314" max="13314" width="8.875" style="2590"/>
    <col min="13315" max="13317" width="12.875" style="2590" customWidth="1"/>
    <col min="13318" max="13318" width="47.5" style="2590" customWidth="1"/>
    <col min="13319" max="13319" width="13" style="2590" customWidth="1"/>
    <col min="13320" max="13321" width="8.875" style="2590"/>
    <col min="13322" max="13322" width="5.75" style="2590" customWidth="1"/>
    <col min="13323" max="13323" width="11.75" style="2590" customWidth="1"/>
    <col min="13324" max="13325" width="10.75" style="2590" customWidth="1"/>
    <col min="13326" max="13326" width="10" style="2590" customWidth="1"/>
    <col min="13327" max="13328" width="10.5" style="2590" bestFit="1" customWidth="1"/>
    <col min="13329" max="13329" width="10" style="2590" customWidth="1"/>
    <col min="13330" max="13330" width="10.125" style="2590" customWidth="1"/>
    <col min="13331" max="13331" width="10" style="2590" customWidth="1"/>
    <col min="13332" max="13332" width="26.125" style="2590" customWidth="1"/>
    <col min="13333" max="13568" width="8.875" style="2590"/>
    <col min="13569" max="13569" width="9.5" style="2590" customWidth="1"/>
    <col min="13570" max="13570" width="8.875" style="2590"/>
    <col min="13571" max="13573" width="12.875" style="2590" customWidth="1"/>
    <col min="13574" max="13574" width="47.5" style="2590" customWidth="1"/>
    <col min="13575" max="13575" width="13" style="2590" customWidth="1"/>
    <col min="13576" max="13577" width="8.875" style="2590"/>
    <col min="13578" max="13578" width="5.75" style="2590" customWidth="1"/>
    <col min="13579" max="13579" width="11.75" style="2590" customWidth="1"/>
    <col min="13580" max="13581" width="10.75" style="2590" customWidth="1"/>
    <col min="13582" max="13582" width="10" style="2590" customWidth="1"/>
    <col min="13583" max="13584" width="10.5" style="2590" bestFit="1" customWidth="1"/>
    <col min="13585" max="13585" width="10" style="2590" customWidth="1"/>
    <col min="13586" max="13586" width="10.125" style="2590" customWidth="1"/>
    <col min="13587" max="13587" width="10" style="2590" customWidth="1"/>
    <col min="13588" max="13588" width="26.125" style="2590" customWidth="1"/>
    <col min="13589" max="13824" width="8.875" style="2590"/>
    <col min="13825" max="13825" width="9.5" style="2590" customWidth="1"/>
    <col min="13826" max="13826" width="8.875" style="2590"/>
    <col min="13827" max="13829" width="12.875" style="2590" customWidth="1"/>
    <col min="13830" max="13830" width="47.5" style="2590" customWidth="1"/>
    <col min="13831" max="13831" width="13" style="2590" customWidth="1"/>
    <col min="13832" max="13833" width="8.875" style="2590"/>
    <col min="13834" max="13834" width="5.75" style="2590" customWidth="1"/>
    <col min="13835" max="13835" width="11.75" style="2590" customWidth="1"/>
    <col min="13836" max="13837" width="10.75" style="2590" customWidth="1"/>
    <col min="13838" max="13838" width="10" style="2590" customWidth="1"/>
    <col min="13839" max="13840" width="10.5" style="2590" bestFit="1" customWidth="1"/>
    <col min="13841" max="13841" width="10" style="2590" customWidth="1"/>
    <col min="13842" max="13842" width="10.125" style="2590" customWidth="1"/>
    <col min="13843" max="13843" width="10" style="2590" customWidth="1"/>
    <col min="13844" max="13844" width="26.125" style="2590" customWidth="1"/>
    <col min="13845" max="14080" width="8.875" style="2590"/>
    <col min="14081" max="14081" width="9.5" style="2590" customWidth="1"/>
    <col min="14082" max="14082" width="8.875" style="2590"/>
    <col min="14083" max="14085" width="12.875" style="2590" customWidth="1"/>
    <col min="14086" max="14086" width="47.5" style="2590" customWidth="1"/>
    <col min="14087" max="14087" width="13" style="2590" customWidth="1"/>
    <col min="14088" max="14089" width="8.875" style="2590"/>
    <col min="14090" max="14090" width="5.75" style="2590" customWidth="1"/>
    <col min="14091" max="14091" width="11.75" style="2590" customWidth="1"/>
    <col min="14092" max="14093" width="10.75" style="2590" customWidth="1"/>
    <col min="14094" max="14094" width="10" style="2590" customWidth="1"/>
    <col min="14095" max="14096" width="10.5" style="2590" bestFit="1" customWidth="1"/>
    <col min="14097" max="14097" width="10" style="2590" customWidth="1"/>
    <col min="14098" max="14098" width="10.125" style="2590" customWidth="1"/>
    <col min="14099" max="14099" width="10" style="2590" customWidth="1"/>
    <col min="14100" max="14100" width="26.125" style="2590" customWidth="1"/>
    <col min="14101" max="14336" width="8.875" style="2590"/>
    <col min="14337" max="14337" width="9.5" style="2590" customWidth="1"/>
    <col min="14338" max="14338" width="8.875" style="2590"/>
    <col min="14339" max="14341" width="12.875" style="2590" customWidth="1"/>
    <col min="14342" max="14342" width="47.5" style="2590" customWidth="1"/>
    <col min="14343" max="14343" width="13" style="2590" customWidth="1"/>
    <col min="14344" max="14345" width="8.875" style="2590"/>
    <col min="14346" max="14346" width="5.75" style="2590" customWidth="1"/>
    <col min="14347" max="14347" width="11.75" style="2590" customWidth="1"/>
    <col min="14348" max="14349" width="10.75" style="2590" customWidth="1"/>
    <col min="14350" max="14350" width="10" style="2590" customWidth="1"/>
    <col min="14351" max="14352" width="10.5" style="2590" bestFit="1" customWidth="1"/>
    <col min="14353" max="14353" width="10" style="2590" customWidth="1"/>
    <col min="14354" max="14354" width="10.125" style="2590" customWidth="1"/>
    <col min="14355" max="14355" width="10" style="2590" customWidth="1"/>
    <col min="14356" max="14356" width="26.125" style="2590" customWidth="1"/>
    <col min="14357" max="14592" width="8.875" style="2590"/>
    <col min="14593" max="14593" width="9.5" style="2590" customWidth="1"/>
    <col min="14594" max="14594" width="8.875" style="2590"/>
    <col min="14595" max="14597" width="12.875" style="2590" customWidth="1"/>
    <col min="14598" max="14598" width="47.5" style="2590" customWidth="1"/>
    <col min="14599" max="14599" width="13" style="2590" customWidth="1"/>
    <col min="14600" max="14601" width="8.875" style="2590"/>
    <col min="14602" max="14602" width="5.75" style="2590" customWidth="1"/>
    <col min="14603" max="14603" width="11.75" style="2590" customWidth="1"/>
    <col min="14604" max="14605" width="10.75" style="2590" customWidth="1"/>
    <col min="14606" max="14606" width="10" style="2590" customWidth="1"/>
    <col min="14607" max="14608" width="10.5" style="2590" bestFit="1" customWidth="1"/>
    <col min="14609" max="14609" width="10" style="2590" customWidth="1"/>
    <col min="14610" max="14610" width="10.125" style="2590" customWidth="1"/>
    <col min="14611" max="14611" width="10" style="2590" customWidth="1"/>
    <col min="14612" max="14612" width="26.125" style="2590" customWidth="1"/>
    <col min="14613" max="14848" width="8.875" style="2590"/>
    <col min="14849" max="14849" width="9.5" style="2590" customWidth="1"/>
    <col min="14850" max="14850" width="8.875" style="2590"/>
    <col min="14851" max="14853" width="12.875" style="2590" customWidth="1"/>
    <col min="14854" max="14854" width="47.5" style="2590" customWidth="1"/>
    <col min="14855" max="14855" width="13" style="2590" customWidth="1"/>
    <col min="14856" max="14857" width="8.875" style="2590"/>
    <col min="14858" max="14858" width="5.75" style="2590" customWidth="1"/>
    <col min="14859" max="14859" width="11.75" style="2590" customWidth="1"/>
    <col min="14860" max="14861" width="10.75" style="2590" customWidth="1"/>
    <col min="14862" max="14862" width="10" style="2590" customWidth="1"/>
    <col min="14863" max="14864" width="10.5" style="2590" bestFit="1" customWidth="1"/>
    <col min="14865" max="14865" width="10" style="2590" customWidth="1"/>
    <col min="14866" max="14866" width="10.125" style="2590" customWidth="1"/>
    <col min="14867" max="14867" width="10" style="2590" customWidth="1"/>
    <col min="14868" max="14868" width="26.125" style="2590" customWidth="1"/>
    <col min="14869" max="15104" width="8.875" style="2590"/>
    <col min="15105" max="15105" width="9.5" style="2590" customWidth="1"/>
    <col min="15106" max="15106" width="8.875" style="2590"/>
    <col min="15107" max="15109" width="12.875" style="2590" customWidth="1"/>
    <col min="15110" max="15110" width="47.5" style="2590" customWidth="1"/>
    <col min="15111" max="15111" width="13" style="2590" customWidth="1"/>
    <col min="15112" max="15113" width="8.875" style="2590"/>
    <col min="15114" max="15114" width="5.75" style="2590" customWidth="1"/>
    <col min="15115" max="15115" width="11.75" style="2590" customWidth="1"/>
    <col min="15116" max="15117" width="10.75" style="2590" customWidth="1"/>
    <col min="15118" max="15118" width="10" style="2590" customWidth="1"/>
    <col min="15119" max="15120" width="10.5" style="2590" bestFit="1" customWidth="1"/>
    <col min="15121" max="15121" width="10" style="2590" customWidth="1"/>
    <col min="15122" max="15122" width="10.125" style="2590" customWidth="1"/>
    <col min="15123" max="15123" width="10" style="2590" customWidth="1"/>
    <col min="15124" max="15124" width="26.125" style="2590" customWidth="1"/>
    <col min="15125" max="15360" width="8.875" style="2590"/>
    <col min="15361" max="15361" width="9.5" style="2590" customWidth="1"/>
    <col min="15362" max="15362" width="8.875" style="2590"/>
    <col min="15363" max="15365" width="12.875" style="2590" customWidth="1"/>
    <col min="15366" max="15366" width="47.5" style="2590" customWidth="1"/>
    <col min="15367" max="15367" width="13" style="2590" customWidth="1"/>
    <col min="15368" max="15369" width="8.875" style="2590"/>
    <col min="15370" max="15370" width="5.75" style="2590" customWidth="1"/>
    <col min="15371" max="15371" width="11.75" style="2590" customWidth="1"/>
    <col min="15372" max="15373" width="10.75" style="2590" customWidth="1"/>
    <col min="15374" max="15374" width="10" style="2590" customWidth="1"/>
    <col min="15375" max="15376" width="10.5" style="2590" bestFit="1" customWidth="1"/>
    <col min="15377" max="15377" width="10" style="2590" customWidth="1"/>
    <col min="15378" max="15378" width="10.125" style="2590" customWidth="1"/>
    <col min="15379" max="15379" width="10" style="2590" customWidth="1"/>
    <col min="15380" max="15380" width="26.125" style="2590" customWidth="1"/>
    <col min="15381" max="15616" width="8.875" style="2590"/>
    <col min="15617" max="15617" width="9.5" style="2590" customWidth="1"/>
    <col min="15618" max="15618" width="8.875" style="2590"/>
    <col min="15619" max="15621" width="12.875" style="2590" customWidth="1"/>
    <col min="15622" max="15622" width="47.5" style="2590" customWidth="1"/>
    <col min="15623" max="15623" width="13" style="2590" customWidth="1"/>
    <col min="15624" max="15625" width="8.875" style="2590"/>
    <col min="15626" max="15626" width="5.75" style="2590" customWidth="1"/>
    <col min="15627" max="15627" width="11.75" style="2590" customWidth="1"/>
    <col min="15628" max="15629" width="10.75" style="2590" customWidth="1"/>
    <col min="15630" max="15630" width="10" style="2590" customWidth="1"/>
    <col min="15631" max="15632" width="10.5" style="2590" bestFit="1" customWidth="1"/>
    <col min="15633" max="15633" width="10" style="2590" customWidth="1"/>
    <col min="15634" max="15634" width="10.125" style="2590" customWidth="1"/>
    <col min="15635" max="15635" width="10" style="2590" customWidth="1"/>
    <col min="15636" max="15636" width="26.125" style="2590" customWidth="1"/>
    <col min="15637" max="15872" width="8.875" style="2590"/>
    <col min="15873" max="15873" width="9.5" style="2590" customWidth="1"/>
    <col min="15874" max="15874" width="8.875" style="2590"/>
    <col min="15875" max="15877" width="12.875" style="2590" customWidth="1"/>
    <col min="15878" max="15878" width="47.5" style="2590" customWidth="1"/>
    <col min="15879" max="15879" width="13" style="2590" customWidth="1"/>
    <col min="15880" max="15881" width="8.875" style="2590"/>
    <col min="15882" max="15882" width="5.75" style="2590" customWidth="1"/>
    <col min="15883" max="15883" width="11.75" style="2590" customWidth="1"/>
    <col min="15884" max="15885" width="10.75" style="2590" customWidth="1"/>
    <col min="15886" max="15886" width="10" style="2590" customWidth="1"/>
    <col min="15887" max="15888" width="10.5" style="2590" bestFit="1" customWidth="1"/>
    <col min="15889" max="15889" width="10" style="2590" customWidth="1"/>
    <col min="15890" max="15890" width="10.125" style="2590" customWidth="1"/>
    <col min="15891" max="15891" width="10" style="2590" customWidth="1"/>
    <col min="15892" max="15892" width="26.125" style="2590" customWidth="1"/>
    <col min="15893" max="16128" width="8.875" style="2590"/>
    <col min="16129" max="16129" width="9.5" style="2590" customWidth="1"/>
    <col min="16130" max="16130" width="8.875" style="2590"/>
    <col min="16131" max="16133" width="12.875" style="2590" customWidth="1"/>
    <col min="16134" max="16134" width="47.5" style="2590" customWidth="1"/>
    <col min="16135" max="16135" width="13" style="2590" customWidth="1"/>
    <col min="16136" max="16137" width="8.875" style="2590"/>
    <col min="16138" max="16138" width="5.75" style="2590" customWidth="1"/>
    <col min="16139" max="16139" width="11.75" style="2590" customWidth="1"/>
    <col min="16140" max="16141" width="10.75" style="2590" customWidth="1"/>
    <col min="16142" max="16142" width="10" style="2590" customWidth="1"/>
    <col min="16143" max="16144" width="10.5" style="2590" bestFit="1" customWidth="1"/>
    <col min="16145" max="16145" width="10" style="2590" customWidth="1"/>
    <col min="16146" max="16146" width="10.125" style="2590" customWidth="1"/>
    <col min="16147" max="16147" width="10" style="2590" customWidth="1"/>
    <col min="16148" max="16148" width="26.125" style="2590" customWidth="1"/>
    <col min="16149" max="16384" width="8.875" style="2590"/>
  </cols>
  <sheetData>
    <row r="1" spans="1:22" ht="21" customHeight="1">
      <c r="A1" s="2579" t="s">
        <v>2422</v>
      </c>
      <c r="B1" s="2580"/>
      <c r="C1" s="2592"/>
      <c r="D1" s="2592"/>
      <c r="E1" s="2581"/>
      <c r="F1" s="2582"/>
      <c r="G1" s="2583"/>
      <c r="J1" s="2586" t="s">
        <v>2301</v>
      </c>
      <c r="K1" s="2587"/>
      <c r="L1" s="2587"/>
      <c r="M1" s="2587"/>
      <c r="N1" s="2587"/>
      <c r="O1" s="2587"/>
      <c r="P1" s="2587"/>
      <c r="Q1" s="2587"/>
      <c r="R1" s="2588"/>
      <c r="S1" s="2589"/>
      <c r="T1" s="2589"/>
      <c r="U1" s="2589"/>
    </row>
    <row r="2" spans="1:22" s="2601" customFormat="1" ht="13.15" customHeight="1">
      <c r="A2" s="1292" t="s">
        <v>2302</v>
      </c>
      <c r="B2" s="2591" t="e">
        <f>IF(D2="——",C40,C40+E2)</f>
        <v>#DIV/0!</v>
      </c>
      <c r="C2" s="2592" t="s">
        <v>2303</v>
      </c>
      <c r="D2" s="3135" t="s">
        <v>3349</v>
      </c>
      <c r="E2" s="3136"/>
      <c r="F2" s="2594"/>
      <c r="G2" s="2595"/>
      <c r="H2" s="2596"/>
      <c r="I2" s="2597"/>
      <c r="J2" s="3453" t="s">
        <v>2304</v>
      </c>
      <c r="K2" s="3454"/>
      <c r="L2" s="2598" t="s">
        <v>2305</v>
      </c>
      <c r="M2" s="2598" t="s">
        <v>2306</v>
      </c>
      <c r="N2" s="2598" t="s">
        <v>2307</v>
      </c>
      <c r="O2" s="2598" t="s">
        <v>2308</v>
      </c>
      <c r="P2" s="2598" t="s">
        <v>2309</v>
      </c>
      <c r="Q2" s="2599" t="s">
        <v>2310</v>
      </c>
      <c r="R2" s="2600" t="s">
        <v>2311</v>
      </c>
      <c r="S2" s="2589"/>
      <c r="T2" s="2589"/>
      <c r="U2" s="2589"/>
      <c r="V2" s="2597"/>
    </row>
    <row r="3" spans="1:22" s="2601" customFormat="1" ht="13.15" customHeight="1">
      <c r="A3" s="2602" t="s">
        <v>2312</v>
      </c>
      <c r="B3" s="2603" t="e">
        <f>ROUND(B2*10000/B4,0)</f>
        <v>#DIV/0!</v>
      </c>
      <c r="C3" s="2592" t="s">
        <v>2313</v>
      </c>
      <c r="D3" s="2592"/>
      <c r="E3" s="2593"/>
      <c r="F3" s="2594"/>
      <c r="G3" s="2595"/>
      <c r="H3" s="2596"/>
      <c r="I3" s="2597"/>
      <c r="J3" s="3455" t="s">
        <v>2314</v>
      </c>
      <c r="K3" s="3456"/>
      <c r="L3" s="2604"/>
      <c r="M3" s="2604"/>
      <c r="N3" s="2604"/>
      <c r="O3" s="2604"/>
      <c r="P3" s="2604"/>
      <c r="Q3" s="2605"/>
      <c r="R3" s="2606">
        <f>SUM(L3:Q3)</f>
        <v>0</v>
      </c>
      <c r="S3" s="2589"/>
      <c r="T3" s="2589"/>
      <c r="U3" s="2589"/>
      <c r="V3" s="2597"/>
    </row>
    <row r="4" spans="1:22" s="2601" customFormat="1" ht="13.15" customHeight="1">
      <c r="A4" s="2607" t="s">
        <v>2315</v>
      </c>
      <c r="B4" s="2608"/>
      <c r="C4" s="2592"/>
      <c r="D4" s="2592"/>
      <c r="E4" s="2593"/>
      <c r="F4" s="2594"/>
      <c r="G4" s="2595"/>
      <c r="H4" s="2596"/>
      <c r="I4" s="2597"/>
      <c r="J4" s="3455" t="s">
        <v>2316</v>
      </c>
      <c r="K4" s="3456"/>
      <c r="L4" s="2609"/>
      <c r="M4" s="2609"/>
      <c r="N4" s="2609"/>
      <c r="O4" s="2609"/>
      <c r="P4" s="2609"/>
      <c r="Q4" s="2610"/>
      <c r="R4" s="2611">
        <f>SUM(L4:Q4)</f>
        <v>0</v>
      </c>
      <c r="S4" s="2589"/>
      <c r="T4" s="2589"/>
      <c r="U4" s="2589"/>
      <c r="V4" s="2597"/>
    </row>
    <row r="5" spans="1:22" s="2601" customFormat="1" ht="13.15" customHeight="1" thickBot="1">
      <c r="A5" s="2612" t="s">
        <v>2317</v>
      </c>
      <c r="B5" s="2613"/>
      <c r="C5" s="2592"/>
      <c r="D5" s="2614"/>
      <c r="E5" s="2594"/>
      <c r="F5" s="2594"/>
      <c r="G5" s="2595"/>
      <c r="H5" s="2596"/>
      <c r="I5" s="2597"/>
      <c r="J5" s="2615" t="s">
        <v>2318</v>
      </c>
      <c r="K5" s="2616"/>
      <c r="L5" s="2616"/>
      <c r="M5" s="2617"/>
      <c r="N5" s="2617"/>
      <c r="O5" s="2617"/>
      <c r="P5" s="2617"/>
      <c r="Q5" s="2617"/>
      <c r="R5" s="2600">
        <f>SUM(R14,R19,R24,R25,R27,R28)</f>
        <v>0</v>
      </c>
      <c r="S5" s="2589"/>
      <c r="T5" s="2589" t="s">
        <v>2319</v>
      </c>
      <c r="U5" s="2589" t="e">
        <f>ROUND(R5*10000/365/R3,1)</f>
        <v>#DIV/0!</v>
      </c>
      <c r="V5" s="2597"/>
    </row>
    <row r="6" spans="1:22" s="2601" customFormat="1" ht="13.15" customHeight="1" thickBot="1">
      <c r="A6" s="3461" t="s">
        <v>2320</v>
      </c>
      <c r="B6" s="3462"/>
      <c r="C6" s="3463"/>
      <c r="D6" s="2618"/>
      <c r="E6" s="2619"/>
      <c r="F6" s="2620"/>
      <c r="G6" s="2621"/>
      <c r="H6" s="2596"/>
      <c r="I6" s="2597"/>
      <c r="J6" s="3447">
        <v>1</v>
      </c>
      <c r="K6" s="3448" t="s">
        <v>2321</v>
      </c>
      <c r="L6" s="2622" t="s">
        <v>2322</v>
      </c>
      <c r="M6" s="2623" t="s">
        <v>2323</v>
      </c>
      <c r="N6" s="2623" t="s">
        <v>2324</v>
      </c>
      <c r="O6" s="2623" t="s">
        <v>2325</v>
      </c>
      <c r="P6" s="2623" t="s">
        <v>2326</v>
      </c>
      <c r="Q6" s="2623" t="s">
        <v>2327</v>
      </c>
      <c r="R6" s="2606" t="s">
        <v>2328</v>
      </c>
      <c r="S6" s="2589"/>
      <c r="T6" s="2589" t="s">
        <v>2329</v>
      </c>
      <c r="U6" s="2589"/>
      <c r="V6" s="2597"/>
    </row>
    <row r="7" spans="1:22" s="2601" customFormat="1" ht="13.15" customHeight="1">
      <c r="A7" s="2624" t="s">
        <v>2330</v>
      </c>
      <c r="B7" s="2625"/>
      <c r="C7" s="2626"/>
      <c r="D7" s="2627">
        <f>SUM(D9,D10,D11,D17,0)</f>
        <v>0</v>
      </c>
      <c r="E7" s="2628" t="e">
        <f>E9+E10+E11+E17</f>
        <v>#DIV/0!</v>
      </c>
      <c r="F7" s="2629"/>
      <c r="G7" s="2630"/>
      <c r="H7" s="2596"/>
      <c r="I7" s="2597"/>
      <c r="J7" s="3447"/>
      <c r="K7" s="3449"/>
      <c r="L7" s="2631" t="s">
        <v>2331</v>
      </c>
      <c r="M7" s="2632"/>
      <c r="N7" s="2608"/>
      <c r="O7" s="2633"/>
      <c r="P7" s="2633"/>
      <c r="Q7" s="2634">
        <v>365</v>
      </c>
      <c r="R7" s="2635">
        <f>ROUND(M7*N7*O7*P7*Q7/10000,0)</f>
        <v>0</v>
      </c>
      <c r="S7" s="2589"/>
      <c r="T7" s="2589" t="s">
        <v>2332</v>
      </c>
      <c r="U7" s="2589"/>
      <c r="V7" s="2597"/>
    </row>
    <row r="8" spans="1:22" s="2601" customFormat="1" ht="13.15" customHeight="1">
      <c r="A8" s="2636" t="s">
        <v>2333</v>
      </c>
      <c r="B8" s="3464" t="s">
        <v>2334</v>
      </c>
      <c r="C8" s="3465"/>
      <c r="D8" s="2637" t="s">
        <v>2335</v>
      </c>
      <c r="E8" s="2638" t="s">
        <v>2336</v>
      </c>
      <c r="F8" s="2639" t="s">
        <v>2337</v>
      </c>
      <c r="G8" s="2640"/>
      <c r="H8" s="2596"/>
      <c r="I8" s="2597"/>
      <c r="J8" s="3447"/>
      <c r="K8" s="3449"/>
      <c r="L8" s="2631" t="s">
        <v>2338</v>
      </c>
      <c r="M8" s="2632"/>
      <c r="N8" s="2608"/>
      <c r="O8" s="2633"/>
      <c r="P8" s="2633"/>
      <c r="Q8" s="2634">
        <v>365</v>
      </c>
      <c r="R8" s="2635">
        <f t="shared" ref="R8:R13" si="0">ROUND(M8*N8*O8*P8*Q8/10000,0)</f>
        <v>0</v>
      </c>
      <c r="S8" s="2589"/>
      <c r="T8" s="2589" t="s">
        <v>2339</v>
      </c>
      <c r="U8" s="2589"/>
      <c r="V8" s="2597"/>
    </row>
    <row r="9" spans="1:22" s="2601" customFormat="1" ht="13.15" customHeight="1">
      <c r="A9" s="2636">
        <v>1</v>
      </c>
      <c r="B9" s="3464" t="s">
        <v>2340</v>
      </c>
      <c r="C9" s="3465"/>
      <c r="D9" s="2637">
        <f>ROUND(D6*E9,0)</f>
        <v>0</v>
      </c>
      <c r="E9" s="2641"/>
      <c r="F9" s="2642" t="s">
        <v>2341</v>
      </c>
      <c r="G9" s="2621"/>
      <c r="H9" s="2596"/>
      <c r="I9" s="2597"/>
      <c r="J9" s="3447"/>
      <c r="K9" s="3449"/>
      <c r="L9" s="2631" t="s">
        <v>2342</v>
      </c>
      <c r="M9" s="2632"/>
      <c r="N9" s="2608"/>
      <c r="O9" s="2633"/>
      <c r="P9" s="2633"/>
      <c r="Q9" s="2634">
        <v>365</v>
      </c>
      <c r="R9" s="2635">
        <f t="shared" si="0"/>
        <v>0</v>
      </c>
      <c r="S9" s="2589"/>
      <c r="T9" s="2589"/>
      <c r="U9" s="2589"/>
      <c r="V9" s="2597"/>
    </row>
    <row r="10" spans="1:22" s="2601" customFormat="1" ht="13.15" customHeight="1">
      <c r="A10" s="2636">
        <v>2</v>
      </c>
      <c r="B10" s="3464" t="s">
        <v>2343</v>
      </c>
      <c r="C10" s="3465"/>
      <c r="D10" s="2637">
        <f>ROUND(D6*E10,0)</f>
        <v>0</v>
      </c>
      <c r="E10" s="2641"/>
      <c r="F10" s="2642" t="s">
        <v>2344</v>
      </c>
      <c r="G10" s="2621"/>
      <c r="H10" s="2596"/>
      <c r="I10" s="2597"/>
      <c r="J10" s="3447"/>
      <c r="K10" s="3449"/>
      <c r="L10" s="2631" t="s">
        <v>2345</v>
      </c>
      <c r="M10" s="2632"/>
      <c r="N10" s="2608"/>
      <c r="O10" s="2633"/>
      <c r="P10" s="2633"/>
      <c r="Q10" s="2634">
        <v>365</v>
      </c>
      <c r="R10" s="2635">
        <f t="shared" si="0"/>
        <v>0</v>
      </c>
      <c r="S10" s="2589"/>
      <c r="T10" s="2589"/>
      <c r="U10" s="2589"/>
      <c r="V10" s="2597"/>
    </row>
    <row r="11" spans="1:22" s="2601" customFormat="1" ht="13.15" customHeight="1">
      <c r="A11" s="2636">
        <v>3</v>
      </c>
      <c r="B11" s="3464" t="s">
        <v>2346</v>
      </c>
      <c r="C11" s="3465"/>
      <c r="D11" s="2637">
        <f>D12+D14+D15+D16</f>
        <v>0</v>
      </c>
      <c r="E11" s="2643" t="e">
        <f>D11/D6</f>
        <v>#DIV/0!</v>
      </c>
      <c r="F11" s="2639"/>
      <c r="G11" s="2640"/>
      <c r="H11" s="2596"/>
      <c r="I11" s="2597"/>
      <c r="J11" s="3447"/>
      <c r="K11" s="3449"/>
      <c r="L11" s="2631" t="s">
        <v>2347</v>
      </c>
      <c r="M11" s="2632"/>
      <c r="N11" s="2608"/>
      <c r="O11" s="2633"/>
      <c r="P11" s="2633"/>
      <c r="Q11" s="2634">
        <v>365</v>
      </c>
      <c r="R11" s="2635">
        <f t="shared" si="0"/>
        <v>0</v>
      </c>
      <c r="S11" s="2589"/>
      <c r="T11" s="2589"/>
      <c r="U11" s="2589"/>
      <c r="V11" s="2597"/>
    </row>
    <row r="12" spans="1:22" s="2601" customFormat="1" ht="13.15" customHeight="1">
      <c r="A12" s="2644" t="s">
        <v>2348</v>
      </c>
      <c r="B12" s="3457" t="s">
        <v>2349</v>
      </c>
      <c r="C12" s="3458"/>
      <c r="D12" s="2645">
        <f>ROUND(D13*1.2%*(1-30%),0)</f>
        <v>0</v>
      </c>
      <c r="E12" s="2646">
        <v>1.2E-2</v>
      </c>
      <c r="F12" s="2639" t="s">
        <v>2350</v>
      </c>
      <c r="G12" s="2640"/>
      <c r="H12" s="2596"/>
      <c r="I12" s="2597"/>
      <c r="J12" s="3447"/>
      <c r="K12" s="3449"/>
      <c r="L12" s="2631" t="s">
        <v>2351</v>
      </c>
      <c r="M12" s="2632"/>
      <c r="N12" s="2608"/>
      <c r="O12" s="2633"/>
      <c r="P12" s="2633"/>
      <c r="Q12" s="2634">
        <v>365</v>
      </c>
      <c r="R12" s="2635">
        <f t="shared" si="0"/>
        <v>0</v>
      </c>
      <c r="S12" s="2589"/>
      <c r="T12" s="2589"/>
      <c r="U12" s="2589"/>
      <c r="V12" s="2597"/>
    </row>
    <row r="13" spans="1:22" s="2601" customFormat="1" ht="13.15" customHeight="1">
      <c r="A13" s="2644"/>
      <c r="B13" s="2647"/>
      <c r="C13" s="2648" t="s">
        <v>2352</v>
      </c>
      <c r="D13" s="2649"/>
      <c r="E13" s="2650"/>
      <c r="F13" s="2639"/>
      <c r="G13" s="2640"/>
      <c r="H13" s="2596"/>
      <c r="I13" s="2597"/>
      <c r="J13" s="3447"/>
      <c r="K13" s="3449"/>
      <c r="L13" s="2631" t="s">
        <v>2353</v>
      </c>
      <c r="M13" s="2632"/>
      <c r="N13" s="2608"/>
      <c r="O13" s="2633"/>
      <c r="P13" s="2633"/>
      <c r="Q13" s="2634">
        <v>365</v>
      </c>
      <c r="R13" s="2635">
        <f t="shared" si="0"/>
        <v>0</v>
      </c>
      <c r="S13" s="2589"/>
      <c r="T13" s="2589"/>
      <c r="U13" s="2589"/>
      <c r="V13" s="2597"/>
    </row>
    <row r="14" spans="1:22" s="2601" customFormat="1" ht="13.15" customHeight="1">
      <c r="A14" s="2644" t="s">
        <v>2354</v>
      </c>
      <c r="B14" s="3457" t="s">
        <v>2355</v>
      </c>
      <c r="C14" s="3458"/>
      <c r="D14" s="2645">
        <f>ROUND(E14*B5/10000,0)</f>
        <v>0</v>
      </c>
      <c r="E14" s="2634"/>
      <c r="F14" s="2639" t="s">
        <v>2356</v>
      </c>
      <c r="G14" s="2640"/>
      <c r="H14" s="2596"/>
      <c r="I14" s="2597"/>
      <c r="J14" s="3447"/>
      <c r="K14" s="3450"/>
      <c r="L14" s="2651" t="s">
        <v>2357</v>
      </c>
      <c r="M14" s="2652">
        <f>SUM(M7:M13)</f>
        <v>0</v>
      </c>
      <c r="N14" s="2652" t="e">
        <f>ROUND((N7*M7+N8*M8+N9*M9+N10*M10+N11*M11+N12*M12+N13*M13)/M14,0)</f>
        <v>#DIV/0!</v>
      </c>
      <c r="O14" s="2653"/>
      <c r="P14" s="2653"/>
      <c r="Q14" s="2654"/>
      <c r="R14" s="2600">
        <f>SUM(R7:R13)</f>
        <v>0</v>
      </c>
      <c r="S14" s="2589"/>
      <c r="T14" s="2589"/>
      <c r="U14" s="2589"/>
      <c r="V14" s="2597"/>
    </row>
    <row r="15" spans="1:22" s="2601" customFormat="1" ht="13.15" customHeight="1">
      <c r="A15" s="2644" t="s">
        <v>2358</v>
      </c>
      <c r="B15" s="3457" t="s">
        <v>2359</v>
      </c>
      <c r="C15" s="3458"/>
      <c r="D15" s="2645">
        <f>ROUND(D6*E15,0)</f>
        <v>0</v>
      </c>
      <c r="E15" s="2646">
        <v>5.5E-2</v>
      </c>
      <c r="F15" s="2639" t="s">
        <v>2360</v>
      </c>
      <c r="G15" s="2621"/>
      <c r="H15" s="2596"/>
      <c r="I15" s="2597"/>
      <c r="J15" s="3447">
        <v>2</v>
      </c>
      <c r="K15" s="3448" t="s">
        <v>2361</v>
      </c>
      <c r="L15" s="2631" t="s">
        <v>2362</v>
      </c>
      <c r="M15" s="2632" t="s">
        <v>2363</v>
      </c>
      <c r="N15" s="2632" t="s">
        <v>2364</v>
      </c>
      <c r="O15" s="2633" t="s">
        <v>2365</v>
      </c>
      <c r="P15" s="2633" t="s">
        <v>2327</v>
      </c>
      <c r="Q15" s="2608" t="s">
        <v>2366</v>
      </c>
      <c r="R15" s="2655" t="s">
        <v>2328</v>
      </c>
      <c r="S15" s="2589"/>
      <c r="T15" s="2589"/>
      <c r="U15" s="2589"/>
      <c r="V15" s="2597"/>
    </row>
    <row r="16" spans="1:22" s="2601" customFormat="1" ht="13.15" customHeight="1">
      <c r="A16" s="2644" t="s">
        <v>2367</v>
      </c>
      <c r="B16" s="3457" t="s">
        <v>2368</v>
      </c>
      <c r="C16" s="3458"/>
      <c r="D16" s="2656">
        <f>D6*E16</f>
        <v>0</v>
      </c>
      <c r="E16" s="2657"/>
      <c r="F16" s="2642" t="s">
        <v>2369</v>
      </c>
      <c r="G16" s="2621"/>
      <c r="H16" s="2596"/>
      <c r="I16" s="2597"/>
      <c r="J16" s="3447"/>
      <c r="K16" s="3449"/>
      <c r="L16" s="2631" t="s">
        <v>2370</v>
      </c>
      <c r="M16" s="2632"/>
      <c r="N16" s="2632"/>
      <c r="O16" s="2633"/>
      <c r="P16" s="2634">
        <v>365</v>
      </c>
      <c r="Q16" s="2608"/>
      <c r="R16" s="2655">
        <f>ROUND(M16*N16*O16*P16/10000,0)</f>
        <v>0</v>
      </c>
      <c r="S16" s="2589"/>
      <c r="T16" s="2589"/>
      <c r="U16" s="2589"/>
      <c r="V16" s="2597"/>
    </row>
    <row r="17" spans="1:22" s="2601" customFormat="1" ht="13.15" customHeight="1" thickBot="1">
      <c r="A17" s="2658">
        <v>4</v>
      </c>
      <c r="B17" s="3459" t="s">
        <v>2371</v>
      </c>
      <c r="C17" s="3460"/>
      <c r="D17" s="2659">
        <f>ROUND(D6*E17,0)</f>
        <v>0</v>
      </c>
      <c r="E17" s="2660"/>
      <c r="F17" s="2661" t="s">
        <v>2372</v>
      </c>
      <c r="G17" s="2621"/>
      <c r="H17" s="2596"/>
      <c r="I17" s="2597"/>
      <c r="J17" s="3447"/>
      <c r="K17" s="3449"/>
      <c r="L17" s="2631" t="s">
        <v>2373</v>
      </c>
      <c r="M17" s="2632"/>
      <c r="N17" s="2632"/>
      <c r="O17" s="2633"/>
      <c r="P17" s="2634">
        <v>365</v>
      </c>
      <c r="Q17" s="2608"/>
      <c r="R17" s="2655">
        <f>ROUND(M17*N17*O17*P17/10000,0)</f>
        <v>0</v>
      </c>
      <c r="S17" s="2589"/>
      <c r="T17" s="2589"/>
      <c r="U17" s="2589"/>
      <c r="V17" s="2597"/>
    </row>
    <row r="18" spans="1:22" s="2601" customFormat="1" ht="13.15" customHeight="1" thickBot="1">
      <c r="A18" s="2624" t="s">
        <v>2374</v>
      </c>
      <c r="B18" s="2625"/>
      <c r="C18" s="2625"/>
      <c r="D18" s="2662">
        <f>ROUND(D6*E18,0)</f>
        <v>0</v>
      </c>
      <c r="E18" s="2663"/>
      <c r="F18" s="2664" t="s">
        <v>2375</v>
      </c>
      <c r="G18" s="2621"/>
      <c r="H18" s="2596"/>
      <c r="I18" s="2597"/>
      <c r="J18" s="3447"/>
      <c r="K18" s="3449"/>
      <c r="L18" s="2631" t="s">
        <v>2376</v>
      </c>
      <c r="M18" s="2632"/>
      <c r="N18" s="2632"/>
      <c r="O18" s="2633"/>
      <c r="P18" s="2634">
        <v>365</v>
      </c>
      <c r="Q18" s="2608"/>
      <c r="R18" s="2655">
        <f>ROUND(M18*N18*O18*P18/10000,0)</f>
        <v>0</v>
      </c>
      <c r="S18" s="2589"/>
      <c r="T18" s="2589"/>
      <c r="U18" s="2589"/>
      <c r="V18" s="2597"/>
    </row>
    <row r="19" spans="1:22" s="2601" customFormat="1" ht="13.15" customHeight="1" thickBot="1">
      <c r="A19" s="2665" t="s">
        <v>2377</v>
      </c>
      <c r="B19" s="2619"/>
      <c r="C19" s="2619"/>
      <c r="D19" s="2619"/>
      <c r="E19" s="2619"/>
      <c r="F19" s="2620"/>
      <c r="G19" s="2640"/>
      <c r="H19" s="2596"/>
      <c r="I19" s="2597"/>
      <c r="J19" s="3447"/>
      <c r="K19" s="3450"/>
      <c r="L19" s="2651" t="s">
        <v>2357</v>
      </c>
      <c r="M19" s="2652"/>
      <c r="N19" s="2652">
        <f>SUM(N16:N18)</f>
        <v>0</v>
      </c>
      <c r="O19" s="2653"/>
      <c r="P19" s="2666" t="s">
        <v>2421</v>
      </c>
      <c r="Q19" s="2633">
        <v>0</v>
      </c>
      <c r="R19" s="2667">
        <f>ROUND(IF(P19="按比例",R14*Q19,SUM(R16:R18)),0)</f>
        <v>0</v>
      </c>
      <c r="S19" s="2589"/>
      <c r="T19" s="2589"/>
      <c r="U19" s="2589"/>
      <c r="V19" s="2597"/>
    </row>
    <row r="20" spans="1:22" s="2601" customFormat="1" ht="13.15" customHeight="1">
      <c r="A20" s="2624"/>
      <c r="B20" s="2625"/>
      <c r="C20" s="2625"/>
      <c r="D20" s="2625"/>
      <c r="E20" s="2625"/>
      <c r="F20" s="2668"/>
      <c r="G20" s="2640"/>
      <c r="H20" s="2596"/>
      <c r="I20" s="2597"/>
      <c r="J20" s="3447">
        <v>3</v>
      </c>
      <c r="K20" s="3448" t="s">
        <v>2378</v>
      </c>
      <c r="L20" s="2631" t="s">
        <v>2379</v>
      </c>
      <c r="M20" s="2632" t="s">
        <v>2380</v>
      </c>
      <c r="N20" s="2669" t="s">
        <v>2381</v>
      </c>
      <c r="O20" s="2633" t="s">
        <v>2382</v>
      </c>
      <c r="P20" s="2634" t="s">
        <v>2383</v>
      </c>
      <c r="Q20" s="2608" t="s">
        <v>2384</v>
      </c>
      <c r="R20" s="2655" t="s">
        <v>2385</v>
      </c>
      <c r="S20" s="2589"/>
      <c r="T20" s="2589"/>
      <c r="U20" s="2589"/>
      <c r="V20" s="2597"/>
    </row>
    <row r="21" spans="1:22" s="2601" customFormat="1" ht="13.15" customHeight="1">
      <c r="A21" s="2624"/>
      <c r="B21" s="2625"/>
      <c r="C21" s="2670" t="s">
        <v>2386</v>
      </c>
      <c r="D21" s="2671" t="s">
        <v>2387</v>
      </c>
      <c r="E21" s="2672" t="s">
        <v>2388</v>
      </c>
      <c r="F21" s="2668"/>
      <c r="G21" s="2640"/>
      <c r="H21" s="2596"/>
      <c r="I21" s="2597"/>
      <c r="J21" s="3447"/>
      <c r="K21" s="3449"/>
      <c r="L21" s="2631" t="s">
        <v>2389</v>
      </c>
      <c r="M21" s="2632"/>
      <c r="N21" s="2632"/>
      <c r="O21" s="2633"/>
      <c r="P21" s="2634">
        <v>365</v>
      </c>
      <c r="Q21" s="2608"/>
      <c r="R21" s="2673">
        <f>ROUND(M21*N21*O21*P21/10000,0)</f>
        <v>0</v>
      </c>
      <c r="S21" s="2589"/>
      <c r="T21" s="2589"/>
      <c r="U21" s="2589"/>
      <c r="V21" s="2597"/>
    </row>
    <row r="22" spans="1:22" s="2601" customFormat="1" ht="13.15" customHeight="1">
      <c r="A22" s="2624"/>
      <c r="B22" s="2625"/>
      <c r="C22" s="2674" t="s">
        <v>2390</v>
      </c>
      <c r="D22" s="2675" t="s">
        <v>2391</v>
      </c>
      <c r="E22" s="2676" t="s">
        <v>2392</v>
      </c>
      <c r="F22" s="2668"/>
      <c r="G22" s="2589"/>
      <c r="H22" s="2596"/>
      <c r="I22" s="2597"/>
      <c r="J22" s="3447"/>
      <c r="K22" s="3449"/>
      <c r="L22" s="2631" t="s">
        <v>2393</v>
      </c>
      <c r="M22" s="2632"/>
      <c r="N22" s="2632"/>
      <c r="O22" s="2633"/>
      <c r="P22" s="2634">
        <v>365</v>
      </c>
      <c r="Q22" s="2608"/>
      <c r="R22" s="2673">
        <f>ROUND(M22*N22*O22*P22/10000,0)</f>
        <v>0</v>
      </c>
      <c r="S22" s="2589"/>
      <c r="T22" s="2589"/>
      <c r="U22" s="2589"/>
      <c r="V22" s="2597"/>
    </row>
    <row r="23" spans="1:22" s="2601" customFormat="1" ht="13.15" customHeight="1">
      <c r="A23" s="2677">
        <v>1</v>
      </c>
      <c r="B23" s="2678" t="s">
        <v>2394</v>
      </c>
      <c r="C23" s="2679">
        <f>D6</f>
        <v>0</v>
      </c>
      <c r="D23" s="2680">
        <f>C23*(1+D24)</f>
        <v>0</v>
      </c>
      <c r="E23" s="2681">
        <f>D23*(1+E24)</f>
        <v>0</v>
      </c>
      <c r="F23" s="2682"/>
      <c r="G23" s="2683"/>
      <c r="H23" s="2596"/>
      <c r="I23" s="2597"/>
      <c r="J23" s="3447"/>
      <c r="K23" s="3449"/>
      <c r="L23" s="2631" t="s">
        <v>2395</v>
      </c>
      <c r="M23" s="2632"/>
      <c r="N23" s="2632"/>
      <c r="O23" s="2633"/>
      <c r="P23" s="2634">
        <v>365</v>
      </c>
      <c r="Q23" s="2608"/>
      <c r="R23" s="2673">
        <f>ROUND(M23*N23*O23*P23/10000,0)</f>
        <v>0</v>
      </c>
      <c r="S23" s="2589"/>
      <c r="T23" s="2589"/>
      <c r="U23" s="2589"/>
      <c r="V23" s="2597"/>
    </row>
    <row r="24" spans="1:22" s="2601" customFormat="1" ht="13.15" customHeight="1">
      <c r="A24" s="2684"/>
      <c r="B24" s="2685" t="s">
        <v>2396</v>
      </c>
      <c r="C24" s="2686"/>
      <c r="D24" s="2687"/>
      <c r="E24" s="2688"/>
      <c r="F24" s="2689"/>
      <c r="G24" s="2683"/>
      <c r="H24" s="2596"/>
      <c r="I24" s="2597"/>
      <c r="J24" s="3447"/>
      <c r="K24" s="3450"/>
      <c r="L24" s="2651" t="s">
        <v>2357</v>
      </c>
      <c r="M24" s="2652">
        <f>SUM(M21:M23)</f>
        <v>0</v>
      </c>
      <c r="N24" s="2652"/>
      <c r="O24" s="2653"/>
      <c r="P24" s="2666" t="s">
        <v>2421</v>
      </c>
      <c r="Q24" s="2633">
        <v>0</v>
      </c>
      <c r="R24" s="2667">
        <f>ROUND(IF(P24="按比例",R14*Q24,SUM(R21:R23)),0)</f>
        <v>0</v>
      </c>
      <c r="S24" s="2589"/>
      <c r="T24" s="2589"/>
      <c r="U24" s="2589"/>
      <c r="V24" s="2597"/>
    </row>
    <row r="25" spans="1:22" s="2696" customFormat="1" ht="13.15" customHeight="1">
      <c r="A25" s="2684"/>
      <c r="B25" s="2685"/>
      <c r="C25" s="2686"/>
      <c r="D25" s="2687"/>
      <c r="E25" s="2688"/>
      <c r="F25" s="2689"/>
      <c r="G25" s="2589"/>
      <c r="H25" s="2596"/>
      <c r="I25" s="2597"/>
      <c r="J25" s="2690">
        <v>4</v>
      </c>
      <c r="K25" s="2691" t="s">
        <v>2397</v>
      </c>
      <c r="L25" s="2692"/>
      <c r="M25" s="2692"/>
      <c r="N25" s="2692"/>
      <c r="O25" s="2692"/>
      <c r="P25" s="2693"/>
      <c r="Q25" s="2694">
        <v>0</v>
      </c>
      <c r="R25" s="2667">
        <f>ROUND(R14*Q25,0)</f>
        <v>0</v>
      </c>
      <c r="S25" s="2589"/>
      <c r="T25" s="2589"/>
      <c r="U25" s="2589"/>
      <c r="V25" s="2695"/>
    </row>
    <row r="26" spans="1:22" s="2696" customFormat="1" ht="13.15" customHeight="1">
      <c r="A26" s="2677">
        <v>2</v>
      </c>
      <c r="B26" s="2678" t="s">
        <v>2398</v>
      </c>
      <c r="C26" s="2679">
        <f>D7</f>
        <v>0</v>
      </c>
      <c r="D26" s="2680">
        <f>D23*D27</f>
        <v>0</v>
      </c>
      <c r="E26" s="2681">
        <f>E23*E27</f>
        <v>0</v>
      </c>
      <c r="F26" s="2682"/>
      <c r="G26" s="2683"/>
      <c r="H26" s="2596"/>
      <c r="I26" s="2597"/>
      <c r="J26" s="3451">
        <v>5</v>
      </c>
      <c r="K26" s="2697" t="s">
        <v>2399</v>
      </c>
      <c r="L26" s="2698"/>
      <c r="M26" s="2699"/>
      <c r="N26" s="2700" t="s">
        <v>2400</v>
      </c>
      <c r="O26" s="2700" t="s">
        <v>2401</v>
      </c>
      <c r="P26" s="2701" t="s">
        <v>2402</v>
      </c>
      <c r="Q26" s="2701" t="s">
        <v>2403</v>
      </c>
      <c r="R26" s="2606" t="s">
        <v>2328</v>
      </c>
      <c r="S26" s="2640"/>
      <c r="T26" s="2640"/>
      <c r="U26" s="2640"/>
      <c r="V26" s="2695"/>
    </row>
    <row r="27" spans="1:22" s="2601" customFormat="1" ht="13.15" customHeight="1">
      <c r="A27" s="2684"/>
      <c r="B27" s="2685" t="s">
        <v>2404</v>
      </c>
      <c r="C27" s="2702" t="e">
        <f>E7</f>
        <v>#DIV/0!</v>
      </c>
      <c r="D27" s="2687"/>
      <c r="E27" s="2688"/>
      <c r="F27" s="2689"/>
      <c r="G27" s="2683"/>
      <c r="H27" s="2703"/>
      <c r="I27" s="2695"/>
      <c r="J27" s="3452"/>
      <c r="K27" s="2704"/>
      <c r="L27" s="2705"/>
      <c r="M27" s="2706"/>
      <c r="N27" s="2707"/>
      <c r="O27" s="2707"/>
      <c r="P27" s="2707"/>
      <c r="Q27" s="2708"/>
      <c r="R27" s="2667">
        <f>ROUND(O27*N27*P27*(1-Q27)/10000,0)</f>
        <v>0</v>
      </c>
      <c r="S27" s="2589"/>
      <c r="T27" s="2589"/>
      <c r="U27" s="2589"/>
      <c r="V27" s="2597"/>
    </row>
    <row r="28" spans="1:22" s="2696" customFormat="1" ht="13.15" customHeight="1" thickBot="1">
      <c r="A28" s="2684"/>
      <c r="B28" s="2685"/>
      <c r="C28" s="2702"/>
      <c r="D28" s="2687"/>
      <c r="E28" s="2688" t="s">
        <v>2405</v>
      </c>
      <c r="F28" s="2689"/>
      <c r="G28" s="2589"/>
      <c r="H28" s="2703"/>
      <c r="I28" s="2695"/>
      <c r="J28" s="2709">
        <v>6</v>
      </c>
      <c r="K28" s="2710" t="s">
        <v>2406</v>
      </c>
      <c r="L28" s="2711" t="s">
        <v>2407</v>
      </c>
      <c r="M28" s="2712"/>
      <c r="N28" s="2711" t="s">
        <v>2408</v>
      </c>
      <c r="O28" s="2713"/>
      <c r="P28" s="2711" t="s">
        <v>2409</v>
      </c>
      <c r="Q28" s="2714">
        <v>1.4999999999999999E-2</v>
      </c>
      <c r="R28" s="2715"/>
      <c r="S28" s="2589"/>
      <c r="T28" s="2589"/>
      <c r="U28" s="2589"/>
      <c r="V28" s="2695"/>
    </row>
    <row r="29" spans="1:22" s="2696" customFormat="1" ht="13.15" customHeight="1">
      <c r="A29" s="2677">
        <v>3</v>
      </c>
      <c r="B29" s="2678" t="s">
        <v>2410</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15" customHeight="1" thickBot="1">
      <c r="A30" s="2684"/>
      <c r="B30" s="2685" t="s">
        <v>2404</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15" customHeight="1">
      <c r="A31" s="2684"/>
      <c r="B31" s="2685"/>
      <c r="C31" s="2717"/>
      <c r="D31" s="2716"/>
      <c r="E31" s="2650"/>
      <c r="F31" s="2689"/>
      <c r="G31" s="2589"/>
      <c r="H31" s="2703"/>
      <c r="I31" s="2695"/>
      <c r="J31" s="2586" t="s">
        <v>2411</v>
      </c>
      <c r="K31" s="2587"/>
      <c r="L31" s="2587"/>
      <c r="M31" s="2587"/>
      <c r="N31" s="2587"/>
      <c r="O31" s="2587"/>
      <c r="P31" s="2587"/>
      <c r="Q31" s="2587"/>
      <c r="R31" s="2588"/>
      <c r="S31" s="2589"/>
      <c r="T31" s="2589"/>
      <c r="U31" s="2589"/>
      <c r="V31" s="2695"/>
    </row>
    <row r="32" spans="1:22" s="2696" customFormat="1" ht="13.15" customHeight="1">
      <c r="A32" s="2677">
        <v>4</v>
      </c>
      <c r="B32" s="2678" t="s">
        <v>2412</v>
      </c>
      <c r="C32" s="2679">
        <f>C23-C26-C29</f>
        <v>0</v>
      </c>
      <c r="D32" s="2680">
        <f>D23-D26-D29</f>
        <v>0</v>
      </c>
      <c r="E32" s="2681">
        <f>E23-E26-E29</f>
        <v>0</v>
      </c>
      <c r="F32" s="2682"/>
      <c r="G32" s="2589"/>
      <c r="H32" s="2596"/>
      <c r="I32" s="2597"/>
      <c r="J32" s="3453" t="s">
        <v>2304</v>
      </c>
      <c r="K32" s="3454"/>
      <c r="L32" s="2598" t="s">
        <v>2305</v>
      </c>
      <c r="M32" s="2598" t="s">
        <v>2306</v>
      </c>
      <c r="N32" s="2598" t="s">
        <v>2307</v>
      </c>
      <c r="O32" s="2598" t="s">
        <v>2308</v>
      </c>
      <c r="P32" s="2598" t="s">
        <v>2309</v>
      </c>
      <c r="Q32" s="2599" t="s">
        <v>2310</v>
      </c>
      <c r="R32" s="2718" t="s">
        <v>2311</v>
      </c>
      <c r="S32" s="2589"/>
      <c r="T32" s="2589"/>
      <c r="U32" s="2589"/>
      <c r="V32" s="2695"/>
    </row>
    <row r="33" spans="1:23" s="2601" customFormat="1" ht="13.15" customHeight="1">
      <c r="A33" s="2677"/>
      <c r="B33" s="2678"/>
      <c r="C33" s="2679"/>
      <c r="D33" s="2719"/>
      <c r="E33" s="2720"/>
      <c r="F33" s="2682"/>
      <c r="G33" s="2589"/>
      <c r="H33" s="2703"/>
      <c r="I33" s="2695"/>
      <c r="J33" s="3455" t="s">
        <v>2314</v>
      </c>
      <c r="K33" s="3456"/>
      <c r="L33" s="2604"/>
      <c r="M33" s="2604"/>
      <c r="N33" s="2604"/>
      <c r="O33" s="2604"/>
      <c r="P33" s="2604"/>
      <c r="Q33" s="2605"/>
      <c r="R33" s="2721">
        <f>SUM(L33:Q33)</f>
        <v>0</v>
      </c>
      <c r="S33" s="2589"/>
      <c r="T33" s="2589"/>
      <c r="U33" s="2589"/>
      <c r="V33" s="2597"/>
    </row>
    <row r="34" spans="1:23" s="2601" customFormat="1" ht="13.15" customHeight="1">
      <c r="A34" s="2677">
        <v>5</v>
      </c>
      <c r="B34" s="2678" t="s">
        <v>2413</v>
      </c>
      <c r="C34" s="2722"/>
      <c r="D34" s="2723"/>
      <c r="E34" s="2724"/>
      <c r="F34" s="2682"/>
      <c r="G34" s="2589"/>
      <c r="H34" s="2703"/>
      <c r="I34" s="2695"/>
      <c r="J34" s="3455" t="s">
        <v>2316</v>
      </c>
      <c r="K34" s="3456"/>
      <c r="L34" s="2609"/>
      <c r="M34" s="2609"/>
      <c r="N34" s="2609"/>
      <c r="O34" s="2609"/>
      <c r="P34" s="2609"/>
      <c r="Q34" s="2610"/>
      <c r="R34" s="2725">
        <f>SUM(L34:Q34)</f>
        <v>0</v>
      </c>
      <c r="S34" s="2589"/>
      <c r="T34" s="2589"/>
      <c r="U34" s="2589" t="e">
        <f>ROUND(R35*10000/365/R33,1)</f>
        <v>#DIV/0!</v>
      </c>
      <c r="V34" s="2597"/>
    </row>
    <row r="35" spans="1:23" s="2601" customFormat="1" ht="13.15" customHeight="1">
      <c r="A35" s="2677">
        <v>6</v>
      </c>
      <c r="B35" s="2678" t="s">
        <v>2414</v>
      </c>
      <c r="C35" s="2726"/>
      <c r="D35" s="2727"/>
      <c r="E35" s="2728"/>
      <c r="F35" s="2682"/>
      <c r="G35" s="2729"/>
      <c r="H35" s="2596"/>
      <c r="I35" s="2695"/>
      <c r="J35" s="2615" t="s">
        <v>2318</v>
      </c>
      <c r="K35" s="2616"/>
      <c r="L35" s="2616"/>
      <c r="M35" s="2617"/>
      <c r="N35" s="2617"/>
      <c r="O35" s="2617"/>
      <c r="P35" s="2617"/>
      <c r="Q35" s="2617"/>
      <c r="R35" s="2730">
        <f>R40+R41+R43</f>
        <v>0</v>
      </c>
      <c r="S35" s="2589"/>
      <c r="T35" s="2589" t="s">
        <v>2319</v>
      </c>
      <c r="U35" s="2589"/>
      <c r="V35" s="2597"/>
    </row>
    <row r="36" spans="1:23" s="2601" customFormat="1" ht="13.15" customHeight="1" thickBot="1">
      <c r="A36" s="2677">
        <v>7</v>
      </c>
      <c r="B36" s="2731" t="s">
        <v>2415</v>
      </c>
      <c r="C36" s="2732"/>
      <c r="D36" s="2733"/>
      <c r="E36" s="2734"/>
      <c r="F36" s="2735">
        <f>C36+D36+E36</f>
        <v>0</v>
      </c>
      <c r="G36" s="2589"/>
      <c r="H36" s="2596"/>
      <c r="I36" s="2597"/>
      <c r="J36" s="3447">
        <v>1</v>
      </c>
      <c r="K36" s="3448" t="s">
        <v>2416</v>
      </c>
      <c r="L36" s="2622"/>
      <c r="M36" s="2623"/>
      <c r="N36" s="2623"/>
      <c r="O36" s="2623"/>
      <c r="P36" s="2623"/>
      <c r="Q36" s="2623"/>
      <c r="R36" s="2606" t="s">
        <v>2328</v>
      </c>
      <c r="S36" s="2589"/>
      <c r="T36" s="2589" t="s">
        <v>2329</v>
      </c>
      <c r="U36" s="2589"/>
      <c r="V36" s="2597"/>
    </row>
    <row r="37" spans="1:23" s="2601" customFormat="1" ht="13.15" customHeight="1">
      <c r="A37" s="2677"/>
      <c r="B37" s="2678"/>
      <c r="C37" s="2678"/>
      <c r="D37" s="2678"/>
      <c r="E37" s="2678"/>
      <c r="F37" s="2682"/>
      <c r="G37" s="2589"/>
      <c r="H37" s="2596"/>
      <c r="I37" s="2597"/>
      <c r="J37" s="3447"/>
      <c r="K37" s="3449"/>
      <c r="L37" s="2631"/>
      <c r="M37" s="2632"/>
      <c r="N37" s="2608"/>
      <c r="O37" s="2633"/>
      <c r="P37" s="2633"/>
      <c r="Q37" s="2634"/>
      <c r="R37" s="2635"/>
      <c r="S37" s="2589"/>
      <c r="T37" s="2589" t="s">
        <v>2332</v>
      </c>
      <c r="U37" s="2589"/>
      <c r="V37" s="2597"/>
    </row>
    <row r="38" spans="1:23" s="2601" customFormat="1" ht="13.15" customHeight="1">
      <c r="A38" s="2677">
        <v>8</v>
      </c>
      <c r="B38" s="2678"/>
      <c r="C38" s="2637" t="e">
        <f>ROUND(C32*(1-((1+C35)/(1+C34))^C36)/(C34-C35),0)</f>
        <v>#DIV/0!</v>
      </c>
      <c r="D38" s="2637">
        <f>IF(D23=0,0,ROUND(D32*(1-((1+D35)/(1+D34))^D36)/(D34-D35),0))</f>
        <v>0</v>
      </c>
      <c r="E38" s="2637">
        <f>IF(E23=0,0,ROUND(E32*(1-((1+E35)/(1+E34))^E36)/(E34-E35),0))</f>
        <v>0</v>
      </c>
      <c r="F38" s="2682"/>
      <c r="G38" s="2589"/>
      <c r="H38" s="2596"/>
      <c r="I38" s="2597"/>
      <c r="J38" s="3447"/>
      <c r="K38" s="3449"/>
      <c r="L38" s="2631"/>
      <c r="M38" s="2632"/>
      <c r="N38" s="2608"/>
      <c r="O38" s="2633"/>
      <c r="P38" s="2633"/>
      <c r="Q38" s="2634"/>
      <c r="R38" s="2635"/>
      <c r="S38" s="2589"/>
      <c r="T38" s="2589" t="s">
        <v>2339</v>
      </c>
      <c r="U38" s="2589"/>
      <c r="V38" s="2597"/>
    </row>
    <row r="39" spans="1:23" s="2601" customFormat="1" ht="13.15" customHeight="1">
      <c r="A39" s="2677">
        <v>9</v>
      </c>
      <c r="B39" s="2678" t="s">
        <v>2417</v>
      </c>
      <c r="C39" s="2645" t="e">
        <f>C38</f>
        <v>#DIV/0!</v>
      </c>
      <c r="D39" s="2678">
        <f>D38/(1+D34)^C36</f>
        <v>0</v>
      </c>
      <c r="E39" s="2678">
        <f>E38/(1+E34)^(C36+D36)</f>
        <v>0</v>
      </c>
      <c r="F39" s="2682"/>
      <c r="G39" s="2597"/>
      <c r="H39" s="2596"/>
      <c r="I39" s="2597"/>
      <c r="J39" s="3447"/>
      <c r="K39" s="3449"/>
      <c r="L39" s="2631"/>
      <c r="M39" s="2632"/>
      <c r="N39" s="2608"/>
      <c r="O39" s="2633"/>
      <c r="P39" s="2633"/>
      <c r="Q39" s="2634"/>
      <c r="R39" s="2635"/>
      <c r="S39" s="2589"/>
      <c r="T39" s="2589"/>
      <c r="U39" s="2589"/>
      <c r="V39" s="2597"/>
    </row>
    <row r="40" spans="1:23" s="2601" customFormat="1" ht="13.15" customHeight="1">
      <c r="A40" s="2736">
        <v>10</v>
      </c>
      <c r="B40" s="2678" t="s">
        <v>2418</v>
      </c>
      <c r="C40" s="2737" t="e">
        <f>C39+D39+E39</f>
        <v>#DIV/0!</v>
      </c>
      <c r="D40" s="2738"/>
      <c r="E40" s="2738"/>
      <c r="F40" s="2739"/>
      <c r="G40" s="2589"/>
      <c r="H40" s="2596"/>
      <c r="I40" s="2597"/>
      <c r="J40" s="3447"/>
      <c r="K40" s="3450"/>
      <c r="L40" s="2651" t="s">
        <v>2357</v>
      </c>
      <c r="M40" s="2652"/>
      <c r="N40" s="2652"/>
      <c r="O40" s="2653"/>
      <c r="P40" s="2653"/>
      <c r="Q40" s="2654"/>
      <c r="R40" s="2600">
        <f>SUM(R37:R39)</f>
        <v>0</v>
      </c>
      <c r="S40" s="2589"/>
      <c r="T40" s="2589"/>
      <c r="U40" s="2589"/>
      <c r="V40" s="2597"/>
    </row>
    <row r="41" spans="1:23" s="2601" customFormat="1" ht="13.15" customHeight="1" thickBot="1">
      <c r="A41" s="2740">
        <v>11</v>
      </c>
      <c r="B41" s="2741" t="s">
        <v>2419</v>
      </c>
      <c r="C41" s="2741" t="e">
        <f>ROUND(C40*10000/B4,0)</f>
        <v>#DIV/0!</v>
      </c>
      <c r="D41" s="2742"/>
      <c r="E41" s="2742"/>
      <c r="F41" s="2743"/>
      <c r="G41" s="2596"/>
      <c r="H41" s="2596"/>
      <c r="I41" s="2597"/>
      <c r="J41" s="2690">
        <v>2</v>
      </c>
      <c r="K41" s="2691" t="s">
        <v>2397</v>
      </c>
      <c r="L41" s="2692"/>
      <c r="M41" s="2692"/>
      <c r="N41" s="2692"/>
      <c r="O41" s="2692"/>
      <c r="P41" s="2693"/>
      <c r="Q41" s="2694"/>
      <c r="R41" s="2667">
        <f>ROUND(R40*Q41,0)</f>
        <v>0</v>
      </c>
      <c r="S41" s="2589"/>
      <c r="T41" s="2589"/>
      <c r="U41" s="2640"/>
      <c r="V41" s="2597"/>
    </row>
    <row r="42" spans="1:23" s="2601" customFormat="1" ht="13.15" customHeight="1">
      <c r="G42" s="2596"/>
      <c r="H42" s="2596"/>
      <c r="I42" s="2597"/>
      <c r="J42" s="3451">
        <v>3</v>
      </c>
      <c r="K42" s="2697" t="s">
        <v>2399</v>
      </c>
      <c r="L42" s="2698"/>
      <c r="M42" s="2699"/>
      <c r="N42" s="2700" t="s">
        <v>2400</v>
      </c>
      <c r="O42" s="2700" t="s">
        <v>2401</v>
      </c>
      <c r="P42" s="2701" t="s">
        <v>2402</v>
      </c>
      <c r="Q42" s="2701" t="s">
        <v>2403</v>
      </c>
      <c r="R42" s="2606" t="s">
        <v>2328</v>
      </c>
      <c r="S42" s="2640"/>
      <c r="T42" s="2640"/>
      <c r="U42" s="2589"/>
      <c r="V42" s="2597"/>
    </row>
    <row r="43" spans="1:23" ht="13.15" customHeight="1">
      <c r="A43" s="2601"/>
      <c r="B43" s="2601"/>
      <c r="C43" s="2601"/>
      <c r="D43" s="2601"/>
      <c r="E43" s="2601"/>
      <c r="F43" s="2601"/>
      <c r="I43" s="2584"/>
      <c r="J43" s="3452"/>
      <c r="K43" s="2704"/>
      <c r="L43" s="2705"/>
      <c r="M43" s="2706"/>
      <c r="N43" s="2632"/>
      <c r="O43" s="2632"/>
      <c r="P43" s="2632"/>
      <c r="Q43" s="2694"/>
      <c r="R43" s="2667">
        <f>ROUND(O43*N43*P43*(1-Q43)/10000,0)</f>
        <v>0</v>
      </c>
      <c r="S43" s="2589"/>
      <c r="T43" s="2589"/>
      <c r="V43" s="2744"/>
      <c r="W43" s="2745"/>
    </row>
    <row r="44" spans="1:23" ht="13.15" customHeight="1" thickBot="1">
      <c r="J44" s="2709">
        <v>6</v>
      </c>
      <c r="K44" s="2710" t="s">
        <v>2406</v>
      </c>
      <c r="L44" s="2746" t="s">
        <v>2407</v>
      </c>
      <c r="M44" s="2712"/>
      <c r="N44" s="2746" t="s">
        <v>2408</v>
      </c>
      <c r="O44" s="2712"/>
      <c r="P44" s="2746" t="s">
        <v>2409</v>
      </c>
      <c r="Q44" s="2714">
        <v>1.4999999999999999E-2</v>
      </c>
      <c r="R44" s="271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E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E00-000001000000}">
      <formula1>"按明细,按比例"</formula1>
    </dataValidation>
    <dataValidation type="list" allowBlank="1" showInputMessage="1" showErrorMessage="1" sqref="D2" xr:uid="{00000000-0002-0000-1E00-000002000000}">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V31"/>
  <sheetViews>
    <sheetView view="pageBreakPreview" zoomScaleNormal="100" zoomScaleSheetLayoutView="100" workbookViewId="0">
      <selection activeCell="H43" sqref="H43"/>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1656</v>
      </c>
      <c r="B1" s="1725"/>
      <c r="C1" s="1725"/>
      <c r="D1" s="1725"/>
      <c r="E1" s="1726"/>
      <c r="F1" s="2476"/>
      <c r="G1" s="458"/>
      <c r="H1" s="458"/>
      <c r="I1" s="458"/>
      <c r="J1" s="458"/>
      <c r="K1" s="458"/>
      <c r="L1" s="458"/>
      <c r="M1" s="458"/>
      <c r="N1" s="458"/>
      <c r="O1" s="458"/>
      <c r="P1" s="458"/>
      <c r="Q1" s="458"/>
      <c r="R1" s="458"/>
      <c r="S1" s="458"/>
    </row>
    <row r="2" spans="1:22" ht="15.75">
      <c r="A2" s="1727" t="s">
        <v>1460</v>
      </c>
      <c r="B2" s="810">
        <f ca="1">SUMIF(B6:B13,"&lt;&gt;#ref!",B6:B13)</f>
        <v>697.60239999999999</v>
      </c>
      <c r="C2" s="1728" t="s">
        <v>1649</v>
      </c>
      <c r="D2" s="1729" t="s">
        <v>1650</v>
      </c>
      <c r="E2" s="2389">
        <f>SUM(E6:E13)</f>
        <v>113.41</v>
      </c>
      <c r="F2" s="2476"/>
      <c r="G2" s="458"/>
      <c r="H2" s="458"/>
      <c r="I2" s="458"/>
      <c r="J2" s="458"/>
      <c r="K2" s="458"/>
      <c r="L2" s="458"/>
      <c r="M2" s="458"/>
      <c r="N2" s="458"/>
      <c r="O2" s="458"/>
      <c r="P2" s="458"/>
      <c r="Q2" s="458"/>
      <c r="R2" s="458"/>
      <c r="S2" s="458"/>
    </row>
    <row r="3" spans="1:22" ht="15.75">
      <c r="A3" s="1727" t="s">
        <v>686</v>
      </c>
      <c r="B3" s="2383">
        <f ca="1">ROUND(B2*10000/E2,0)</f>
        <v>61512</v>
      </c>
      <c r="C3" s="1728" t="s">
        <v>1657</v>
      </c>
      <c r="D3" s="2476"/>
      <c r="E3" s="2479"/>
      <c r="F3" s="2476"/>
      <c r="G3" s="458"/>
      <c r="H3" s="458"/>
      <c r="I3" s="458"/>
      <c r="J3" s="458"/>
      <c r="K3" s="458"/>
      <c r="L3" s="458"/>
      <c r="M3" s="458"/>
      <c r="N3" s="458"/>
      <c r="O3" s="458"/>
      <c r="P3" s="458"/>
      <c r="Q3" s="458"/>
      <c r="R3" s="458"/>
      <c r="S3" s="458"/>
    </row>
    <row r="4" spans="1:22" ht="15.75">
      <c r="A4" s="2480"/>
      <c r="B4" s="2476"/>
      <c r="C4" s="2476"/>
      <c r="D4" s="2476"/>
      <c r="E4" s="2479"/>
      <c r="F4" s="2476"/>
      <c r="G4" s="458"/>
      <c r="H4" s="458"/>
      <c r="I4" s="458"/>
      <c r="J4" s="458"/>
      <c r="K4" s="458"/>
      <c r="L4" s="458"/>
      <c r="M4" s="458"/>
      <c r="N4" s="458"/>
      <c r="O4" s="458"/>
      <c r="P4" s="458"/>
      <c r="Q4" s="458"/>
      <c r="R4" s="458"/>
      <c r="S4" s="458"/>
    </row>
    <row r="5" spans="1:22" ht="15">
      <c r="A5" s="2385" t="s">
        <v>1651</v>
      </c>
      <c r="B5" s="3466" t="s">
        <v>1652</v>
      </c>
      <c r="C5" s="3467"/>
      <c r="D5" s="2477"/>
      <c r="E5" s="1730" t="s">
        <v>1653</v>
      </c>
      <c r="F5" s="129" t="s">
        <v>1654</v>
      </c>
      <c r="G5" s="458"/>
      <c r="H5" s="458"/>
      <c r="I5" s="458"/>
      <c r="J5" s="458"/>
      <c r="K5" s="458"/>
      <c r="L5" s="458"/>
      <c r="M5" s="458"/>
      <c r="N5" s="458"/>
      <c r="O5" s="458"/>
      <c r="P5" s="458"/>
      <c r="Q5" s="458"/>
      <c r="R5" s="458"/>
      <c r="S5" s="458"/>
    </row>
    <row r="6" spans="1:22">
      <c r="A6" s="2386" t="str">
        <f>'数据-取费表'!AN6</f>
        <v>收益法 (元)</v>
      </c>
      <c r="B6" s="2384">
        <f ca="1">IF(F6="是",'数据-取费表'!AO6,0)</f>
        <v>697.60239999999999</v>
      </c>
      <c r="C6" s="1728" t="s">
        <v>1649</v>
      </c>
      <c r="D6" s="2476"/>
      <c r="E6" s="2388">
        <f>IF(OR(A6=0,F6="否"),0,'数据-取费表'!K6+'数据-取费表'!S6)</f>
        <v>113.41</v>
      </c>
      <c r="F6" s="1731" t="s">
        <v>1655</v>
      </c>
      <c r="G6" s="458"/>
      <c r="H6" s="458"/>
      <c r="I6" s="458"/>
      <c r="J6" s="458"/>
      <c r="K6" s="458"/>
      <c r="L6" s="458"/>
      <c r="M6" s="458"/>
      <c r="N6" s="458"/>
      <c r="O6" s="458"/>
      <c r="P6" s="458"/>
      <c r="Q6" s="458"/>
      <c r="R6" s="458"/>
      <c r="S6" s="458"/>
    </row>
    <row r="7" spans="1:22">
      <c r="A7" s="2386">
        <f>'数据-取费表'!AN7</f>
        <v>0</v>
      </c>
      <c r="B7" s="2384" t="e">
        <f ca="1">IF(F7="是",'数据-取费表'!AO7,0)</f>
        <v>#REF!</v>
      </c>
      <c r="C7" s="1728" t="s">
        <v>1649</v>
      </c>
      <c r="D7" s="2476"/>
      <c r="E7" s="2388">
        <f>IF(OR(A7=0,F7="否"),0,'数据-取费表'!K7+'数据-取费表'!S7)</f>
        <v>0</v>
      </c>
      <c r="F7" s="1731" t="s">
        <v>1655</v>
      </c>
      <c r="G7" s="458"/>
      <c r="H7" s="458"/>
      <c r="I7" s="458"/>
      <c r="J7" s="458"/>
      <c r="K7" s="458"/>
      <c r="L7" s="458"/>
      <c r="M7" s="458"/>
      <c r="N7" s="458"/>
      <c r="O7" s="458"/>
      <c r="P7" s="458"/>
      <c r="Q7" s="458"/>
      <c r="R7" s="458"/>
      <c r="S7" s="458"/>
    </row>
    <row r="8" spans="1:22">
      <c r="A8" s="2386">
        <f>'数据-取费表'!AN8</f>
        <v>0</v>
      </c>
      <c r="B8" s="2384" t="e">
        <f ca="1">IF(F8="是",'数据-取费表'!AO8,0)</f>
        <v>#REF!</v>
      </c>
      <c r="C8" s="1728" t="s">
        <v>1649</v>
      </c>
      <c r="D8" s="2476"/>
      <c r="E8" s="2388">
        <f>IF(OR(A8=0,F8="否"),0,'数据-取费表'!K8+'数据-取费表'!S8)</f>
        <v>0</v>
      </c>
      <c r="F8" s="1731" t="s">
        <v>1655</v>
      </c>
      <c r="G8" s="458"/>
      <c r="H8" s="458"/>
      <c r="I8" s="458"/>
      <c r="J8" s="458"/>
      <c r="K8" s="458"/>
      <c r="L8" s="458"/>
      <c r="M8" s="458"/>
      <c r="N8" s="458"/>
      <c r="O8" s="458"/>
      <c r="P8" s="458"/>
      <c r="Q8" s="458"/>
      <c r="R8" s="458"/>
      <c r="S8" s="458"/>
    </row>
    <row r="9" spans="1:22">
      <c r="A9" s="2386">
        <f>'数据-取费表'!AN9</f>
        <v>0</v>
      </c>
      <c r="B9" s="2384" t="e">
        <f ca="1">IF(F9="是",'数据-取费表'!AO9,0)</f>
        <v>#REF!</v>
      </c>
      <c r="C9" s="1728" t="s">
        <v>1649</v>
      </c>
      <c r="D9" s="2476"/>
      <c r="E9" s="2388">
        <f>IF(OR(A9=0,F9="否"),0,'数据-取费表'!K9+'数据-取费表'!S9)</f>
        <v>0</v>
      </c>
      <c r="F9" s="1731" t="s">
        <v>1655</v>
      </c>
      <c r="G9" s="458"/>
      <c r="H9" s="458"/>
      <c r="I9" s="458"/>
      <c r="J9" s="458"/>
      <c r="K9" s="458"/>
      <c r="L9" s="458"/>
      <c r="M9" s="458"/>
      <c r="N9" s="458"/>
      <c r="O9" s="458"/>
      <c r="P9" s="458"/>
      <c r="Q9" s="458"/>
      <c r="R9" s="458"/>
      <c r="S9" s="458"/>
    </row>
    <row r="10" spans="1:22">
      <c r="A10" s="2386">
        <f>'数据-取费表'!AN10</f>
        <v>0</v>
      </c>
      <c r="B10" s="2384" t="e">
        <f ca="1">IF(F10="是",'数据-取费表'!AO10,0)</f>
        <v>#REF!</v>
      </c>
      <c r="C10" s="1728" t="s">
        <v>1649</v>
      </c>
      <c r="D10" s="2476"/>
      <c r="E10" s="2388">
        <f>IF(OR(A10=0,F10="否"),0,'数据-取费表'!K10+'数据-取费表'!S10)</f>
        <v>0</v>
      </c>
      <c r="F10" s="1731" t="s">
        <v>1655</v>
      </c>
      <c r="G10" s="458"/>
      <c r="H10" s="458"/>
      <c r="I10" s="458"/>
      <c r="J10" s="458"/>
      <c r="K10" s="458"/>
      <c r="L10" s="458"/>
      <c r="M10" s="458"/>
      <c r="N10" s="458"/>
      <c r="O10" s="458"/>
      <c r="P10" s="458"/>
      <c r="Q10" s="458"/>
      <c r="R10" s="458"/>
      <c r="S10" s="458"/>
    </row>
    <row r="11" spans="1:22">
      <c r="A11" s="2386">
        <f>'数据-取费表'!AN11</f>
        <v>0</v>
      </c>
      <c r="B11" s="2384" t="e">
        <f ca="1">IF(F11="是",'数据-取费表'!AO11,0)</f>
        <v>#REF!</v>
      </c>
      <c r="C11" s="1728" t="s">
        <v>1649</v>
      </c>
      <c r="D11" s="2476"/>
      <c r="E11" s="2388">
        <f>IF(OR(A11=0,F11="否"),0,'数据-取费表'!K11+'数据-取费表'!S11)</f>
        <v>0</v>
      </c>
      <c r="F11" s="1731" t="s">
        <v>1655</v>
      </c>
      <c r="G11" s="458"/>
      <c r="H11" s="458"/>
      <c r="I11" s="458"/>
      <c r="J11" s="458"/>
      <c r="K11" s="458"/>
      <c r="L11" s="458"/>
      <c r="M11" s="458"/>
      <c r="N11" s="458"/>
      <c r="O11" s="458"/>
      <c r="P11" s="458"/>
      <c r="Q11" s="458"/>
      <c r="R11" s="458"/>
      <c r="S11" s="458"/>
    </row>
    <row r="12" spans="1:22">
      <c r="A12" s="2386">
        <f>'数据-取费表'!AN12</f>
        <v>0</v>
      </c>
      <c r="B12" s="2384" t="e">
        <f ca="1">IF(F12="是",'数据-取费表'!AO12,0)</f>
        <v>#REF!</v>
      </c>
      <c r="C12" s="1728" t="s">
        <v>1649</v>
      </c>
      <c r="D12" s="2476"/>
      <c r="E12" s="2388">
        <f>IF(OR(A12=0,F12="否"),0,'数据-取费表'!K12+'数据-取费表'!S12)</f>
        <v>0</v>
      </c>
      <c r="F12" s="1731" t="s">
        <v>1655</v>
      </c>
      <c r="G12" s="458"/>
      <c r="H12" s="458"/>
      <c r="I12" s="458"/>
      <c r="J12" s="458"/>
      <c r="K12" s="458"/>
      <c r="L12" s="458"/>
      <c r="M12" s="458"/>
      <c r="N12" s="458"/>
      <c r="O12" s="458"/>
      <c r="P12" s="458"/>
      <c r="Q12" s="458"/>
      <c r="R12" s="458"/>
      <c r="S12" s="458"/>
    </row>
    <row r="13" spans="1:22" ht="15" thickBot="1">
      <c r="A13" s="2387">
        <f>'数据-取费表'!AN13</f>
        <v>0</v>
      </c>
      <c r="B13" s="2384" t="e">
        <f ca="1">IF(F13="是",'数据-取费表'!AO13,0)</f>
        <v>#REF!</v>
      </c>
      <c r="C13" s="1732" t="s">
        <v>1649</v>
      </c>
      <c r="D13" s="2478"/>
      <c r="E13" s="2388">
        <f>IF(OR(A13=0,F13="否"),0,'数据-取费表'!K13+'数据-取费表'!S13)</f>
        <v>0</v>
      </c>
      <c r="F13" s="1731" t="s">
        <v>1655</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F00-000000000000}">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148"/>
  <sheetViews>
    <sheetView view="pageBreakPreview" topLeftCell="A58" zoomScale="70" zoomScaleNormal="60" zoomScaleSheetLayoutView="70" workbookViewId="0">
      <selection activeCell="H43" sqref="H43"/>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1658</v>
      </c>
      <c r="B1" s="1733" t="s">
        <v>1659</v>
      </c>
      <c r="C1" s="1154" t="s">
        <v>1660</v>
      </c>
      <c r="D1" s="1141"/>
      <c r="E1" s="3121"/>
      <c r="F1" s="1734"/>
      <c r="G1" s="1151" t="s">
        <v>1661</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2"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1662</v>
      </c>
      <c r="F2" s="1738"/>
      <c r="G2" s="853"/>
      <c r="H2" s="853"/>
      <c r="I2" s="853"/>
      <c r="J2" s="853"/>
      <c r="K2" s="1739"/>
      <c r="L2" s="2481"/>
      <c r="M2" s="2482"/>
      <c r="N2" s="2482"/>
      <c r="O2" s="2482"/>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1663</v>
      </c>
      <c r="D3" s="342">
        <f>IF(D1="",'数据-汇总表'!E3,SUMIF('数据-汇总表'!$C19:$C33,D1,'数据-汇总表'!$E19:$E33))</f>
        <v>6356.88</v>
      </c>
      <c r="E3" s="853"/>
      <c r="F3" s="1742"/>
      <c r="G3" s="853"/>
      <c r="H3" s="853"/>
      <c r="I3" s="853"/>
      <c r="J3" s="853"/>
      <c r="K3" s="1739"/>
      <c r="L3" s="2481"/>
      <c r="M3" s="2482"/>
      <c r="N3" s="2482"/>
      <c r="O3" s="2482"/>
      <c r="P3" s="1740"/>
      <c r="Q3" s="1741"/>
      <c r="R3" s="1741"/>
      <c r="S3" s="1741"/>
      <c r="T3" s="1741"/>
      <c r="U3" s="1741"/>
      <c r="V3" s="1741"/>
      <c r="W3" s="1741"/>
      <c r="X3" s="1741"/>
      <c r="Y3" s="1741"/>
      <c r="Z3" s="1741"/>
      <c r="AA3" s="1741"/>
      <c r="AB3" s="1741"/>
      <c r="AC3" s="997"/>
    </row>
    <row r="4" spans="1:29" ht="15">
      <c r="A4" s="344" t="s">
        <v>1664</v>
      </c>
      <c r="B4" s="345"/>
      <c r="C4" s="3392" t="s">
        <v>1665</v>
      </c>
      <c r="D4" s="3393"/>
      <c r="E4" s="3394" t="s">
        <v>1666</v>
      </c>
      <c r="F4" s="3395"/>
      <c r="G4" s="3392" t="s">
        <v>1667</v>
      </c>
      <c r="H4" s="3393"/>
      <c r="I4" s="3392" t="s">
        <v>1668</v>
      </c>
      <c r="J4" s="3393"/>
      <c r="K4" s="1743" t="s">
        <v>1669</v>
      </c>
      <c r="L4" s="2483"/>
      <c r="M4" s="2484"/>
      <c r="N4" s="2484"/>
      <c r="O4" s="2484"/>
      <c r="P4" s="3396" t="s">
        <v>1670</v>
      </c>
      <c r="Q4" s="3397"/>
      <c r="R4" s="3402" t="s">
        <v>1666</v>
      </c>
      <c r="S4" s="3403"/>
      <c r="T4" s="3402" t="s">
        <v>1667</v>
      </c>
      <c r="U4" s="3403"/>
      <c r="V4" s="3375" t="s">
        <v>1668</v>
      </c>
      <c r="W4" s="3375"/>
      <c r="X4" s="1264"/>
      <c r="Y4" s="3402" t="s">
        <v>1670</v>
      </c>
      <c r="Z4" s="3403"/>
      <c r="AA4" s="3389" t="s">
        <v>1666</v>
      </c>
      <c r="AB4" s="3389" t="s">
        <v>1667</v>
      </c>
      <c r="AC4" s="3389" t="s">
        <v>1668</v>
      </c>
    </row>
    <row r="5" spans="1:29" ht="15">
      <c r="A5" s="347"/>
      <c r="B5" s="348"/>
      <c r="C5" s="3415" t="s">
        <v>1671</v>
      </c>
      <c r="D5" s="3411"/>
      <c r="E5" s="3468" t="s">
        <v>1672</v>
      </c>
      <c r="F5" s="3419"/>
      <c r="G5" s="3415" t="s">
        <v>1673</v>
      </c>
      <c r="H5" s="3411"/>
      <c r="I5" s="3415" t="s">
        <v>1674</v>
      </c>
      <c r="J5" s="3411"/>
      <c r="K5" s="1744"/>
      <c r="L5" s="2483"/>
      <c r="M5" s="2484"/>
      <c r="N5" s="2484"/>
      <c r="O5" s="2484"/>
      <c r="P5" s="3398"/>
      <c r="Q5" s="3399"/>
      <c r="R5" s="3404"/>
      <c r="S5" s="3405"/>
      <c r="T5" s="3404"/>
      <c r="U5" s="3405"/>
      <c r="V5" s="3375"/>
      <c r="W5" s="3375"/>
      <c r="X5" s="1264"/>
      <c r="Y5" s="3404"/>
      <c r="Z5" s="3405"/>
      <c r="AA5" s="3390"/>
      <c r="AB5" s="3390"/>
      <c r="AC5" s="3390"/>
    </row>
    <row r="6" spans="1:29" ht="15.75" thickBot="1">
      <c r="A6" s="349"/>
      <c r="B6" s="350"/>
      <c r="C6" s="3408" t="s">
        <v>1675</v>
      </c>
      <c r="D6" s="3409"/>
      <c r="E6" s="3416" t="s">
        <v>1675</v>
      </c>
      <c r="F6" s="3417"/>
      <c r="G6" s="3408" t="s">
        <v>1675</v>
      </c>
      <c r="H6" s="3409"/>
      <c r="I6" s="3408" t="s">
        <v>1675</v>
      </c>
      <c r="J6" s="3409"/>
      <c r="K6" s="1744" t="s">
        <v>1676</v>
      </c>
      <c r="L6" s="2483"/>
      <c r="M6" s="2484"/>
      <c r="N6" s="2484"/>
      <c r="O6" s="2484"/>
      <c r="P6" s="3400"/>
      <c r="Q6" s="3401"/>
      <c r="R6" s="3404"/>
      <c r="S6" s="3405"/>
      <c r="T6" s="3406"/>
      <c r="U6" s="3407"/>
      <c r="V6" s="3375"/>
      <c r="W6" s="3375"/>
      <c r="X6" s="1264"/>
      <c r="Y6" s="3406"/>
      <c r="Z6" s="3407"/>
      <c r="AA6" s="3391"/>
      <c r="AB6" s="3391"/>
      <c r="AC6" s="3391"/>
    </row>
    <row r="7" spans="1:29" s="102" customFormat="1" ht="15.75" thickBot="1">
      <c r="A7" s="351" t="s">
        <v>1677</v>
      </c>
      <c r="B7" s="352"/>
      <c r="C7" s="353">
        <f>'数据-取费表'!B2</f>
        <v>45022</v>
      </c>
      <c r="D7" s="354">
        <v>100</v>
      </c>
      <c r="E7" s="355"/>
      <c r="F7" s="356">
        <f>SUMIF(58:58,YEAR(E7)&amp;"-"&amp;MONTH(E7),59:59)</f>
        <v>0</v>
      </c>
      <c r="G7" s="355"/>
      <c r="H7" s="354">
        <f>SUMIF(58:58,YEAR(G7)&amp;"-"&amp;MONTH(G7),59:59)</f>
        <v>0</v>
      </c>
      <c r="I7" s="355"/>
      <c r="J7" s="354">
        <f>SUMIF(58:58,YEAR(I7)&amp;"-"&amp;MONTH(I7),59:59)</f>
        <v>0</v>
      </c>
      <c r="K7" s="1745"/>
      <c r="L7" s="2485"/>
      <c r="M7" s="2436"/>
      <c r="N7" s="2436"/>
      <c r="O7" s="2436"/>
      <c r="P7" s="3412" t="s">
        <v>1678</v>
      </c>
      <c r="Q7" s="3414"/>
      <c r="R7" s="663" t="s">
        <v>20</v>
      </c>
      <c r="S7" s="664">
        <f t="shared" ref="S7:S15" si="0">F7</f>
        <v>0</v>
      </c>
      <c r="T7" s="663" t="s">
        <v>20</v>
      </c>
      <c r="U7" s="664">
        <f t="shared" ref="U7:U15" si="1">H7</f>
        <v>0</v>
      </c>
      <c r="V7" s="663" t="s">
        <v>20</v>
      </c>
      <c r="W7" s="664">
        <f t="shared" ref="W7:W15" si="2">J7</f>
        <v>0</v>
      </c>
      <c r="X7" s="665"/>
      <c r="Y7" s="3412" t="s">
        <v>1678</v>
      </c>
      <c r="Z7" s="3413"/>
      <c r="AA7" s="50" t="e">
        <f>D7/F7</f>
        <v>#DIV/0!</v>
      </c>
      <c r="AB7" s="50" t="e">
        <f>D7/H7</f>
        <v>#DIV/0!</v>
      </c>
      <c r="AC7" s="50" t="e">
        <f>D7/J7</f>
        <v>#DIV/0!</v>
      </c>
    </row>
    <row r="8" spans="1:29" s="102" customFormat="1" ht="15.75" thickBot="1">
      <c r="A8" s="351" t="s">
        <v>1679</v>
      </c>
      <c r="B8" s="352"/>
      <c r="C8" s="357"/>
      <c r="D8" s="354">
        <v>100</v>
      </c>
      <c r="E8" s="1746"/>
      <c r="F8" s="356">
        <f>SUMIF(61:61,E8,62:62)-SUMIF(61:61,C8,62:62)+100</f>
        <v>100</v>
      </c>
      <c r="G8" s="357"/>
      <c r="H8" s="354">
        <f>SUMIF(61:61,G8,62:62)-SUMIF(61:61,C8,62:62)+100</f>
        <v>100</v>
      </c>
      <c r="I8" s="1746"/>
      <c r="J8" s="354">
        <f>SUMIF(61:61,I8,62:62)-SUMIF(61:61,C8,62:62)+100</f>
        <v>100</v>
      </c>
      <c r="K8" s="1745"/>
      <c r="L8" s="2485"/>
      <c r="M8" s="2436"/>
      <c r="N8" s="2436"/>
      <c r="O8" s="2436"/>
      <c r="P8" s="3412" t="s">
        <v>1681</v>
      </c>
      <c r="Q8" s="3413"/>
      <c r="R8" s="663" t="s">
        <v>20</v>
      </c>
      <c r="S8" s="664">
        <f t="shared" si="0"/>
        <v>100</v>
      </c>
      <c r="T8" s="663" t="s">
        <v>20</v>
      </c>
      <c r="U8" s="664">
        <f t="shared" si="1"/>
        <v>100</v>
      </c>
      <c r="V8" s="663" t="s">
        <v>20</v>
      </c>
      <c r="W8" s="664">
        <f t="shared" si="2"/>
        <v>100</v>
      </c>
      <c r="X8" s="665"/>
      <c r="Y8" s="3412" t="s">
        <v>1681</v>
      </c>
      <c r="Z8" s="3413"/>
      <c r="AA8" s="50">
        <f t="shared" ref="AA8:AA19" si="3">D8/F8</f>
        <v>1</v>
      </c>
      <c r="AB8" s="50">
        <f t="shared" ref="AB8:AB19" si="4">D8/H8</f>
        <v>1</v>
      </c>
      <c r="AC8" s="50">
        <f t="shared" ref="AC8:AC19" si="5">D8/J8</f>
        <v>1</v>
      </c>
    </row>
    <row r="9" spans="1:29" s="102" customFormat="1">
      <c r="A9" s="358" t="s">
        <v>1682</v>
      </c>
      <c r="B9" s="60" t="s">
        <v>1683</v>
      </c>
      <c r="C9" s="359"/>
      <c r="D9" s="59">
        <v>100</v>
      </c>
      <c r="E9" s="360"/>
      <c r="F9" s="60">
        <f>SUMIF(63:63,E9,64:64)-SUMIF(63:63,C9,64:64)+100</f>
        <v>100</v>
      </c>
      <c r="G9" s="361"/>
      <c r="H9" s="59">
        <f>SUMIF(63:63,G9,64:64)-SUMIF(63:63,C9,64:64)+100</f>
        <v>100</v>
      </c>
      <c r="I9" s="361"/>
      <c r="J9" s="59">
        <f>SUMIF(63:63,I9,64:64)-SUMIF(63:63,C9,64:64)+100</f>
        <v>100</v>
      </c>
      <c r="K9" s="1745"/>
      <c r="L9" s="2485"/>
      <c r="M9" s="2436"/>
      <c r="N9" s="2436"/>
      <c r="O9" s="2436"/>
      <c r="P9" s="3388" t="s">
        <v>1684</v>
      </c>
      <c r="Q9" s="529" t="str">
        <f t="shared" ref="Q9:Q15" si="6">B9</f>
        <v>用途</v>
      </c>
      <c r="R9" s="663" t="s">
        <v>14</v>
      </c>
      <c r="S9" s="664">
        <f t="shared" si="0"/>
        <v>100</v>
      </c>
      <c r="T9" s="663" t="s">
        <v>14</v>
      </c>
      <c r="U9" s="664">
        <f t="shared" si="1"/>
        <v>100</v>
      </c>
      <c r="V9" s="663" t="s">
        <v>14</v>
      </c>
      <c r="W9" s="664">
        <f t="shared" si="2"/>
        <v>100</v>
      </c>
      <c r="X9" s="665"/>
      <c r="Y9" s="3281" t="s">
        <v>1685</v>
      </c>
      <c r="Z9" s="50" t="str">
        <f t="shared" ref="Z9:Z15" si="7">Q9</f>
        <v>用途</v>
      </c>
      <c r="AA9" s="50">
        <f t="shared" si="3"/>
        <v>1</v>
      </c>
      <c r="AB9" s="50">
        <f t="shared" si="4"/>
        <v>1</v>
      </c>
      <c r="AC9" s="50">
        <f t="shared" si="5"/>
        <v>1</v>
      </c>
    </row>
    <row r="10" spans="1:29" s="365" customFormat="1" ht="27">
      <c r="A10" s="362"/>
      <c r="B10" s="363" t="s">
        <v>1686</v>
      </c>
      <c r="C10" s="3129"/>
      <c r="D10" s="119">
        <v>100</v>
      </c>
      <c r="E10" s="3130"/>
      <c r="F10" s="363">
        <f>SUMIF(65:65,E10,66:66)-SUMIF(65:65,C10,66:66)+100</f>
        <v>100</v>
      </c>
      <c r="G10" s="3129"/>
      <c r="H10" s="119">
        <f>SUMIF(65:65,G10,66:66)-SUMIF(65:65,C10,66:66)+100</f>
        <v>100</v>
      </c>
      <c r="I10" s="3129"/>
      <c r="J10" s="119">
        <f>SUMIF(65:65,I10,66:66)-SUMIF(65:65,C10,66:66)+100</f>
        <v>100</v>
      </c>
      <c r="K10" s="1745"/>
      <c r="L10" s="2486"/>
      <c r="M10" s="2487"/>
      <c r="N10" s="2487"/>
      <c r="O10" s="2487"/>
      <c r="P10" s="3388"/>
      <c r="Q10" s="529" t="str">
        <f t="shared" si="6"/>
        <v>土地使用年限（年）</v>
      </c>
      <c r="R10" s="663" t="s">
        <v>14</v>
      </c>
      <c r="S10" s="664">
        <f t="shared" si="0"/>
        <v>100</v>
      </c>
      <c r="T10" s="663" t="s">
        <v>14</v>
      </c>
      <c r="U10" s="664">
        <f t="shared" si="1"/>
        <v>100</v>
      </c>
      <c r="V10" s="663" t="s">
        <v>14</v>
      </c>
      <c r="W10" s="664">
        <f t="shared" si="2"/>
        <v>100</v>
      </c>
      <c r="X10" s="665"/>
      <c r="Y10" s="3281"/>
      <c r="Z10" s="50" t="str">
        <f t="shared" si="7"/>
        <v>土地使用年限（年）</v>
      </c>
      <c r="AA10" s="50">
        <f t="shared" si="3"/>
        <v>1</v>
      </c>
      <c r="AB10" s="50">
        <f t="shared" si="4"/>
        <v>1</v>
      </c>
      <c r="AC10" s="50">
        <f t="shared" si="5"/>
        <v>1</v>
      </c>
    </row>
    <row r="11" spans="1:29" ht="15">
      <c r="A11" s="366"/>
      <c r="B11" s="363" t="s">
        <v>1687</v>
      </c>
      <c r="C11" s="367"/>
      <c r="D11" s="119">
        <v>100</v>
      </c>
      <c r="E11" s="368"/>
      <c r="F11" s="363" t="e">
        <f>LOOKUP(E11,68:68,69:69)-LOOKUP(C11,68:68,69:69)+100</f>
        <v>#N/A</v>
      </c>
      <c r="G11" s="367"/>
      <c r="H11" s="119" t="e">
        <f>LOOKUP(G11,68:68,69:69)-LOOKUP(C11,68:68,69:69)+100</f>
        <v>#N/A</v>
      </c>
      <c r="I11" s="367"/>
      <c r="J11" s="119" t="e">
        <f>LOOKUP(I11,68:68,69:69)-LOOKUP(C11,68:68,69:69)+100</f>
        <v>#N/A</v>
      </c>
      <c r="K11" s="364"/>
      <c r="L11" s="2488"/>
      <c r="M11" s="2484"/>
      <c r="N11" s="2484"/>
      <c r="O11" s="2484"/>
      <c r="P11" s="3388"/>
      <c r="Q11" s="529" t="str">
        <f t="shared" si="6"/>
        <v>容积率</v>
      </c>
      <c r="R11" s="663" t="s">
        <v>18</v>
      </c>
      <c r="S11" s="664" t="e">
        <f t="shared" si="0"/>
        <v>#N/A</v>
      </c>
      <c r="T11" s="663" t="s">
        <v>18</v>
      </c>
      <c r="U11" s="664" t="e">
        <f t="shared" si="1"/>
        <v>#N/A</v>
      </c>
      <c r="V11" s="663" t="s">
        <v>18</v>
      </c>
      <c r="W11" s="664" t="e">
        <f t="shared" si="2"/>
        <v>#N/A</v>
      </c>
      <c r="X11" s="665"/>
      <c r="Y11" s="3281"/>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9">
        <f>SUMIF(70:70,G12,71:71)-SUMIF(70:70,C12,71:71)+100</f>
        <v>100</v>
      </c>
      <c r="I12" s="370"/>
      <c r="J12" s="119">
        <f>SUMIF(70:70,I12,71:71)-SUMIF(70:70,C12,71:71)+100</f>
        <v>100</v>
      </c>
      <c r="K12" s="1747"/>
      <c r="L12" s="2485"/>
      <c r="M12" s="2436"/>
      <c r="N12" s="2436"/>
      <c r="O12" s="2436"/>
      <c r="P12" s="3388"/>
      <c r="Q12" s="529">
        <f t="shared" si="6"/>
        <v>111</v>
      </c>
      <c r="R12" s="663" t="s">
        <v>18</v>
      </c>
      <c r="S12" s="664">
        <f t="shared" si="0"/>
        <v>100</v>
      </c>
      <c r="T12" s="663" t="s">
        <v>18</v>
      </c>
      <c r="U12" s="664">
        <f t="shared" si="1"/>
        <v>100</v>
      </c>
      <c r="V12" s="663" t="s">
        <v>18</v>
      </c>
      <c r="W12" s="664">
        <f t="shared" si="2"/>
        <v>100</v>
      </c>
      <c r="X12" s="665"/>
      <c r="Y12" s="3281"/>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89"/>
      <c r="M13" s="2484"/>
      <c r="N13" s="2484"/>
      <c r="O13" s="2484"/>
      <c r="P13" s="3388"/>
      <c r="Q13" s="529">
        <f t="shared" si="6"/>
        <v>111</v>
      </c>
      <c r="R13" s="663" t="s">
        <v>18</v>
      </c>
      <c r="S13" s="664">
        <f t="shared" si="0"/>
        <v>100</v>
      </c>
      <c r="T13" s="663" t="s">
        <v>18</v>
      </c>
      <c r="U13" s="664">
        <f t="shared" si="1"/>
        <v>100</v>
      </c>
      <c r="V13" s="663" t="s">
        <v>18</v>
      </c>
      <c r="W13" s="664">
        <f t="shared" si="2"/>
        <v>100</v>
      </c>
      <c r="X13" s="665"/>
      <c r="Y13" s="3281"/>
      <c r="Z13" s="50">
        <f t="shared" si="7"/>
        <v>111</v>
      </c>
      <c r="AA13" s="50">
        <f t="shared" si="3"/>
        <v>1</v>
      </c>
      <c r="AB13" s="50">
        <f t="shared" si="4"/>
        <v>1</v>
      </c>
      <c r="AC13" s="50">
        <f t="shared" si="5"/>
        <v>1</v>
      </c>
    </row>
    <row r="14" spans="1:29" ht="15.75"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89"/>
      <c r="M14" s="2484"/>
      <c r="N14" s="2484"/>
      <c r="O14" s="2484"/>
      <c r="P14" s="3388"/>
      <c r="Q14" s="529">
        <f t="shared" si="6"/>
        <v>111</v>
      </c>
      <c r="R14" s="663" t="s">
        <v>18</v>
      </c>
      <c r="S14" s="664">
        <f t="shared" si="0"/>
        <v>100</v>
      </c>
      <c r="T14" s="663" t="s">
        <v>18</v>
      </c>
      <c r="U14" s="664">
        <f t="shared" si="1"/>
        <v>100</v>
      </c>
      <c r="V14" s="663" t="s">
        <v>18</v>
      </c>
      <c r="W14" s="664">
        <f t="shared" si="2"/>
        <v>100</v>
      </c>
      <c r="X14" s="665"/>
      <c r="Y14" s="3281"/>
      <c r="Z14" s="50">
        <f t="shared" si="7"/>
        <v>111</v>
      </c>
      <c r="AA14" s="50">
        <f t="shared" si="3"/>
        <v>1</v>
      </c>
      <c r="AB14" s="50">
        <f t="shared" si="4"/>
        <v>1</v>
      </c>
      <c r="AC14" s="50">
        <f t="shared" si="5"/>
        <v>1</v>
      </c>
    </row>
    <row r="15" spans="1:29" ht="15">
      <c r="A15" s="378" t="s">
        <v>1688</v>
      </c>
      <c r="B15" s="58" t="s">
        <v>1257</v>
      </c>
      <c r="C15" s="1749">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89"/>
      <c r="M15" s="2484"/>
      <c r="N15" s="2484"/>
      <c r="O15" s="2484"/>
      <c r="P15" s="3379" t="s">
        <v>1689</v>
      </c>
      <c r="Q15" s="1262" t="str">
        <f t="shared" si="6"/>
        <v>居住社区成熟度</v>
      </c>
      <c r="R15" s="666" t="s">
        <v>18</v>
      </c>
      <c r="S15" s="667">
        <f t="shared" si="0"/>
        <v>100</v>
      </c>
      <c r="T15" s="666" t="s">
        <v>18</v>
      </c>
      <c r="U15" s="667">
        <f t="shared" si="1"/>
        <v>100</v>
      </c>
      <c r="V15" s="666" t="s">
        <v>18</v>
      </c>
      <c r="W15" s="667">
        <f t="shared" si="2"/>
        <v>100</v>
      </c>
      <c r="X15" s="1264"/>
      <c r="Y15" s="3381" t="s">
        <v>1689</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89"/>
      <c r="M16" s="2484"/>
      <c r="N16" s="2484"/>
      <c r="O16" s="2484"/>
      <c r="P16" s="3380"/>
      <c r="Q16" s="1262"/>
      <c r="R16" s="666"/>
      <c r="S16" s="667"/>
      <c r="T16" s="666"/>
      <c r="U16" s="667"/>
      <c r="V16" s="666"/>
      <c r="W16" s="667"/>
      <c r="X16" s="1264"/>
      <c r="Y16" s="3382"/>
      <c r="Z16" s="1263"/>
      <c r="AA16" s="1263">
        <v>1</v>
      </c>
      <c r="AB16" s="1263">
        <v>1</v>
      </c>
      <c r="AC16" s="1263">
        <v>1</v>
      </c>
    </row>
    <row r="17" spans="1:29" ht="15">
      <c r="A17" s="366"/>
      <c r="B17" s="389" t="s">
        <v>1259</v>
      </c>
      <c r="C17" s="1753" t="str">
        <f>估价对象房地状况!C6</f>
        <v>较好</v>
      </c>
      <c r="D17" s="388">
        <v>100</v>
      </c>
      <c r="E17" s="392"/>
      <c r="F17" s="388">
        <f>SUMIF(78:78,E18,79:79)-SUMIF(78:78,C18,79:79)+100</f>
        <v>100</v>
      </c>
      <c r="G17" s="390"/>
      <c r="H17" s="393">
        <f>SUMIF(78:78,G18,79:79)-SUMIF(78:78,C18,79:79)+100</f>
        <v>100</v>
      </c>
      <c r="I17" s="390"/>
      <c r="J17" s="393">
        <f>SUMIF(78:78,I18,79:79)-SUMIF(78:78,C18,79:79)+100</f>
        <v>100</v>
      </c>
      <c r="K17" s="383"/>
      <c r="L17" s="2489"/>
      <c r="M17" s="2484"/>
      <c r="N17" s="2484"/>
      <c r="O17" s="2484"/>
      <c r="P17" s="3380"/>
      <c r="Q17" s="1262" t="str">
        <f>B17</f>
        <v>交通便捷度</v>
      </c>
      <c r="R17" s="666" t="s">
        <v>18</v>
      </c>
      <c r="S17" s="667">
        <f>F17</f>
        <v>100</v>
      </c>
      <c r="T17" s="666" t="s">
        <v>18</v>
      </c>
      <c r="U17" s="667">
        <f>H17</f>
        <v>100</v>
      </c>
      <c r="V17" s="666" t="s">
        <v>18</v>
      </c>
      <c r="W17" s="667">
        <f>J17</f>
        <v>100</v>
      </c>
      <c r="X17" s="1264"/>
      <c r="Y17" s="3382"/>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89"/>
      <c r="M18" s="2484"/>
      <c r="N18" s="2484"/>
      <c r="O18" s="2484"/>
      <c r="P18" s="3380"/>
      <c r="Q18" s="1262"/>
      <c r="R18" s="666"/>
      <c r="S18" s="667"/>
      <c r="T18" s="666"/>
      <c r="U18" s="667"/>
      <c r="V18" s="666"/>
      <c r="W18" s="667"/>
      <c r="X18" s="1264"/>
      <c r="Y18" s="3382"/>
      <c r="Z18" s="1263"/>
      <c r="AA18" s="1263">
        <v>1</v>
      </c>
      <c r="AB18" s="1263">
        <v>1</v>
      </c>
      <c r="AC18" s="1263">
        <v>1</v>
      </c>
    </row>
    <row r="19" spans="1:29" ht="15">
      <c r="A19" s="366"/>
      <c r="B19" s="389" t="s">
        <v>1258</v>
      </c>
      <c r="C19" s="1753" t="str">
        <f>估价对象房地状况!C7</f>
        <v>好</v>
      </c>
      <c r="D19" s="393">
        <v>100</v>
      </c>
      <c r="E19" s="397"/>
      <c r="F19" s="393">
        <f>SUMIF(80:80,E20,81:81)-SUMIF(80:80,C20,81:81)+100</f>
        <v>100</v>
      </c>
      <c r="G19" s="395"/>
      <c r="H19" s="388">
        <f>SUMIF(80:80,G20,81:81)-SUMIF(80:80,C20,81:81)+100</f>
        <v>100</v>
      </c>
      <c r="I19" s="395"/>
      <c r="J19" s="388">
        <f>SUMIF(80:80,I20,81:81)-SUMIF(80:80,C20,81:81)+100</f>
        <v>100</v>
      </c>
      <c r="K19" s="383"/>
      <c r="L19" s="2489"/>
      <c r="M19" s="2484"/>
      <c r="N19" s="2484"/>
      <c r="O19" s="2484"/>
      <c r="P19" s="3380"/>
      <c r="Q19" s="1262" t="str">
        <f>B19</f>
        <v>公共配套设施</v>
      </c>
      <c r="R19" s="666" t="s">
        <v>18</v>
      </c>
      <c r="S19" s="667">
        <f>F19</f>
        <v>100</v>
      </c>
      <c r="T19" s="666" t="s">
        <v>18</v>
      </c>
      <c r="U19" s="667">
        <f>H19</f>
        <v>100</v>
      </c>
      <c r="V19" s="666" t="s">
        <v>18</v>
      </c>
      <c r="W19" s="667">
        <f>J19</f>
        <v>100</v>
      </c>
      <c r="X19" s="1264"/>
      <c r="Y19" s="3382"/>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89"/>
      <c r="M20" s="2484"/>
      <c r="N20" s="2484"/>
      <c r="O20" s="2484"/>
      <c r="P20" s="3380"/>
      <c r="Q20" s="1262"/>
      <c r="R20" s="666"/>
      <c r="S20" s="667"/>
      <c r="T20" s="666"/>
      <c r="U20" s="667"/>
      <c r="V20" s="666"/>
      <c r="W20" s="667"/>
      <c r="X20" s="1264"/>
      <c r="Y20" s="3382"/>
      <c r="Z20" s="1263"/>
      <c r="AA20" s="1263">
        <v>1</v>
      </c>
      <c r="AB20" s="1263">
        <v>1</v>
      </c>
      <c r="AC20" s="1263">
        <v>1</v>
      </c>
    </row>
    <row r="21" spans="1:29" ht="15">
      <c r="A21" s="366"/>
      <c r="B21" s="585" t="s">
        <v>1260</v>
      </c>
      <c r="C21" s="1753" t="str">
        <f>估价对象房地状况!C8</f>
        <v>七通</v>
      </c>
      <c r="D21" s="388">
        <v>100</v>
      </c>
      <c r="E21" s="397"/>
      <c r="F21" s="393">
        <f>SUMIF(82:82,E22,83:83)-SUMIF(82:82,C22,83:83)+100</f>
        <v>100</v>
      </c>
      <c r="G21" s="395"/>
      <c r="H21" s="388">
        <f>SUMIF(82:82,G22,83:83)-SUMIF(82:82,C22,83:83)+100</f>
        <v>100</v>
      </c>
      <c r="I21" s="395"/>
      <c r="J21" s="388">
        <f>SUMIF(82:82,I22,83:83)-SUMIF(82:82,C22,83:83)+100</f>
        <v>100</v>
      </c>
      <c r="K21" s="383"/>
      <c r="L21" s="2489"/>
      <c r="M21" s="2484"/>
      <c r="N21" s="2484"/>
      <c r="O21" s="2484"/>
      <c r="P21" s="3380"/>
      <c r="Q21" s="1262" t="str">
        <f>B21</f>
        <v>基础设施水平</v>
      </c>
      <c r="R21" s="666" t="s">
        <v>14</v>
      </c>
      <c r="S21" s="667">
        <f>F21</f>
        <v>100</v>
      </c>
      <c r="T21" s="666" t="s">
        <v>14</v>
      </c>
      <c r="U21" s="667">
        <f>H21</f>
        <v>100</v>
      </c>
      <c r="V21" s="666" t="s">
        <v>14</v>
      </c>
      <c r="W21" s="667">
        <f>J21</f>
        <v>100</v>
      </c>
      <c r="X21" s="1264"/>
      <c r="Y21" s="3382"/>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89"/>
      <c r="M22" s="2484"/>
      <c r="N22" s="2484"/>
      <c r="O22" s="2484"/>
      <c r="P22" s="3380"/>
      <c r="Q22" s="1262"/>
      <c r="R22" s="666"/>
      <c r="S22" s="667"/>
      <c r="T22" s="666"/>
      <c r="U22" s="667"/>
      <c r="V22" s="666"/>
      <c r="W22" s="667"/>
      <c r="X22" s="1264"/>
      <c r="Y22" s="3382"/>
      <c r="Z22" s="1263"/>
      <c r="AA22" s="1263">
        <v>1</v>
      </c>
      <c r="AB22" s="1263">
        <v>1</v>
      </c>
      <c r="AC22" s="1263">
        <v>1</v>
      </c>
    </row>
    <row r="23" spans="1:29" ht="15">
      <c r="A23" s="366"/>
      <c r="B23" s="389" t="s">
        <v>1261</v>
      </c>
      <c r="C23" s="1753" t="str">
        <f>估价对象房地状况!C9</f>
        <v>较好</v>
      </c>
      <c r="D23" s="388">
        <v>100</v>
      </c>
      <c r="E23" s="392"/>
      <c r="F23" s="388">
        <f>SUMIF(84:84,E24,85:85)-SUMIF(84:84,C24,85:85)+100</f>
        <v>100</v>
      </c>
      <c r="G23" s="390"/>
      <c r="H23" s="388">
        <f>SUMIF(84:84,G24,85:85)-SUMIF(84:84,C24,85:85)+100</f>
        <v>100</v>
      </c>
      <c r="I23" s="390"/>
      <c r="J23" s="388">
        <f>SUMIF(84:84,I24,85:85)-SUMIF(84:84,C24,85:85)+100</f>
        <v>100</v>
      </c>
      <c r="K23" s="383"/>
      <c r="L23" s="2489"/>
      <c r="M23" s="2484"/>
      <c r="N23" s="2484"/>
      <c r="O23" s="2484"/>
      <c r="P23" s="3380"/>
      <c r="Q23" s="1262" t="str">
        <f>B23</f>
        <v>自然及人文环境</v>
      </c>
      <c r="R23" s="666" t="s">
        <v>18</v>
      </c>
      <c r="S23" s="667">
        <f>F23</f>
        <v>100</v>
      </c>
      <c r="T23" s="666" t="s">
        <v>18</v>
      </c>
      <c r="U23" s="667">
        <f>H23</f>
        <v>100</v>
      </c>
      <c r="V23" s="666" t="s">
        <v>18</v>
      </c>
      <c r="W23" s="667">
        <f>J23</f>
        <v>100</v>
      </c>
      <c r="X23" s="1264"/>
      <c r="Y23" s="3382"/>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89"/>
      <c r="M24" s="2484"/>
      <c r="N24" s="2484"/>
      <c r="O24" s="2484"/>
      <c r="P24" s="3380"/>
      <c r="Q24" s="1262"/>
      <c r="R24" s="666"/>
      <c r="S24" s="667"/>
      <c r="T24" s="666"/>
      <c r="U24" s="667"/>
      <c r="V24" s="666"/>
      <c r="W24" s="667"/>
      <c r="X24" s="1264"/>
      <c r="Y24" s="3382"/>
      <c r="Z24" s="1263"/>
      <c r="AA24" s="1263">
        <v>1</v>
      </c>
      <c r="AB24" s="1263">
        <v>1</v>
      </c>
      <c r="AC24" s="1263">
        <v>1</v>
      </c>
    </row>
    <row r="25" spans="1:29" ht="15">
      <c r="A25" s="366"/>
      <c r="B25" s="363" t="s">
        <v>1690</v>
      </c>
      <c r="C25" s="398"/>
      <c r="D25" s="373">
        <v>100</v>
      </c>
      <c r="E25" s="1759"/>
      <c r="F25" s="373">
        <f>SUMIF(86:86,E25,87:87)-SUMIF(86:86,C25,87:87)+100</f>
        <v>100</v>
      </c>
      <c r="G25" s="1760"/>
      <c r="H25" s="373">
        <f>SUMIF(86:86,G25,87:87)-SUMIF(86:86,C25,87:87)+100</f>
        <v>100</v>
      </c>
      <c r="I25" s="1760"/>
      <c r="J25" s="373">
        <f>SUMIF(86:86,I25,87:87)-SUMIF(86:86,C25,87:87)+100</f>
        <v>100</v>
      </c>
      <c r="K25" s="364"/>
      <c r="L25" s="2489"/>
      <c r="M25" s="2484"/>
      <c r="N25" s="2484"/>
      <c r="O25" s="2484"/>
      <c r="P25" s="3380"/>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82"/>
      <c r="Z25" s="1263" t="str">
        <f>Q25</f>
        <v>楼层-1</v>
      </c>
      <c r="AA25" s="1263">
        <f t="shared" ref="AA25:AA46" si="15">D25/F25</f>
        <v>1</v>
      </c>
      <c r="AB25" s="1263">
        <f t="shared" ref="AB25:AB46" si="16">D25/H25</f>
        <v>1</v>
      </c>
      <c r="AC25" s="1263">
        <f t="shared" ref="AC25:AC46" si="17">D25/J25</f>
        <v>1</v>
      </c>
    </row>
    <row r="26" spans="1:29" ht="15">
      <c r="A26" s="366"/>
      <c r="B26" s="363" t="s">
        <v>1691</v>
      </c>
      <c r="C26" s="398"/>
      <c r="D26" s="373">
        <v>100</v>
      </c>
      <c r="E26" s="1759"/>
      <c r="F26" s="373">
        <f>SUMIF(88:88,E26,89:89)-SUMIF(88:88,C26,89:89)+100</f>
        <v>100</v>
      </c>
      <c r="G26" s="1760"/>
      <c r="H26" s="373">
        <f>SUMIF(88:88,G26,89:89)-SUMIF(88:88,C26,89:89)+100</f>
        <v>100</v>
      </c>
      <c r="I26" s="1760"/>
      <c r="J26" s="373">
        <f>SUMIF(88:88,I26,89:89)-SUMIF(88:88,C26,89:89)+100</f>
        <v>100</v>
      </c>
      <c r="K26" s="364"/>
      <c r="L26" s="2489"/>
      <c r="M26" s="2484"/>
      <c r="N26" s="2484"/>
      <c r="O26" s="2484"/>
      <c r="P26" s="3380"/>
      <c r="Q26" s="1262" t="str">
        <f t="shared" si="11"/>
        <v>朝向</v>
      </c>
      <c r="R26" s="666" t="s">
        <v>18</v>
      </c>
      <c r="S26" s="667">
        <f t="shared" si="12"/>
        <v>100</v>
      </c>
      <c r="T26" s="666" t="s">
        <v>18</v>
      </c>
      <c r="U26" s="667">
        <f t="shared" si="13"/>
        <v>100</v>
      </c>
      <c r="V26" s="666" t="s">
        <v>18</v>
      </c>
      <c r="W26" s="667">
        <f t="shared" si="14"/>
        <v>100</v>
      </c>
      <c r="X26" s="1264"/>
      <c r="Y26" s="3382"/>
      <c r="Z26" s="1263" t="str">
        <f>Q26</f>
        <v>朝向</v>
      </c>
      <c r="AA26" s="1263">
        <f t="shared" si="15"/>
        <v>1</v>
      </c>
      <c r="AB26" s="1263">
        <f t="shared" si="16"/>
        <v>1</v>
      </c>
      <c r="AC26" s="1263">
        <f t="shared" si="17"/>
        <v>1</v>
      </c>
    </row>
    <row r="27" spans="1:29" s="102"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5"/>
      <c r="M27" s="2436"/>
      <c r="N27" s="2436"/>
      <c r="O27" s="2436"/>
      <c r="P27" s="3380"/>
      <c r="Q27" s="529">
        <f t="shared" si="11"/>
        <v>111</v>
      </c>
      <c r="R27" s="663" t="s">
        <v>18</v>
      </c>
      <c r="S27" s="664">
        <f t="shared" si="12"/>
        <v>100</v>
      </c>
      <c r="T27" s="663" t="s">
        <v>18</v>
      </c>
      <c r="U27" s="664">
        <f t="shared" si="13"/>
        <v>100</v>
      </c>
      <c r="V27" s="663" t="s">
        <v>18</v>
      </c>
      <c r="W27" s="664">
        <f t="shared" si="14"/>
        <v>100</v>
      </c>
      <c r="X27" s="665"/>
      <c r="Y27" s="3382"/>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89"/>
      <c r="M28" s="2484"/>
      <c r="N28" s="2484"/>
      <c r="O28" s="2484"/>
      <c r="P28" s="3380"/>
      <c r="Q28" s="1262">
        <f t="shared" si="11"/>
        <v>111</v>
      </c>
      <c r="R28" s="666" t="s">
        <v>18</v>
      </c>
      <c r="S28" s="667">
        <f t="shared" si="12"/>
        <v>100</v>
      </c>
      <c r="T28" s="666" t="s">
        <v>18</v>
      </c>
      <c r="U28" s="667">
        <f t="shared" si="13"/>
        <v>100</v>
      </c>
      <c r="V28" s="666" t="s">
        <v>18</v>
      </c>
      <c r="W28" s="667">
        <f t="shared" si="14"/>
        <v>100</v>
      </c>
      <c r="X28" s="1264"/>
      <c r="Y28" s="3382"/>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89"/>
      <c r="M29" s="2484"/>
      <c r="N29" s="2484"/>
      <c r="O29" s="2484"/>
      <c r="P29" s="3380"/>
      <c r="Q29" s="1262">
        <f t="shared" si="11"/>
        <v>111</v>
      </c>
      <c r="R29" s="666" t="s">
        <v>18</v>
      </c>
      <c r="S29" s="667">
        <f t="shared" si="12"/>
        <v>100</v>
      </c>
      <c r="T29" s="666" t="s">
        <v>18</v>
      </c>
      <c r="U29" s="667">
        <f t="shared" si="13"/>
        <v>100</v>
      </c>
      <c r="V29" s="666" t="s">
        <v>18</v>
      </c>
      <c r="W29" s="667">
        <f t="shared" si="14"/>
        <v>100</v>
      </c>
      <c r="X29" s="1264"/>
      <c r="Y29" s="3382"/>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89"/>
      <c r="M30" s="2484"/>
      <c r="N30" s="2484"/>
      <c r="O30" s="2484"/>
      <c r="P30" s="3380"/>
      <c r="Q30" s="1262">
        <f t="shared" si="11"/>
        <v>111</v>
      </c>
      <c r="R30" s="666" t="s">
        <v>18</v>
      </c>
      <c r="S30" s="667">
        <f t="shared" si="12"/>
        <v>100</v>
      </c>
      <c r="T30" s="666" t="s">
        <v>18</v>
      </c>
      <c r="U30" s="667">
        <f t="shared" si="13"/>
        <v>100</v>
      </c>
      <c r="V30" s="666" t="s">
        <v>18</v>
      </c>
      <c r="W30" s="667">
        <f t="shared" si="14"/>
        <v>100</v>
      </c>
      <c r="X30" s="1264"/>
      <c r="Y30" s="3382"/>
      <c r="Z30" s="1263">
        <f t="shared" si="18"/>
        <v>111</v>
      </c>
      <c r="AA30" s="1263">
        <f t="shared" si="15"/>
        <v>1</v>
      </c>
      <c r="AB30" s="1263">
        <f t="shared" si="16"/>
        <v>1</v>
      </c>
      <c r="AC30" s="1263">
        <f t="shared" si="17"/>
        <v>1</v>
      </c>
    </row>
    <row r="31" spans="1:29" ht="15.75"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89"/>
      <c r="M31" s="2484"/>
      <c r="N31" s="2484"/>
      <c r="O31" s="2484"/>
      <c r="P31" s="3380"/>
      <c r="Q31" s="1262">
        <f t="shared" si="11"/>
        <v>111</v>
      </c>
      <c r="R31" s="666" t="s">
        <v>18</v>
      </c>
      <c r="S31" s="667">
        <f t="shared" si="12"/>
        <v>100</v>
      </c>
      <c r="T31" s="666" t="s">
        <v>18</v>
      </c>
      <c r="U31" s="667">
        <f t="shared" si="13"/>
        <v>100</v>
      </c>
      <c r="V31" s="666" t="s">
        <v>18</v>
      </c>
      <c r="W31" s="667">
        <f t="shared" si="14"/>
        <v>100</v>
      </c>
      <c r="X31" s="1264"/>
      <c r="Y31" s="3382"/>
      <c r="Z31" s="1263">
        <f t="shared" si="18"/>
        <v>111</v>
      </c>
      <c r="AA31" s="1263">
        <f t="shared" si="15"/>
        <v>1</v>
      </c>
      <c r="AB31" s="1263">
        <f t="shared" si="16"/>
        <v>1</v>
      </c>
      <c r="AC31" s="1263">
        <f t="shared" si="17"/>
        <v>1</v>
      </c>
    </row>
    <row r="32" spans="1:29" ht="15">
      <c r="A32" s="378" t="s">
        <v>1692</v>
      </c>
      <c r="B32" s="60" t="s">
        <v>1693</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89"/>
      <c r="M32" s="2484"/>
      <c r="N32" s="2484"/>
      <c r="O32" s="2484"/>
      <c r="P32" s="3383" t="s">
        <v>1694</v>
      </c>
      <c r="Q32" s="1262" t="str">
        <f t="shared" si="11"/>
        <v>建筑类型</v>
      </c>
      <c r="R32" s="666" t="s">
        <v>18</v>
      </c>
      <c r="S32" s="667">
        <f t="shared" si="12"/>
        <v>100</v>
      </c>
      <c r="T32" s="666" t="s">
        <v>18</v>
      </c>
      <c r="U32" s="667">
        <f t="shared" si="13"/>
        <v>100</v>
      </c>
      <c r="V32" s="666" t="s">
        <v>18</v>
      </c>
      <c r="W32" s="667">
        <f t="shared" si="14"/>
        <v>100</v>
      </c>
      <c r="X32" s="1264"/>
      <c r="Y32" s="3386" t="s">
        <v>1694</v>
      </c>
      <c r="Z32" s="1263" t="str">
        <f t="shared" si="18"/>
        <v>建筑类型</v>
      </c>
      <c r="AA32" s="1263">
        <f t="shared" si="15"/>
        <v>1</v>
      </c>
      <c r="AB32" s="1263">
        <f t="shared" si="16"/>
        <v>1</v>
      </c>
      <c r="AC32" s="1263">
        <f t="shared" si="17"/>
        <v>1</v>
      </c>
    </row>
    <row r="33" spans="1:29" s="407" customFormat="1" ht="15">
      <c r="A33" s="405"/>
      <c r="B33" s="363" t="s">
        <v>1695</v>
      </c>
      <c r="C33" s="406"/>
      <c r="D33" s="119">
        <v>100</v>
      </c>
      <c r="E33" s="368"/>
      <c r="F33" s="363" t="e">
        <f>LOOKUP(E33,103:103,104:104)-LOOKUP(C33,103:103,104:104)+100</f>
        <v>#N/A</v>
      </c>
      <c r="G33" s="367"/>
      <c r="H33" s="119" t="e">
        <f>LOOKUP(G33,103:103,104:104)-LOOKUP(C33,103:103,104:104)+100</f>
        <v>#N/A</v>
      </c>
      <c r="I33" s="368"/>
      <c r="J33" s="119" t="e">
        <f>LOOKUP(I33,103:103,104:104)-LOOKUP(C33,103:103,104:104)+100</f>
        <v>#N/A</v>
      </c>
      <c r="K33" s="1747"/>
      <c r="L33" s="2488"/>
      <c r="M33" s="2490"/>
      <c r="N33" s="2490"/>
      <c r="O33" s="2490"/>
      <c r="P33" s="3384"/>
      <c r="Q33" s="530" t="str">
        <f t="shared" si="11"/>
        <v>项目建筑规模</v>
      </c>
      <c r="R33" s="668" t="s">
        <v>18</v>
      </c>
      <c r="S33" s="669" t="e">
        <f t="shared" si="12"/>
        <v>#N/A</v>
      </c>
      <c r="T33" s="668" t="s">
        <v>18</v>
      </c>
      <c r="U33" s="669" t="e">
        <f t="shared" si="13"/>
        <v>#N/A</v>
      </c>
      <c r="V33" s="668" t="s">
        <v>18</v>
      </c>
      <c r="W33" s="669" t="e">
        <f t="shared" si="14"/>
        <v>#N/A</v>
      </c>
      <c r="X33" s="670"/>
      <c r="Y33" s="3386"/>
      <c r="Z33" s="671" t="str">
        <f t="shared" si="18"/>
        <v>项目建筑规模</v>
      </c>
      <c r="AA33" s="1263" t="e">
        <f t="shared" si="15"/>
        <v>#N/A</v>
      </c>
      <c r="AB33" s="1263" t="e">
        <f t="shared" si="16"/>
        <v>#N/A</v>
      </c>
      <c r="AC33" s="1263" t="e">
        <f t="shared" si="17"/>
        <v>#N/A</v>
      </c>
    </row>
    <row r="34" spans="1:29" ht="15">
      <c r="A34" s="408"/>
      <c r="B34" s="363" t="s">
        <v>1696</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89"/>
      <c r="M34" s="2484"/>
      <c r="N34" s="2484"/>
      <c r="O34" s="2484"/>
      <c r="P34" s="3384"/>
      <c r="Q34" s="1262" t="str">
        <f t="shared" si="11"/>
        <v>建筑结构</v>
      </c>
      <c r="R34" s="666" t="s">
        <v>18</v>
      </c>
      <c r="S34" s="667">
        <f t="shared" si="12"/>
        <v>100</v>
      </c>
      <c r="T34" s="666" t="s">
        <v>18</v>
      </c>
      <c r="U34" s="667">
        <f t="shared" si="13"/>
        <v>100</v>
      </c>
      <c r="V34" s="666" t="s">
        <v>18</v>
      </c>
      <c r="W34" s="667">
        <f t="shared" si="14"/>
        <v>100</v>
      </c>
      <c r="X34" s="1264"/>
      <c r="Y34" s="3386"/>
      <c r="Z34" s="1263" t="str">
        <f t="shared" si="18"/>
        <v>建筑结构</v>
      </c>
      <c r="AA34" s="1263">
        <f t="shared" si="15"/>
        <v>1</v>
      </c>
      <c r="AB34" s="1263">
        <f t="shared" si="16"/>
        <v>1</v>
      </c>
      <c r="AC34" s="1263">
        <f t="shared" si="17"/>
        <v>1</v>
      </c>
    </row>
    <row r="35" spans="1:29" ht="15">
      <c r="A35" s="408"/>
      <c r="B35" s="363" t="s">
        <v>1697</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89"/>
      <c r="M35" s="2484"/>
      <c r="N35" s="2484"/>
      <c r="O35" s="2484"/>
      <c r="P35" s="3384"/>
      <c r="Q35" s="1262" t="str">
        <f t="shared" si="11"/>
        <v>建筑品质</v>
      </c>
      <c r="R35" s="666" t="s">
        <v>18</v>
      </c>
      <c r="S35" s="667">
        <f t="shared" si="12"/>
        <v>100</v>
      </c>
      <c r="T35" s="666" t="s">
        <v>18</v>
      </c>
      <c r="U35" s="667">
        <f t="shared" si="13"/>
        <v>100</v>
      </c>
      <c r="V35" s="666" t="s">
        <v>18</v>
      </c>
      <c r="W35" s="667">
        <f t="shared" si="14"/>
        <v>100</v>
      </c>
      <c r="X35" s="1264"/>
      <c r="Y35" s="3386"/>
      <c r="Z35" s="1263" t="str">
        <f t="shared" si="18"/>
        <v>建筑品质</v>
      </c>
      <c r="AA35" s="1263">
        <f t="shared" si="15"/>
        <v>1</v>
      </c>
      <c r="AB35" s="1263">
        <f t="shared" si="16"/>
        <v>1</v>
      </c>
      <c r="AC35" s="1263">
        <f t="shared" si="17"/>
        <v>1</v>
      </c>
    </row>
    <row r="36" spans="1:29" ht="15">
      <c r="A36" s="408"/>
      <c r="B36" s="363" t="s">
        <v>1698</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89"/>
      <c r="M36" s="2484"/>
      <c r="N36" s="2484"/>
      <c r="O36" s="2484"/>
      <c r="P36" s="3384"/>
      <c r="Q36" s="1262" t="str">
        <f t="shared" si="11"/>
        <v>公共部分装修</v>
      </c>
      <c r="R36" s="666" t="s">
        <v>18</v>
      </c>
      <c r="S36" s="667">
        <f t="shared" si="12"/>
        <v>100</v>
      </c>
      <c r="T36" s="666" t="s">
        <v>18</v>
      </c>
      <c r="U36" s="667">
        <f t="shared" si="13"/>
        <v>100</v>
      </c>
      <c r="V36" s="666" t="s">
        <v>18</v>
      </c>
      <c r="W36" s="667">
        <f t="shared" si="14"/>
        <v>100</v>
      </c>
      <c r="X36" s="1264"/>
      <c r="Y36" s="3386"/>
      <c r="Z36" s="1263" t="str">
        <f t="shared" si="18"/>
        <v>公共部分装修</v>
      </c>
      <c r="AA36" s="1263">
        <f t="shared" si="15"/>
        <v>1</v>
      </c>
      <c r="AB36" s="1263">
        <f t="shared" si="16"/>
        <v>1</v>
      </c>
      <c r="AC36" s="1263">
        <f t="shared" si="17"/>
        <v>1</v>
      </c>
    </row>
    <row r="37" spans="1:29" s="102" customFormat="1" ht="15">
      <c r="A37" s="409"/>
      <c r="B37" s="363" t="s">
        <v>1699</v>
      </c>
      <c r="C37" s="410"/>
      <c r="D37" s="119">
        <v>100</v>
      </c>
      <c r="E37" s="410"/>
      <c r="F37" s="363" t="e">
        <f>LOOKUP(E37,112:112,113:113)-LOOKUP(C37,112:112,113:113)+100</f>
        <v>#N/A</v>
      </c>
      <c r="G37" s="412"/>
      <c r="H37" s="119" t="e">
        <f>LOOKUP(G37,112:112,113:113)-LOOKUP(C37,112:112,113:113)+100</f>
        <v>#N/A</v>
      </c>
      <c r="I37" s="411"/>
      <c r="J37" s="119" t="e">
        <f>LOOKUP(I37,112:112,113:113)-LOOKUP(C37,112:112,113:113)+100</f>
        <v>#N/A</v>
      </c>
      <c r="K37" s="364"/>
      <c r="L37" s="2485"/>
      <c r="M37" s="2436"/>
      <c r="N37" s="2436"/>
      <c r="O37" s="2436"/>
      <c r="P37" s="3384"/>
      <c r="Q37" s="529" t="str">
        <f t="shared" si="11"/>
        <v>成新度</v>
      </c>
      <c r="R37" s="663" t="s">
        <v>18</v>
      </c>
      <c r="S37" s="664" t="e">
        <f t="shared" si="12"/>
        <v>#N/A</v>
      </c>
      <c r="T37" s="663" t="s">
        <v>18</v>
      </c>
      <c r="U37" s="664" t="e">
        <f t="shared" si="13"/>
        <v>#N/A</v>
      </c>
      <c r="V37" s="663" t="s">
        <v>18</v>
      </c>
      <c r="W37" s="664" t="e">
        <f t="shared" si="14"/>
        <v>#N/A</v>
      </c>
      <c r="X37" s="665"/>
      <c r="Y37" s="3386"/>
      <c r="Z37" s="50" t="str">
        <f t="shared" si="18"/>
        <v>成新度</v>
      </c>
      <c r="AA37" s="50" t="e">
        <f t="shared" si="15"/>
        <v>#N/A</v>
      </c>
      <c r="AB37" s="50" t="e">
        <f t="shared" si="16"/>
        <v>#N/A</v>
      </c>
      <c r="AC37" s="50" t="e">
        <f t="shared" si="17"/>
        <v>#N/A</v>
      </c>
    </row>
    <row r="38" spans="1:29" ht="15">
      <c r="A38" s="408"/>
      <c r="B38" s="363" t="s">
        <v>1700</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89"/>
      <c r="M38" s="2484"/>
      <c r="N38" s="2484"/>
      <c r="O38" s="2484"/>
      <c r="P38" s="3384" t="s">
        <v>1694</v>
      </c>
      <c r="Q38" s="1262" t="str">
        <f t="shared" si="11"/>
        <v>物业管理</v>
      </c>
      <c r="R38" s="666" t="s">
        <v>18</v>
      </c>
      <c r="S38" s="667">
        <f t="shared" si="12"/>
        <v>100</v>
      </c>
      <c r="T38" s="666" t="s">
        <v>18</v>
      </c>
      <c r="U38" s="667">
        <f t="shared" si="13"/>
        <v>100</v>
      </c>
      <c r="V38" s="666" t="s">
        <v>18</v>
      </c>
      <c r="W38" s="667">
        <f t="shared" si="14"/>
        <v>100</v>
      </c>
      <c r="X38" s="1264"/>
      <c r="Y38" s="3386" t="s">
        <v>1694</v>
      </c>
      <c r="Z38" s="1263" t="str">
        <f t="shared" si="18"/>
        <v>物业管理</v>
      </c>
      <c r="AA38" s="1263">
        <f t="shared" si="15"/>
        <v>1</v>
      </c>
      <c r="AB38" s="1263">
        <f t="shared" si="16"/>
        <v>1</v>
      </c>
      <c r="AC38" s="1263">
        <f t="shared" si="17"/>
        <v>1</v>
      </c>
    </row>
    <row r="39" spans="1:29" ht="15">
      <c r="A39" s="408"/>
      <c r="B39" s="363" t="s">
        <v>1701</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89"/>
      <c r="M39" s="2484"/>
      <c r="N39" s="2484"/>
      <c r="O39" s="2484"/>
      <c r="P39" s="3384"/>
      <c r="Q39" s="1262" t="str">
        <f t="shared" si="11"/>
        <v>市政基础设施</v>
      </c>
      <c r="R39" s="666" t="s">
        <v>18</v>
      </c>
      <c r="S39" s="667">
        <f t="shared" si="12"/>
        <v>100</v>
      </c>
      <c r="T39" s="666" t="s">
        <v>18</v>
      </c>
      <c r="U39" s="667">
        <f t="shared" si="13"/>
        <v>100</v>
      </c>
      <c r="V39" s="666" t="s">
        <v>18</v>
      </c>
      <c r="W39" s="667">
        <f t="shared" si="14"/>
        <v>100</v>
      </c>
      <c r="X39" s="1264"/>
      <c r="Y39" s="3386"/>
      <c r="Z39" s="1263" t="str">
        <f t="shared" si="18"/>
        <v>市政基础设施</v>
      </c>
      <c r="AA39" s="1263">
        <f t="shared" si="15"/>
        <v>1</v>
      </c>
      <c r="AB39" s="1263">
        <f t="shared" si="16"/>
        <v>1</v>
      </c>
      <c r="AC39" s="1263">
        <f t="shared" si="17"/>
        <v>1</v>
      </c>
    </row>
    <row r="40" spans="1:29" ht="15">
      <c r="A40" s="408"/>
      <c r="B40" s="363" t="s">
        <v>1702</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89"/>
      <c r="M40" s="2484"/>
      <c r="N40" s="2484"/>
      <c r="O40" s="2484"/>
      <c r="P40" s="3384"/>
      <c r="Q40" s="1262" t="str">
        <f t="shared" si="11"/>
        <v>房型</v>
      </c>
      <c r="R40" s="666" t="s">
        <v>18</v>
      </c>
      <c r="S40" s="667">
        <f t="shared" si="12"/>
        <v>100</v>
      </c>
      <c r="T40" s="666" t="s">
        <v>18</v>
      </c>
      <c r="U40" s="667">
        <f t="shared" si="13"/>
        <v>100</v>
      </c>
      <c r="V40" s="666" t="s">
        <v>18</v>
      </c>
      <c r="W40" s="667">
        <f t="shared" si="14"/>
        <v>100</v>
      </c>
      <c r="X40" s="1264"/>
      <c r="Y40" s="3386"/>
      <c r="Z40" s="1263" t="str">
        <f t="shared" si="18"/>
        <v>房型</v>
      </c>
      <c r="AA40" s="1263">
        <f t="shared" si="15"/>
        <v>1</v>
      </c>
      <c r="AB40" s="1263">
        <f t="shared" si="16"/>
        <v>1</v>
      </c>
      <c r="AC40" s="1263">
        <f t="shared" si="17"/>
        <v>1</v>
      </c>
    </row>
    <row r="41" spans="1:29" s="407" customFormat="1" ht="28.5">
      <c r="A41" s="405"/>
      <c r="B41" s="363" t="s">
        <v>1703</v>
      </c>
      <c r="C41" s="406"/>
      <c r="D41" s="119">
        <v>100</v>
      </c>
      <c r="E41" s="368"/>
      <c r="F41" s="363">
        <f>SUMIF(120:120,E41,121:121)-SUMIF(120:120,C41,121:121)+100</f>
        <v>100</v>
      </c>
      <c r="G41" s="367"/>
      <c r="H41" s="119">
        <f>SUMIF(120:120,G41,121:121)-SUMIF(120:120,C41,121:121)+100</f>
        <v>100</v>
      </c>
      <c r="I41" s="413"/>
      <c r="J41" s="373">
        <f>SUMIF(120:120,I41,121:121)-SUMIF(120:120,C41,121:121)+100</f>
        <v>100</v>
      </c>
      <c r="K41" s="1747"/>
      <c r="L41" s="2488"/>
      <c r="M41" s="2490"/>
      <c r="N41" s="2490"/>
      <c r="O41" s="2490"/>
      <c r="P41" s="3384"/>
      <c r="Q41" s="530" t="str">
        <f t="shared" si="11"/>
        <v>单套/主力户型建筑面积</v>
      </c>
      <c r="R41" s="668" t="s">
        <v>18</v>
      </c>
      <c r="S41" s="669">
        <f t="shared" si="12"/>
        <v>100</v>
      </c>
      <c r="T41" s="668" t="s">
        <v>18</v>
      </c>
      <c r="U41" s="669">
        <f t="shared" si="13"/>
        <v>100</v>
      </c>
      <c r="V41" s="668" t="s">
        <v>18</v>
      </c>
      <c r="W41" s="669">
        <f t="shared" si="14"/>
        <v>100</v>
      </c>
      <c r="X41" s="670"/>
      <c r="Y41" s="3386"/>
      <c r="Z41" s="671" t="str">
        <f t="shared" si="18"/>
        <v>单套/主力户型建筑面积</v>
      </c>
      <c r="AA41" s="1263">
        <f t="shared" si="15"/>
        <v>1</v>
      </c>
      <c r="AB41" s="1263">
        <f t="shared" si="16"/>
        <v>1</v>
      </c>
      <c r="AC41" s="1263">
        <f t="shared" si="17"/>
        <v>1</v>
      </c>
    </row>
    <row r="42" spans="1:29" ht="15">
      <c r="A42" s="408"/>
      <c r="B42" s="363" t="s">
        <v>1704</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89"/>
      <c r="M42" s="2484"/>
      <c r="N42" s="2484"/>
      <c r="O42" s="2484"/>
      <c r="P42" s="3384"/>
      <c r="Q42" s="1262" t="str">
        <f t="shared" si="11"/>
        <v>内部装修</v>
      </c>
      <c r="R42" s="666" t="s">
        <v>18</v>
      </c>
      <c r="S42" s="667">
        <f t="shared" si="12"/>
        <v>100</v>
      </c>
      <c r="T42" s="666" t="s">
        <v>18</v>
      </c>
      <c r="U42" s="667">
        <f t="shared" si="13"/>
        <v>100</v>
      </c>
      <c r="V42" s="666" t="s">
        <v>18</v>
      </c>
      <c r="W42" s="667">
        <f t="shared" si="14"/>
        <v>100</v>
      </c>
      <c r="X42" s="1264"/>
      <c r="Y42" s="3386"/>
      <c r="Z42" s="1263" t="str">
        <f t="shared" si="18"/>
        <v>内部装修</v>
      </c>
      <c r="AA42" s="1263">
        <f t="shared" si="15"/>
        <v>1</v>
      </c>
      <c r="AB42" s="1263">
        <f t="shared" si="16"/>
        <v>1</v>
      </c>
      <c r="AC42" s="1263">
        <f t="shared" si="17"/>
        <v>1</v>
      </c>
    </row>
    <row r="43" spans="1:29" ht="15">
      <c r="A43" s="408"/>
      <c r="B43" s="363" t="s">
        <v>1705</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89"/>
      <c r="M43" s="2484"/>
      <c r="N43" s="2484"/>
      <c r="O43" s="2484"/>
      <c r="P43" s="3384"/>
      <c r="Q43" s="1262" t="str">
        <f t="shared" si="11"/>
        <v>内部装修维护情况</v>
      </c>
      <c r="R43" s="666" t="s">
        <v>18</v>
      </c>
      <c r="S43" s="667">
        <f t="shared" si="12"/>
        <v>100</v>
      </c>
      <c r="T43" s="666" t="s">
        <v>18</v>
      </c>
      <c r="U43" s="667">
        <f t="shared" si="13"/>
        <v>100</v>
      </c>
      <c r="V43" s="666" t="s">
        <v>18</v>
      </c>
      <c r="W43" s="667">
        <f t="shared" si="14"/>
        <v>100</v>
      </c>
      <c r="X43" s="1264"/>
      <c r="Y43" s="3386"/>
      <c r="Z43" s="1263" t="str">
        <f t="shared" si="18"/>
        <v>内部装修维护情况</v>
      </c>
      <c r="AA43" s="1263">
        <f t="shared" si="15"/>
        <v>1</v>
      </c>
      <c r="AB43" s="1263">
        <f t="shared" si="16"/>
        <v>1</v>
      </c>
      <c r="AC43" s="1263">
        <f t="shared" si="17"/>
        <v>1</v>
      </c>
    </row>
    <row r="44" spans="1:29" s="102" customFormat="1" ht="15">
      <c r="A44" s="409"/>
      <c r="B44" s="1065">
        <v>111</v>
      </c>
      <c r="C44" s="406"/>
      <c r="D44" s="119">
        <v>100</v>
      </c>
      <c r="E44" s="406"/>
      <c r="F44" s="363">
        <f>SUMIF(126:126,E44,127:127)-SUMIF(126:126,C44,127:127)+100</f>
        <v>100</v>
      </c>
      <c r="G44" s="406"/>
      <c r="H44" s="119">
        <f>SUMIF(126:126,G44,127:127)-SUMIF(126:126,C44,127:127)+100</f>
        <v>100</v>
      </c>
      <c r="I44" s="406"/>
      <c r="J44" s="119">
        <f>SUMIF(126:126,I44,127:127)-SUMIF(126:126,C44,127:127)+100</f>
        <v>100</v>
      </c>
      <c r="K44" s="1747"/>
      <c r="L44" s="2485"/>
      <c r="M44" s="2436"/>
      <c r="N44" s="2436"/>
      <c r="O44" s="2436"/>
      <c r="P44" s="3384"/>
      <c r="Q44" s="529">
        <f t="shared" si="11"/>
        <v>111</v>
      </c>
      <c r="R44" s="663" t="s">
        <v>18</v>
      </c>
      <c r="S44" s="664">
        <f t="shared" si="12"/>
        <v>100</v>
      </c>
      <c r="T44" s="663" t="s">
        <v>18</v>
      </c>
      <c r="U44" s="664">
        <f t="shared" si="13"/>
        <v>100</v>
      </c>
      <c r="V44" s="663" t="s">
        <v>18</v>
      </c>
      <c r="W44" s="664">
        <f t="shared" si="14"/>
        <v>100</v>
      </c>
      <c r="X44" s="665"/>
      <c r="Y44" s="3386"/>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89"/>
      <c r="M45" s="2484"/>
      <c r="N45" s="2484"/>
      <c r="O45" s="2484"/>
      <c r="P45" s="3384"/>
      <c r="Q45" s="1262">
        <f t="shared" si="11"/>
        <v>111</v>
      </c>
      <c r="R45" s="666" t="s">
        <v>18</v>
      </c>
      <c r="S45" s="667">
        <f t="shared" si="12"/>
        <v>100</v>
      </c>
      <c r="T45" s="666" t="s">
        <v>18</v>
      </c>
      <c r="U45" s="667">
        <f t="shared" si="13"/>
        <v>100</v>
      </c>
      <c r="V45" s="666" t="s">
        <v>18</v>
      </c>
      <c r="W45" s="667">
        <f t="shared" si="14"/>
        <v>100</v>
      </c>
      <c r="X45" s="1264"/>
      <c r="Y45" s="3386"/>
      <c r="Z45" s="1263">
        <f t="shared" si="18"/>
        <v>111</v>
      </c>
      <c r="AA45" s="1263">
        <f t="shared" si="15"/>
        <v>1</v>
      </c>
      <c r="AB45" s="1263">
        <f t="shared" si="16"/>
        <v>1</v>
      </c>
      <c r="AC45" s="1263">
        <f t="shared" si="17"/>
        <v>1</v>
      </c>
    </row>
    <row r="46" spans="1:29" ht="15.75"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89"/>
      <c r="M46" s="2484"/>
      <c r="N46" s="2484"/>
      <c r="O46" s="2484"/>
      <c r="P46" s="3385"/>
      <c r="Q46" s="1262">
        <f t="shared" si="11"/>
        <v>111</v>
      </c>
      <c r="R46" s="666" t="s">
        <v>17</v>
      </c>
      <c r="S46" s="667">
        <f t="shared" si="12"/>
        <v>100</v>
      </c>
      <c r="T46" s="666" t="s">
        <v>17</v>
      </c>
      <c r="U46" s="667">
        <f t="shared" si="13"/>
        <v>100</v>
      </c>
      <c r="V46" s="666" t="s">
        <v>17</v>
      </c>
      <c r="W46" s="667">
        <f t="shared" si="14"/>
        <v>100</v>
      </c>
      <c r="X46" s="1264"/>
      <c r="Y46" s="3387"/>
      <c r="Z46" s="1263">
        <f t="shared" si="18"/>
        <v>111</v>
      </c>
      <c r="AA46" s="1263">
        <f t="shared" si="15"/>
        <v>1</v>
      </c>
      <c r="AB46" s="1263">
        <f t="shared" si="16"/>
        <v>1</v>
      </c>
      <c r="AC46" s="1263">
        <f t="shared" si="17"/>
        <v>1</v>
      </c>
    </row>
    <row r="47" spans="1:29" ht="15">
      <c r="A47" s="415" t="s">
        <v>1706</v>
      </c>
      <c r="B47" s="416"/>
      <c r="C47" s="1080" t="s">
        <v>16</v>
      </c>
      <c r="D47" s="417"/>
      <c r="E47" s="418"/>
      <c r="F47" s="419"/>
      <c r="G47" s="420"/>
      <c r="H47" s="421"/>
      <c r="I47" s="418"/>
      <c r="J47" s="421"/>
      <c r="K47" s="1766"/>
      <c r="L47" s="2491"/>
      <c r="M47" s="2484"/>
      <c r="N47" s="2484"/>
      <c r="O47" s="2484"/>
      <c r="P47" s="3374" t="str">
        <f>A47</f>
        <v>成交单价（元/平方米）</v>
      </c>
      <c r="Q47" s="3374"/>
      <c r="R47" s="3375">
        <f>E47</f>
        <v>0</v>
      </c>
      <c r="S47" s="3375"/>
      <c r="T47" s="3375">
        <f>G47</f>
        <v>0</v>
      </c>
      <c r="U47" s="3375"/>
      <c r="V47" s="3375">
        <f>I47</f>
        <v>0</v>
      </c>
      <c r="W47" s="3375"/>
      <c r="X47" s="384"/>
      <c r="Y47" s="672"/>
      <c r="Z47" s="384"/>
      <c r="AA47" s="384"/>
      <c r="AB47" s="384"/>
      <c r="AC47" s="384"/>
    </row>
    <row r="48" spans="1:29" ht="15.75" thickBot="1">
      <c r="A48" s="422" t="s">
        <v>1707</v>
      </c>
      <c r="B48" s="423"/>
      <c r="C48" s="1081" t="e">
        <f>R49</f>
        <v>#DIV/0!</v>
      </c>
      <c r="D48" s="2139" t="s">
        <v>2134</v>
      </c>
      <c r="E48" s="1082" t="e">
        <f>R48</f>
        <v>#DIV/0!</v>
      </c>
      <c r="F48" s="2140"/>
      <c r="G48" s="1081" t="e">
        <f>T48</f>
        <v>#DIV/0!</v>
      </c>
      <c r="H48" s="2140"/>
      <c r="I48" s="1082" t="e">
        <f>V48</f>
        <v>#DIV/0!</v>
      </c>
      <c r="J48" s="2140"/>
      <c r="K48" s="2141">
        <f>F48+H48+J48</f>
        <v>0</v>
      </c>
      <c r="L48" s="2491"/>
      <c r="M48" s="2484"/>
      <c r="N48" s="2484"/>
      <c r="O48" s="2484"/>
      <c r="P48" s="3374" t="str">
        <f>A48</f>
        <v>比较价值（元/平方米）</v>
      </c>
      <c r="Q48" s="3374"/>
      <c r="R48" s="3375" t="e">
        <f>IF(F1="售价",ROUND(PRODUCT(R47,AA7:AA46),0),ROUND(PRODUCT(R47,AA7:AA46),1))</f>
        <v>#DIV/0!</v>
      </c>
      <c r="S48" s="3375"/>
      <c r="T48" s="3375" t="e">
        <f>IF(F1="售价",ROUND(PRODUCT(T47,AB7:AB46),0),ROUND(PRODUCT(T47,AB7:AB46),1))</f>
        <v>#DIV/0!</v>
      </c>
      <c r="U48" s="3375"/>
      <c r="V48" s="3375" t="e">
        <f>IF(F1="售价",ROUND(PRODUCT(V47,AC7:AC46),0),ROUND(PRODUCT(V47,AC7:AC46),1))</f>
        <v>#DIV/0!</v>
      </c>
      <c r="W48" s="3375"/>
      <c r="X48" s="384"/>
      <c r="Y48" s="384"/>
      <c r="Z48" s="384"/>
      <c r="AA48" s="384"/>
      <c r="AB48" s="384"/>
      <c r="AC48" s="384"/>
    </row>
    <row r="49" spans="1:29" ht="15.75" thickBot="1">
      <c r="A49" s="426" t="s">
        <v>1708</v>
      </c>
      <c r="B49" s="427"/>
      <c r="C49" s="1083" t="e">
        <f>R49</f>
        <v>#DIV/0!</v>
      </c>
      <c r="D49" s="350"/>
      <c r="E49" s="350"/>
      <c r="F49" s="350"/>
      <c r="G49" s="350"/>
      <c r="H49" s="350"/>
      <c r="I49" s="350"/>
      <c r="J49" s="350"/>
      <c r="K49" s="1767"/>
      <c r="L49" s="2491"/>
      <c r="M49" s="2484"/>
      <c r="N49" s="2484"/>
      <c r="O49" s="2484"/>
      <c r="P49" s="3376" t="str">
        <f>A49</f>
        <v>估价对象XX用房的比较价值（楼面单价，元/平方米）</v>
      </c>
      <c r="Q49" s="3377"/>
      <c r="R49" s="3378" t="e">
        <f>IF(F1="售价",ROUND(IF(D48="简单平均",AVERAGE(R48:V48),R48*F48+T48*H48+V48*J48),0),ROUND(IF(D48="简单平均",AVERAGE(R48:V48),R48*F48+T48*H48+V48*J48),1))</f>
        <v>#DIV/0!</v>
      </c>
      <c r="S49" s="3378"/>
      <c r="T49" s="3378"/>
      <c r="U49" s="3378"/>
      <c r="V49" s="3378"/>
      <c r="W49" s="3378"/>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1" t="s">
        <v>1709</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6"/>
      <c r="L52" s="2492"/>
      <c r="M52" s="2484"/>
      <c r="N52" s="2484"/>
      <c r="O52" s="2484"/>
    </row>
    <row r="53" spans="1:29" ht="13.5" customHeight="1">
      <c r="A53" s="2484"/>
      <c r="B53" s="2484"/>
      <c r="C53" s="431" t="s">
        <v>1710</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6"/>
      <c r="L53" s="2492"/>
      <c r="M53" s="2484"/>
      <c r="N53" s="2484"/>
      <c r="O53" s="2484"/>
    </row>
    <row r="54" spans="1:29" s="436" customFormat="1" ht="13.5" customHeight="1">
      <c r="A54" s="2494"/>
      <c r="B54" s="2494"/>
      <c r="C54" s="431" t="s">
        <v>1711</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9"/>
      <c r="L54" s="2493"/>
      <c r="M54" s="2494"/>
      <c r="N54" s="2494"/>
      <c r="O54" s="2494"/>
      <c r="P54" s="1769"/>
    </row>
    <row r="55" spans="1:29" s="436" customFormat="1">
      <c r="A55" s="2494"/>
      <c r="B55" s="2497"/>
      <c r="C55" s="2498"/>
      <c r="D55" s="2494"/>
      <c r="E55" s="2494"/>
      <c r="F55" s="2494"/>
      <c r="G55" s="2494"/>
      <c r="H55" s="2494"/>
      <c r="I55" s="2494"/>
      <c r="J55" s="2494"/>
      <c r="K55" s="2499"/>
      <c r="L55" s="2493"/>
      <c r="M55" s="2494"/>
      <c r="N55" s="2494"/>
      <c r="O55" s="2494"/>
      <c r="P55" s="1769"/>
    </row>
    <row r="56" spans="1:29">
      <c r="A56" s="2484"/>
      <c r="B56" s="2497"/>
      <c r="C56" s="2498"/>
      <c r="D56" s="2484"/>
      <c r="E56" s="2484"/>
      <c r="F56" s="2484"/>
      <c r="G56" s="2484"/>
      <c r="H56" s="2484"/>
      <c r="I56" s="2484"/>
      <c r="J56" s="2484"/>
      <c r="K56" s="2496"/>
      <c r="L56" s="2492"/>
      <c r="M56" s="2484"/>
      <c r="N56" s="2484"/>
      <c r="O56" s="2484"/>
    </row>
    <row r="57" spans="1:29" ht="21.75" thickBot="1">
      <c r="A57" s="657" t="s">
        <v>1712</v>
      </c>
      <c r="B57" s="384"/>
      <c r="C57" s="658"/>
      <c r="D57" s="658"/>
      <c r="E57" s="658"/>
      <c r="F57" s="659"/>
      <c r="G57" s="659"/>
      <c r="H57" s="658"/>
      <c r="I57" s="658"/>
      <c r="J57" s="658"/>
      <c r="K57" s="886"/>
      <c r="L57" s="887"/>
      <c r="M57" s="885"/>
      <c r="N57" s="885"/>
      <c r="O57" s="885"/>
      <c r="P57" s="1770"/>
      <c r="Q57" s="438"/>
    </row>
    <row r="58" spans="1:29" s="441" customFormat="1" ht="15">
      <c r="A58" s="439" t="s">
        <v>1713</v>
      </c>
      <c r="B58" s="440"/>
      <c r="C58" s="1104" t="str">
        <f>YEAR(C7)&amp;"-"&amp;MONTH(C7)</f>
        <v>2023-4</v>
      </c>
      <c r="D58" s="1103">
        <f>EDATE(C58,-1)</f>
        <v>44986</v>
      </c>
      <c r="E58" s="1103">
        <f>EDATE(D58,-1)</f>
        <v>44958</v>
      </c>
      <c r="F58" s="1103">
        <f t="shared" ref="F58:O58" si="19">EDATE(E58,-1)</f>
        <v>44927</v>
      </c>
      <c r="G58" s="1103">
        <f t="shared" si="19"/>
        <v>44896</v>
      </c>
      <c r="H58" s="1103">
        <f t="shared" si="19"/>
        <v>44866</v>
      </c>
      <c r="I58" s="1103">
        <f t="shared" si="19"/>
        <v>44835</v>
      </c>
      <c r="J58" s="1103">
        <f t="shared" si="19"/>
        <v>44805</v>
      </c>
      <c r="K58" s="1103">
        <f t="shared" si="19"/>
        <v>44774</v>
      </c>
      <c r="L58" s="1103">
        <f t="shared" si="19"/>
        <v>44743</v>
      </c>
      <c r="M58" s="1103">
        <f t="shared" si="19"/>
        <v>44713</v>
      </c>
      <c r="N58" s="1103">
        <f t="shared" si="19"/>
        <v>44682</v>
      </c>
      <c r="O58" s="1103">
        <f t="shared" si="19"/>
        <v>44652</v>
      </c>
      <c r="P58" s="1099"/>
    </row>
    <row r="59" spans="1:29" s="102" customFormat="1" ht="15">
      <c r="A59" s="442"/>
      <c r="B59" s="1771"/>
      <c r="C59" s="1101">
        <v>100</v>
      </c>
      <c r="D59" s="444"/>
      <c r="E59" s="445"/>
      <c r="F59" s="445"/>
      <c r="G59" s="445"/>
      <c r="H59" s="445"/>
      <c r="I59" s="445"/>
      <c r="J59" s="445"/>
      <c r="K59" s="445"/>
      <c r="L59" s="445"/>
      <c r="M59" s="446"/>
      <c r="N59" s="445"/>
      <c r="O59" s="446"/>
      <c r="P59" s="1772"/>
    </row>
    <row r="60" spans="1:29" s="102" customFormat="1" ht="15.75" thickBot="1">
      <c r="A60" s="448" t="s">
        <v>1714</v>
      </c>
      <c r="B60" s="449"/>
      <c r="C60" s="450"/>
      <c r="D60" s="451"/>
      <c r="E60" s="451"/>
      <c r="F60" s="451"/>
      <c r="G60" s="451"/>
      <c r="H60" s="451"/>
      <c r="I60" s="451"/>
      <c r="J60" s="451"/>
      <c r="K60" s="451"/>
      <c r="L60" s="451"/>
      <c r="M60" s="452"/>
      <c r="N60" s="451"/>
      <c r="O60" s="452"/>
      <c r="P60" s="1772"/>
      <c r="Q60" s="438"/>
    </row>
    <row r="61" spans="1:29" s="102" customFormat="1" ht="15">
      <c r="A61" s="454" t="s">
        <v>1715</v>
      </c>
      <c r="B61" s="443"/>
      <c r="C61" s="455" t="s">
        <v>1716</v>
      </c>
      <c r="D61" s="31"/>
      <c r="E61" s="31"/>
      <c r="F61" s="31"/>
      <c r="G61" s="31"/>
      <c r="H61" s="31"/>
      <c r="I61" s="31"/>
      <c r="J61" s="31"/>
      <c r="K61" s="31"/>
      <c r="L61" s="456"/>
      <c r="M61" s="457"/>
      <c r="N61" s="877"/>
      <c r="O61" s="877"/>
      <c r="P61" s="1773"/>
      <c r="Q61" s="438"/>
    </row>
    <row r="62" spans="1:29" s="102" customFormat="1" ht="15.75" thickBot="1">
      <c r="A62" s="454"/>
      <c r="B62" s="443"/>
      <c r="C62" s="444">
        <v>100</v>
      </c>
      <c r="D62" s="445"/>
      <c r="E62" s="445"/>
      <c r="F62" s="445"/>
      <c r="G62" s="445"/>
      <c r="H62" s="445"/>
      <c r="I62" s="445"/>
      <c r="J62" s="445"/>
      <c r="K62" s="445"/>
      <c r="L62" s="445"/>
      <c r="M62" s="447"/>
      <c r="N62" s="877"/>
      <c r="O62" s="877"/>
      <c r="P62" s="1772"/>
      <c r="Q62" s="438"/>
    </row>
    <row r="63" spans="1:29">
      <c r="A63" s="378" t="s">
        <v>1717</v>
      </c>
      <c r="B63" s="459" t="s">
        <v>1683</v>
      </c>
      <c r="C63" s="460">
        <f>C9</f>
        <v>0</v>
      </c>
      <c r="D63" s="461"/>
      <c r="E63" s="461"/>
      <c r="F63" s="461"/>
      <c r="G63" s="461"/>
      <c r="H63" s="461"/>
      <c r="I63" s="461"/>
      <c r="J63" s="461"/>
      <c r="K63" s="462"/>
      <c r="L63" s="463"/>
      <c r="M63" s="464"/>
      <c r="N63" s="878"/>
      <c r="O63" s="878"/>
      <c r="P63" s="1774"/>
      <c r="Q63" s="438"/>
    </row>
    <row r="64" spans="1:29" ht="15.75" thickBot="1">
      <c r="A64" s="366"/>
      <c r="B64" s="465"/>
      <c r="C64" s="466">
        <v>100</v>
      </c>
      <c r="D64" s="466"/>
      <c r="E64" s="466"/>
      <c r="F64" s="466"/>
      <c r="G64" s="466"/>
      <c r="H64" s="466"/>
      <c r="I64" s="466"/>
      <c r="J64" s="466"/>
      <c r="K64" s="466"/>
      <c r="L64" s="466"/>
      <c r="M64" s="467"/>
      <c r="N64" s="879"/>
      <c r="O64" s="879"/>
      <c r="P64" s="1774"/>
      <c r="Q64" s="438"/>
    </row>
    <row r="65" spans="1:17" ht="27.75" thickTop="1">
      <c r="A65" s="366"/>
      <c r="B65" s="468" t="s">
        <v>1686</v>
      </c>
      <c r="C65" s="512"/>
      <c r="D65" s="512"/>
      <c r="E65" s="512"/>
      <c r="F65" s="512"/>
      <c r="G65" s="512"/>
      <c r="H65" s="512"/>
      <c r="I65" s="512"/>
      <c r="J65" s="512"/>
      <c r="K65" s="512"/>
      <c r="L65" s="512"/>
      <c r="M65" s="512"/>
      <c r="N65" s="879"/>
      <c r="O65" s="879"/>
      <c r="P65" s="1774"/>
      <c r="Q65" s="438"/>
    </row>
    <row r="66" spans="1:17" ht="15.75" thickBot="1">
      <c r="A66" s="366"/>
      <c r="B66" s="473"/>
      <c r="C66" s="466"/>
      <c r="D66" s="466"/>
      <c r="E66" s="466"/>
      <c r="F66" s="466"/>
      <c r="G66" s="466"/>
      <c r="H66" s="466"/>
      <c r="I66" s="466"/>
      <c r="J66" s="466"/>
      <c r="K66" s="466"/>
      <c r="L66" s="466"/>
      <c r="M66" s="467"/>
      <c r="N66" s="879"/>
      <c r="O66" s="879"/>
      <c r="P66" s="1774"/>
      <c r="Q66" s="438"/>
    </row>
    <row r="67" spans="1:17" ht="15.75" thickTop="1">
      <c r="A67" s="366"/>
      <c r="B67" s="476" t="s">
        <v>1687</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ht="15">
      <c r="A68" s="366"/>
      <c r="B68" s="478"/>
      <c r="C68" s="479"/>
      <c r="D68" s="479"/>
      <c r="E68" s="479"/>
      <c r="F68" s="479"/>
      <c r="G68" s="479"/>
      <c r="H68" s="479"/>
      <c r="I68" s="479"/>
      <c r="J68" s="479"/>
      <c r="K68" s="480"/>
      <c r="L68" s="481"/>
      <c r="M68" s="482"/>
      <c r="N68" s="878"/>
      <c r="O68" s="878"/>
      <c r="P68" s="1774"/>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5.75" thickTop="1">
      <c r="A70" s="483"/>
      <c r="B70" s="468">
        <f>B12</f>
        <v>111</v>
      </c>
      <c r="C70" s="484"/>
      <c r="D70" s="484"/>
      <c r="E70" s="484"/>
      <c r="F70" s="484"/>
      <c r="G70" s="484"/>
      <c r="H70" s="485"/>
      <c r="I70" s="485"/>
      <c r="J70" s="485"/>
      <c r="K70" s="485"/>
      <c r="L70" s="486"/>
      <c r="M70" s="487"/>
      <c r="N70" s="880"/>
      <c r="O70" s="880"/>
      <c r="P70" s="1775"/>
      <c r="Q70" s="489"/>
    </row>
    <row r="71" spans="1:17" s="407" customFormat="1" ht="15.75" thickBot="1">
      <c r="A71" s="483"/>
      <c r="B71" s="473"/>
      <c r="C71" s="490"/>
      <c r="D71" s="466"/>
      <c r="E71" s="466"/>
      <c r="F71" s="466"/>
      <c r="G71" s="466"/>
      <c r="H71" s="466"/>
      <c r="I71" s="466"/>
      <c r="J71" s="466"/>
      <c r="K71" s="466"/>
      <c r="L71" s="466"/>
      <c r="M71" s="467"/>
      <c r="N71" s="879"/>
      <c r="O71" s="879"/>
      <c r="P71" s="1775"/>
      <c r="Q71" s="489"/>
    </row>
    <row r="72" spans="1:17" s="407" customFormat="1" ht="15.75" thickTop="1">
      <c r="A72" s="483"/>
      <c r="B72" s="468">
        <f>B13</f>
        <v>111</v>
      </c>
      <c r="C72" s="484"/>
      <c r="D72" s="484"/>
      <c r="E72" s="484"/>
      <c r="F72" s="484"/>
      <c r="G72" s="484"/>
      <c r="H72" s="485"/>
      <c r="I72" s="485"/>
      <c r="J72" s="485"/>
      <c r="K72" s="485"/>
      <c r="L72" s="486"/>
      <c r="M72" s="487"/>
      <c r="N72" s="880"/>
      <c r="O72" s="880"/>
      <c r="P72" s="1776"/>
      <c r="Q72" s="491"/>
    </row>
    <row r="73" spans="1:17" s="407" customFormat="1" ht="15.75" thickBot="1">
      <c r="A73" s="483"/>
      <c r="B73" s="473"/>
      <c r="C73" s="490"/>
      <c r="D73" s="490"/>
      <c r="E73" s="490"/>
      <c r="F73" s="490"/>
      <c r="G73" s="490"/>
      <c r="H73" s="492"/>
      <c r="I73" s="492"/>
      <c r="J73" s="492"/>
      <c r="K73" s="492"/>
      <c r="L73" s="492"/>
      <c r="M73" s="493"/>
      <c r="N73" s="880"/>
      <c r="O73" s="880"/>
      <c r="P73" s="1775"/>
      <c r="Q73" s="489"/>
    </row>
    <row r="74" spans="1:17" s="407" customFormat="1" ht="15.75" thickTop="1">
      <c r="A74" s="483"/>
      <c r="B74" s="476">
        <f>B14</f>
        <v>111</v>
      </c>
      <c r="C74" s="484"/>
      <c r="D74" s="484"/>
      <c r="E74" s="484"/>
      <c r="F74" s="484"/>
      <c r="G74" s="31"/>
      <c r="H74" s="494"/>
      <c r="I74" s="494"/>
      <c r="J74" s="494"/>
      <c r="K74" s="494"/>
      <c r="L74" s="495"/>
      <c r="M74" s="496"/>
      <c r="N74" s="880"/>
      <c r="O74" s="880"/>
      <c r="P74" s="1777"/>
      <c r="Q74" s="489"/>
    </row>
    <row r="75" spans="1:17" s="407" customFormat="1" ht="15.75" thickBot="1">
      <c r="A75" s="498"/>
      <c r="B75" s="499"/>
      <c r="C75" s="500"/>
      <c r="D75" s="500"/>
      <c r="E75" s="500"/>
      <c r="F75" s="500"/>
      <c r="G75" s="500"/>
      <c r="H75" s="501"/>
      <c r="I75" s="501"/>
      <c r="J75" s="501"/>
      <c r="K75" s="501"/>
      <c r="L75" s="501"/>
      <c r="M75" s="502"/>
      <c r="N75" s="880"/>
      <c r="O75" s="880"/>
      <c r="P75" s="1775"/>
      <c r="Q75" s="489"/>
    </row>
    <row r="76" spans="1:17">
      <c r="A76" s="378" t="s">
        <v>1688</v>
      </c>
      <c r="B76" s="459" t="s">
        <v>1718</v>
      </c>
      <c r="C76" s="503" t="s">
        <v>1719</v>
      </c>
      <c r="D76" s="503" t="s">
        <v>1720</v>
      </c>
      <c r="E76" s="503" t="s">
        <v>1721</v>
      </c>
      <c r="F76" s="503" t="s">
        <v>1722</v>
      </c>
      <c r="G76" s="503" t="s">
        <v>1723</v>
      </c>
      <c r="H76" s="460"/>
      <c r="I76" s="460"/>
      <c r="J76" s="460"/>
      <c r="K76" s="504"/>
      <c r="L76" s="505"/>
      <c r="M76" s="506"/>
      <c r="N76" s="878"/>
      <c r="O76" s="878"/>
      <c r="P76" s="177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75" thickTop="1">
      <c r="A78" s="366"/>
      <c r="B78" s="468" t="s">
        <v>1724</v>
      </c>
      <c r="C78" s="508" t="s">
        <v>1719</v>
      </c>
      <c r="D78" s="508" t="s">
        <v>1720</v>
      </c>
      <c r="E78" s="508" t="s">
        <v>1721</v>
      </c>
      <c r="F78" s="508" t="s">
        <v>1722</v>
      </c>
      <c r="G78" s="508" t="s">
        <v>1723</v>
      </c>
      <c r="H78" s="469"/>
      <c r="I78" s="469"/>
      <c r="J78" s="469"/>
      <c r="K78" s="470"/>
      <c r="L78" s="471"/>
      <c r="M78" s="472"/>
      <c r="N78" s="878"/>
      <c r="O78" s="878"/>
      <c r="P78" s="177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75" thickTop="1">
      <c r="A80" s="366"/>
      <c r="B80" s="468" t="s">
        <v>1725</v>
      </c>
      <c r="C80" s="508" t="s">
        <v>1719</v>
      </c>
      <c r="D80" s="508" t="s">
        <v>1720</v>
      </c>
      <c r="E80" s="508" t="s">
        <v>1721</v>
      </c>
      <c r="F80" s="508" t="s">
        <v>1722</v>
      </c>
      <c r="G80" s="508" t="s">
        <v>1723</v>
      </c>
      <c r="H80" s="469"/>
      <c r="I80" s="469"/>
      <c r="J80" s="469"/>
      <c r="K80" s="470"/>
      <c r="L80" s="471"/>
      <c r="M80" s="472"/>
      <c r="N80" s="878"/>
      <c r="O80" s="878"/>
      <c r="P80" s="177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75" thickTop="1">
      <c r="A82" s="366"/>
      <c r="B82" s="476" t="s">
        <v>1260</v>
      </c>
      <c r="C82" s="469" t="s">
        <v>1726</v>
      </c>
      <c r="D82" s="469" t="s">
        <v>1727</v>
      </c>
      <c r="E82" s="469" t="s">
        <v>1728</v>
      </c>
      <c r="F82" s="469" t="s">
        <v>1729</v>
      </c>
      <c r="G82" s="469" t="s">
        <v>1730</v>
      </c>
      <c r="H82" s="469"/>
      <c r="I82" s="469"/>
      <c r="J82" s="469"/>
      <c r="K82" s="469"/>
      <c r="L82" s="469"/>
      <c r="M82" s="1062"/>
      <c r="N82" s="879"/>
      <c r="O82" s="879"/>
      <c r="P82" s="1774"/>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75" thickTop="1">
      <c r="A84" s="366"/>
      <c r="B84" s="468" t="s">
        <v>1731</v>
      </c>
      <c r="C84" s="508" t="s">
        <v>1719</v>
      </c>
      <c r="D84" s="508" t="s">
        <v>1720</v>
      </c>
      <c r="E84" s="508" t="s">
        <v>1721</v>
      </c>
      <c r="F84" s="508" t="s">
        <v>1722</v>
      </c>
      <c r="G84" s="508" t="s">
        <v>1723</v>
      </c>
      <c r="H84" s="469"/>
      <c r="I84" s="469"/>
      <c r="J84" s="469"/>
      <c r="K84" s="470"/>
      <c r="L84" s="471"/>
      <c r="M84" s="472"/>
      <c r="N84" s="878"/>
      <c r="O84" s="878"/>
      <c r="P84" s="177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2" customFormat="1" ht="15.75" thickTop="1">
      <c r="A86" s="369"/>
      <c r="B86" s="468" t="s">
        <v>1732</v>
      </c>
      <c r="C86" s="484"/>
      <c r="D86" s="484"/>
      <c r="E86" s="484"/>
      <c r="F86" s="484"/>
      <c r="G86" s="484"/>
      <c r="H86" s="484"/>
      <c r="I86" s="484"/>
      <c r="J86" s="484"/>
      <c r="K86" s="484"/>
      <c r="L86" s="509"/>
      <c r="M86" s="510"/>
      <c r="N86" s="877"/>
      <c r="O86" s="877"/>
      <c r="P86" s="1774"/>
      <c r="Q86" s="438"/>
    </row>
    <row r="87" spans="1:17" s="102"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2" customFormat="1" ht="15.75" thickTop="1">
      <c r="A88" s="369"/>
      <c r="B88" s="468" t="s">
        <v>1733</v>
      </c>
      <c r="C88" s="484"/>
      <c r="D88" s="484"/>
      <c r="E88" s="484"/>
      <c r="F88" s="1779"/>
      <c r="G88" s="484"/>
      <c r="H88" s="484"/>
      <c r="I88" s="484"/>
      <c r="J88" s="484"/>
      <c r="K88" s="484"/>
      <c r="L88" s="484"/>
      <c r="M88" s="510"/>
      <c r="N88" s="877"/>
      <c r="O88" s="877"/>
      <c r="P88" s="1774"/>
      <c r="Q88" s="438"/>
    </row>
    <row r="89" spans="1:17" s="102"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5.75" thickTop="1">
      <c r="A90" s="483"/>
      <c r="B90" s="468">
        <f>B27</f>
        <v>111</v>
      </c>
      <c r="C90" s="484"/>
      <c r="D90" s="484"/>
      <c r="E90" s="484"/>
      <c r="F90" s="484"/>
      <c r="G90" s="484"/>
      <c r="H90" s="485"/>
      <c r="I90" s="485"/>
      <c r="J90" s="485"/>
      <c r="K90" s="485"/>
      <c r="L90" s="486"/>
      <c r="M90" s="487"/>
      <c r="N90" s="880"/>
      <c r="O90" s="880"/>
      <c r="P90" s="1775"/>
      <c r="Q90" s="489"/>
    </row>
    <row r="91" spans="1:17" s="407" customFormat="1" ht="15.75" thickBot="1">
      <c r="A91" s="483"/>
      <c r="B91" s="473"/>
      <c r="C91" s="490"/>
      <c r="D91" s="490"/>
      <c r="E91" s="490"/>
      <c r="F91" s="490"/>
      <c r="G91" s="490"/>
      <c r="H91" s="492"/>
      <c r="I91" s="492"/>
      <c r="J91" s="492"/>
      <c r="K91" s="492"/>
      <c r="L91" s="492"/>
      <c r="M91" s="493"/>
      <c r="N91" s="880"/>
      <c r="O91" s="880"/>
      <c r="P91" s="1775"/>
      <c r="Q91" s="489"/>
    </row>
    <row r="92" spans="1:17" ht="15.75" thickTop="1">
      <c r="A92" s="366"/>
      <c r="B92" s="468">
        <f>B28</f>
        <v>111</v>
      </c>
      <c r="C92" s="484"/>
      <c r="D92" s="484"/>
      <c r="E92" s="484"/>
      <c r="F92" s="484"/>
      <c r="G92" s="512"/>
      <c r="H92" s="512"/>
      <c r="I92" s="512"/>
      <c r="J92" s="512"/>
      <c r="K92" s="513"/>
      <c r="L92" s="514"/>
      <c r="M92" s="515"/>
      <c r="N92" s="878"/>
      <c r="O92" s="878"/>
      <c r="P92" s="1774"/>
      <c r="Q92" s="438"/>
    </row>
    <row r="93" spans="1:17" ht="15.75" thickBot="1">
      <c r="A93" s="366"/>
      <c r="B93" s="473"/>
      <c r="C93" s="490"/>
      <c r="D93" s="466"/>
      <c r="E93" s="466"/>
      <c r="F93" s="466"/>
      <c r="G93" s="466"/>
      <c r="H93" s="466"/>
      <c r="I93" s="466"/>
      <c r="J93" s="466"/>
      <c r="K93" s="466"/>
      <c r="L93" s="466"/>
      <c r="M93" s="467"/>
      <c r="N93" s="879"/>
      <c r="O93" s="879"/>
      <c r="P93" s="1774"/>
      <c r="Q93" s="438"/>
    </row>
    <row r="94" spans="1:17" ht="15.75" thickTop="1">
      <c r="A94" s="366"/>
      <c r="B94" s="468">
        <f>B29</f>
        <v>111</v>
      </c>
      <c r="C94" s="484"/>
      <c r="D94" s="484"/>
      <c r="E94" s="484"/>
      <c r="F94" s="484"/>
      <c r="G94" s="512"/>
      <c r="H94" s="512"/>
      <c r="I94" s="512"/>
      <c r="J94" s="512"/>
      <c r="K94" s="513"/>
      <c r="L94" s="514"/>
      <c r="M94" s="515"/>
      <c r="N94" s="878"/>
      <c r="O94" s="878"/>
      <c r="P94" s="1774"/>
      <c r="Q94" s="438"/>
    </row>
    <row r="95" spans="1:17" ht="15.75" thickBot="1">
      <c r="A95" s="366"/>
      <c r="B95" s="473"/>
      <c r="C95" s="490"/>
      <c r="D95" s="490"/>
      <c r="E95" s="490"/>
      <c r="F95" s="490"/>
      <c r="G95" s="466"/>
      <c r="H95" s="466"/>
      <c r="I95" s="466"/>
      <c r="J95" s="466"/>
      <c r="K95" s="466"/>
      <c r="L95" s="466"/>
      <c r="M95" s="467"/>
      <c r="N95" s="879"/>
      <c r="O95" s="879"/>
      <c r="P95" s="1774"/>
      <c r="Q95" s="438"/>
    </row>
    <row r="96" spans="1:17" ht="15.75" thickTop="1">
      <c r="A96" s="366"/>
      <c r="B96" s="468">
        <f>B30</f>
        <v>111</v>
      </c>
      <c r="C96" s="484"/>
      <c r="D96" s="484"/>
      <c r="E96" s="484"/>
      <c r="F96" s="484"/>
      <c r="G96" s="512"/>
      <c r="H96" s="512"/>
      <c r="I96" s="512"/>
      <c r="J96" s="512"/>
      <c r="K96" s="513"/>
      <c r="L96" s="514"/>
      <c r="M96" s="515"/>
      <c r="N96" s="878"/>
      <c r="O96" s="878"/>
      <c r="P96" s="1774"/>
      <c r="Q96" s="438"/>
    </row>
    <row r="97" spans="1:17" ht="15.75" thickBot="1">
      <c r="A97" s="366"/>
      <c r="B97" s="473"/>
      <c r="C97" s="500"/>
      <c r="D97" s="500"/>
      <c r="E97" s="500"/>
      <c r="F97" s="500"/>
      <c r="G97" s="466"/>
      <c r="H97" s="466"/>
      <c r="I97" s="466"/>
      <c r="J97" s="466"/>
      <c r="K97" s="466"/>
      <c r="L97" s="466"/>
      <c r="M97" s="467"/>
      <c r="N97" s="879"/>
      <c r="O97" s="879"/>
      <c r="P97" s="1774"/>
      <c r="Q97" s="438"/>
    </row>
    <row r="98" spans="1:17" ht="15.75" thickTop="1">
      <c r="A98" s="366"/>
      <c r="B98" s="476">
        <f>B31</f>
        <v>111</v>
      </c>
      <c r="C98" s="516"/>
      <c r="D98" s="516"/>
      <c r="E98" s="516"/>
      <c r="F98" s="516"/>
      <c r="G98" s="516"/>
      <c r="H98" s="516"/>
      <c r="I98" s="516"/>
      <c r="J98" s="516"/>
      <c r="K98" s="517"/>
      <c r="L98" s="518"/>
      <c r="M98" s="519"/>
      <c r="N98" s="878"/>
      <c r="O98" s="878"/>
      <c r="P98" s="1774"/>
      <c r="Q98" s="438"/>
    </row>
    <row r="99" spans="1:17" ht="15.75" thickBot="1">
      <c r="A99" s="374"/>
      <c r="B99" s="499"/>
      <c r="C99" s="520"/>
      <c r="D99" s="520"/>
      <c r="E99" s="520"/>
      <c r="F99" s="520"/>
      <c r="G99" s="520"/>
      <c r="H99" s="520"/>
      <c r="I99" s="520"/>
      <c r="J99" s="520"/>
      <c r="K99" s="520"/>
      <c r="L99" s="520"/>
      <c r="M99" s="521"/>
      <c r="N99" s="879"/>
      <c r="O99" s="879"/>
      <c r="P99" s="1774"/>
      <c r="Q99" s="438"/>
    </row>
    <row r="100" spans="1:17">
      <c r="A100" s="378" t="s">
        <v>1692</v>
      </c>
      <c r="B100" s="459" t="s">
        <v>1734</v>
      </c>
      <c r="C100" s="461"/>
      <c r="D100" s="461"/>
      <c r="E100" s="461"/>
      <c r="F100" s="461"/>
      <c r="G100" s="461"/>
      <c r="H100" s="461"/>
      <c r="I100" s="461"/>
      <c r="J100" s="461"/>
      <c r="K100" s="462"/>
      <c r="L100" s="463"/>
      <c r="M100" s="464"/>
      <c r="N100" s="878"/>
      <c r="O100" s="878"/>
      <c r="P100" s="1774"/>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75" thickTop="1">
      <c r="A102" s="366"/>
      <c r="B102" s="468" t="s">
        <v>1735</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5.75"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1736</v>
      </c>
      <c r="C105" s="484"/>
      <c r="D105" s="484"/>
      <c r="E105" s="512"/>
      <c r="F105" s="512"/>
      <c r="G105" s="512"/>
      <c r="H105" s="512"/>
      <c r="I105" s="512"/>
      <c r="J105" s="512"/>
      <c r="K105" s="513"/>
      <c r="L105" s="514"/>
      <c r="M105" s="515"/>
      <c r="N105" s="878"/>
      <c r="O105" s="878"/>
      <c r="P105" s="1774"/>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1737</v>
      </c>
      <c r="C107" s="512"/>
      <c r="D107" s="512"/>
      <c r="E107" s="512"/>
      <c r="F107" s="512"/>
      <c r="G107" s="512"/>
      <c r="H107" s="512"/>
      <c r="I107" s="512"/>
      <c r="J107" s="512"/>
      <c r="K107" s="513"/>
      <c r="L107" s="514"/>
      <c r="M107" s="515"/>
      <c r="N107" s="878"/>
      <c r="O107" s="878"/>
      <c r="P107" s="1774"/>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1738</v>
      </c>
      <c r="C109" s="484"/>
      <c r="D109" s="484"/>
      <c r="E109" s="484"/>
      <c r="F109" s="512"/>
      <c r="G109" s="512"/>
      <c r="H109" s="512"/>
      <c r="I109" s="512"/>
      <c r="J109" s="512"/>
      <c r="K109" s="513"/>
      <c r="L109" s="514"/>
      <c r="M109" s="515"/>
      <c r="N109" s="878"/>
      <c r="O109" s="878"/>
      <c r="P109" s="1774"/>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1739</v>
      </c>
      <c r="C114" s="484"/>
      <c r="D114" s="484"/>
      <c r="E114" s="512"/>
      <c r="F114" s="512"/>
      <c r="G114" s="512"/>
      <c r="H114" s="512"/>
      <c r="I114" s="512"/>
      <c r="J114" s="512"/>
      <c r="K114" s="513"/>
      <c r="L114" s="514"/>
      <c r="M114" s="515"/>
      <c r="N114" s="878"/>
      <c r="O114" s="878"/>
      <c r="P114" s="1774"/>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1740</v>
      </c>
      <c r="C116" s="484"/>
      <c r="D116" s="484"/>
      <c r="E116" s="484"/>
      <c r="F116" s="484"/>
      <c r="G116" s="484"/>
      <c r="H116" s="512"/>
      <c r="I116" s="512"/>
      <c r="J116" s="512"/>
      <c r="K116" s="513"/>
      <c r="L116" s="514"/>
      <c r="M116" s="515"/>
      <c r="N116" s="878"/>
      <c r="O116" s="878"/>
      <c r="P116" s="177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1741</v>
      </c>
      <c r="C118" s="512"/>
      <c r="D118" s="512"/>
      <c r="E118" s="512"/>
      <c r="F118" s="512"/>
      <c r="G118" s="512"/>
      <c r="H118" s="512"/>
      <c r="I118" s="512"/>
      <c r="J118" s="512"/>
      <c r="K118" s="513"/>
      <c r="L118" s="514"/>
      <c r="M118" s="515"/>
      <c r="N118" s="878"/>
      <c r="O118" s="878"/>
      <c r="P118" s="1774"/>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8.5" thickTop="1">
      <c r="A120" s="405"/>
      <c r="B120" s="468" t="s">
        <v>1703</v>
      </c>
      <c r="C120" s="484"/>
      <c r="D120" s="484"/>
      <c r="E120" s="484"/>
      <c r="F120" s="484"/>
      <c r="G120" s="484"/>
      <c r="H120" s="484"/>
      <c r="I120" s="484"/>
      <c r="J120" s="484"/>
      <c r="K120" s="484"/>
      <c r="L120" s="509"/>
      <c r="M120" s="510"/>
      <c r="N120" s="880"/>
      <c r="O120" s="880"/>
      <c r="P120" s="1775"/>
      <c r="Q120" s="489"/>
    </row>
    <row r="121" spans="1:17" s="407" customFormat="1" ht="15.75"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1742</v>
      </c>
      <c r="C122" s="484"/>
      <c r="D122" s="484"/>
      <c r="E122" s="484"/>
      <c r="F122" s="512"/>
      <c r="G122" s="512"/>
      <c r="H122" s="512"/>
      <c r="I122" s="512"/>
      <c r="J122" s="512"/>
      <c r="K122" s="513"/>
      <c r="L122" s="514"/>
      <c r="M122" s="515"/>
      <c r="N122" s="878"/>
      <c r="O122" s="878"/>
      <c r="P122" s="1774"/>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15" thickTop="1">
      <c r="A124" s="408"/>
      <c r="B124" s="468" t="s">
        <v>1743</v>
      </c>
      <c r="C124" s="508" t="s">
        <v>1719</v>
      </c>
      <c r="D124" s="508" t="s">
        <v>1720</v>
      </c>
      <c r="E124" s="508" t="s">
        <v>1721</v>
      </c>
      <c r="F124" s="508" t="s">
        <v>1722</v>
      </c>
      <c r="G124" s="508" t="s">
        <v>1723</v>
      </c>
      <c r="H124" s="469"/>
      <c r="I124" s="469"/>
      <c r="J124" s="469"/>
      <c r="K124" s="470"/>
      <c r="L124" s="471"/>
      <c r="M124" s="472"/>
      <c r="N124" s="878"/>
      <c r="O124" s="878"/>
      <c r="P124" s="1775"/>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5.75" thickBot="1">
      <c r="A127" s="483"/>
      <c r="B127" s="473"/>
      <c r="C127" s="490"/>
      <c r="D127" s="466"/>
      <c r="E127" s="466"/>
      <c r="F127" s="466"/>
      <c r="G127" s="490"/>
      <c r="H127" s="492"/>
      <c r="I127" s="492"/>
      <c r="J127" s="492"/>
      <c r="K127" s="492"/>
      <c r="L127" s="492"/>
      <c r="M127" s="493"/>
      <c r="N127" s="880"/>
      <c r="O127" s="880"/>
      <c r="P127" s="1775"/>
      <c r="Q127" s="489"/>
    </row>
    <row r="128" spans="1:17" ht="15" thickTop="1">
      <c r="A128" s="408"/>
      <c r="B128" s="468">
        <f>B45</f>
        <v>111</v>
      </c>
      <c r="C128" s="484"/>
      <c r="D128" s="484"/>
      <c r="E128" s="484"/>
      <c r="F128" s="484"/>
      <c r="G128" s="512"/>
      <c r="H128" s="512"/>
      <c r="I128" s="512"/>
      <c r="J128" s="512"/>
      <c r="K128" s="513"/>
      <c r="L128" s="514"/>
      <c r="M128" s="515"/>
      <c r="N128" s="878"/>
      <c r="O128" s="878"/>
      <c r="P128" s="1774"/>
      <c r="Q128" s="438"/>
    </row>
    <row r="129" spans="1:17" ht="15.75" thickBot="1">
      <c r="A129" s="366"/>
      <c r="B129" s="473"/>
      <c r="C129" s="490"/>
      <c r="D129" s="490"/>
      <c r="E129" s="490"/>
      <c r="F129" s="490"/>
      <c r="G129" s="466"/>
      <c r="H129" s="466"/>
      <c r="I129" s="466"/>
      <c r="J129" s="466"/>
      <c r="K129" s="466"/>
      <c r="L129" s="466"/>
      <c r="M129" s="467"/>
      <c r="N129" s="879"/>
      <c r="O129" s="879"/>
      <c r="P129" s="1774"/>
      <c r="Q129" s="438"/>
    </row>
    <row r="130" spans="1:17" ht="15" thickTop="1">
      <c r="A130" s="408"/>
      <c r="B130" s="476">
        <f>B46</f>
        <v>111</v>
      </c>
      <c r="C130" s="484"/>
      <c r="D130" s="484"/>
      <c r="E130" s="484"/>
      <c r="F130" s="484"/>
      <c r="G130" s="516"/>
      <c r="H130" s="516"/>
      <c r="I130" s="516"/>
      <c r="J130" s="516"/>
      <c r="K130" s="31"/>
      <c r="L130" s="456"/>
      <c r="M130" s="519"/>
      <c r="N130" s="878"/>
      <c r="O130" s="878"/>
      <c r="P130" s="1774"/>
      <c r="Q130" s="438"/>
    </row>
    <row r="131" spans="1:17" ht="15.75"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1744</v>
      </c>
    </row>
    <row r="137" spans="1:17" ht="15">
      <c r="B137" s="1781" t="s">
        <v>1745</v>
      </c>
      <c r="C137" s="1782"/>
      <c r="D137" s="1782"/>
      <c r="E137" s="1782"/>
      <c r="F137" s="1782"/>
      <c r="G137" s="1783"/>
      <c r="H137" s="1784"/>
      <c r="I137" s="1785" t="s">
        <v>1746</v>
      </c>
      <c r="J137" s="1782"/>
      <c r="K137" s="1786"/>
    </row>
    <row r="138" spans="1:17" ht="15">
      <c r="B138" s="1787"/>
      <c r="C138" s="129" t="s">
        <v>1747</v>
      </c>
      <c r="D138" s="129" t="s">
        <v>1748</v>
      </c>
      <c r="E138" s="1788" t="s">
        <v>1749</v>
      </c>
      <c r="F138" s="1789" t="s">
        <v>1750</v>
      </c>
      <c r="G138" s="129" t="s">
        <v>1748</v>
      </c>
      <c r="H138" s="130" t="s">
        <v>1749</v>
      </c>
      <c r="I138" s="1790"/>
      <c r="J138" s="129" t="s">
        <v>1751</v>
      </c>
      <c r="K138" s="130" t="s">
        <v>1752</v>
      </c>
    </row>
    <row r="139" spans="1:17" ht="15">
      <c r="B139" s="813">
        <v>6</v>
      </c>
      <c r="C139" s="814">
        <v>96</v>
      </c>
      <c r="D139" s="1791" t="s">
        <v>1753</v>
      </c>
      <c r="E139" s="815">
        <v>100</v>
      </c>
      <c r="F139" s="816">
        <v>102.5</v>
      </c>
      <c r="G139" s="1791" t="s">
        <v>1753</v>
      </c>
      <c r="H139" s="817">
        <v>105</v>
      </c>
      <c r="I139" s="1792" t="s">
        <v>1754</v>
      </c>
      <c r="J139" s="814">
        <v>20</v>
      </c>
      <c r="K139" s="818">
        <f>C145/(J139-2)</f>
        <v>4.0555555555555553E-3</v>
      </c>
    </row>
    <row r="140" spans="1:17" ht="15">
      <c r="B140" s="819">
        <v>5</v>
      </c>
      <c r="C140" s="820">
        <v>100</v>
      </c>
      <c r="D140" s="820"/>
      <c r="E140" s="821"/>
      <c r="F140" s="822">
        <v>102</v>
      </c>
      <c r="G140" s="820"/>
      <c r="H140" s="823"/>
      <c r="I140" s="1793" t="s">
        <v>1755</v>
      </c>
      <c r="J140" s="262">
        <f>ROUNDUP((J139-1)/2,0)</f>
        <v>10</v>
      </c>
      <c r="K140" s="824">
        <v>100</v>
      </c>
    </row>
    <row r="141" spans="1:17" ht="15">
      <c r="B141" s="819">
        <v>4</v>
      </c>
      <c r="C141" s="820">
        <v>102</v>
      </c>
      <c r="D141" s="820"/>
      <c r="E141" s="821"/>
      <c r="F141" s="822">
        <v>101.5</v>
      </c>
      <c r="G141" s="820"/>
      <c r="H141" s="823"/>
      <c r="I141" s="1793" t="s">
        <v>1756</v>
      </c>
      <c r="J141" s="262">
        <v>1</v>
      </c>
      <c r="K141" s="825">
        <f>ROUND(100+(J141-J140)*K139*100,1)</f>
        <v>96.4</v>
      </c>
    </row>
    <row r="142" spans="1:17" ht="15">
      <c r="B142" s="819">
        <v>3</v>
      </c>
      <c r="C142" s="820">
        <v>103</v>
      </c>
      <c r="D142" s="820"/>
      <c r="E142" s="821"/>
      <c r="F142" s="822">
        <v>101</v>
      </c>
      <c r="G142" s="820"/>
      <c r="H142" s="823"/>
      <c r="I142" s="1793" t="s">
        <v>1757</v>
      </c>
      <c r="J142" s="262">
        <f>J139</f>
        <v>20</v>
      </c>
      <c r="K142" s="826">
        <v>95</v>
      </c>
    </row>
    <row r="143" spans="1:17" ht="15">
      <c r="B143" s="819">
        <v>2</v>
      </c>
      <c r="C143" s="820">
        <v>100</v>
      </c>
      <c r="D143" s="820"/>
      <c r="E143" s="821"/>
      <c r="F143" s="822">
        <v>100.5</v>
      </c>
      <c r="G143" s="820"/>
      <c r="H143" s="823"/>
      <c r="I143" s="1793" t="s">
        <v>1758</v>
      </c>
      <c r="J143" s="820">
        <v>15</v>
      </c>
      <c r="K143" s="825">
        <f>ROUND(100+(J143-J140)*K139*100,1)</f>
        <v>102</v>
      </c>
    </row>
    <row r="144" spans="1:17" ht="15">
      <c r="B144" s="819">
        <v>1</v>
      </c>
      <c r="C144" s="820">
        <v>98</v>
      </c>
      <c r="D144" s="1794" t="s">
        <v>1759</v>
      </c>
      <c r="E144" s="821">
        <v>102</v>
      </c>
      <c r="F144" s="827">
        <v>100</v>
      </c>
      <c r="G144" s="1794" t="s">
        <v>1759</v>
      </c>
      <c r="H144" s="823">
        <v>105</v>
      </c>
      <c r="I144" s="1793" t="s">
        <v>1758</v>
      </c>
      <c r="J144" s="820">
        <v>18</v>
      </c>
      <c r="K144" s="825">
        <f>ROUND(100+(J144-J140)*K139*100,1)</f>
        <v>103.2</v>
      </c>
    </row>
    <row r="145" spans="2:11" ht="15.75" thickBot="1">
      <c r="B145" s="1795" t="s">
        <v>1760</v>
      </c>
      <c r="C145" s="828">
        <f>ROUND(MAX(C139:C144)/MIN(C139:C144)-1,3)</f>
        <v>7.2999999999999995E-2</v>
      </c>
      <c r="D145" s="829"/>
      <c r="E145" s="829"/>
      <c r="F145" s="1796" t="s">
        <v>1761</v>
      </c>
      <c r="G145" s="1797"/>
      <c r="H145" s="1798"/>
      <c r="I145" s="1799" t="s">
        <v>1758</v>
      </c>
      <c r="J145" s="830">
        <v>8</v>
      </c>
      <c r="K145" s="831">
        <f>ROUND(100+(J145-J140)*K139*100,1)</f>
        <v>99.2</v>
      </c>
    </row>
    <row r="147" spans="2:11">
      <c r="B147" s="1780" t="s">
        <v>1762</v>
      </c>
    </row>
    <row r="148" spans="2:11">
      <c r="B148" s="1780"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E20 I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E9 G9 I9" xr:uid="{00000000-0002-0000-2000-000011000000}">
      <formula1>住宅用途</formula1>
    </dataValidation>
    <dataValidation type="list" allowBlank="1" showInputMessage="1" showErrorMessage="1" sqref="C22 E22 G22 I22" xr:uid="{00000000-0002-0000-2000-000012000000}">
      <formula1>基础设施水平</formula1>
    </dataValidation>
    <dataValidation type="list" allowBlank="1" showInputMessage="1" showErrorMessage="1" sqref="F1" xr:uid="{00000000-0002-0000-2000-000013000000}">
      <formula1>"售价,租金"</formula1>
    </dataValidation>
    <dataValidation type="list" allowBlank="1" showInputMessage="1" showErrorMessage="1" sqref="C2" xr:uid="{00000000-0002-0000-2000-000014000000}">
      <formula1>"需扣减承租人权益,——"</formula1>
    </dataValidation>
    <dataValidation type="list" allowBlank="1" showInputMessage="1" showErrorMessage="1" sqref="F2" xr:uid="{00000000-0002-0000-2000-000015000000}">
      <formula1>估价方法</formula1>
    </dataValidation>
    <dataValidation type="list" allowBlank="1" showInputMessage="1" showErrorMessage="1" sqref="D48" xr:uid="{00000000-0002-0000-2000-000016000000}">
      <formula1>"简单平均,加权平均"</formula1>
    </dataValidation>
    <dataValidation type="list" allowBlank="1" showInputMessage="1" showErrorMessage="1" sqref="E1" xr:uid="{00000000-0002-0000-20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tabColor rgb="FF92D050"/>
    <pageSetUpPr fitToPage="1"/>
  </sheetPr>
  <dimension ref="A1:AC132"/>
  <sheetViews>
    <sheetView view="pageBreakPreview" zoomScale="60" zoomScaleNormal="70" workbookViewId="0">
      <selection activeCell="H43" sqref="H43"/>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1658</v>
      </c>
      <c r="B1" s="1807" t="s">
        <v>1808</v>
      </c>
      <c r="C1" s="1140" t="s">
        <v>1660</v>
      </c>
      <c r="D1" s="1141"/>
      <c r="E1" s="3128"/>
      <c r="F1" s="1734"/>
      <c r="G1" s="1151" t="s">
        <v>1765</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1460</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1461</v>
      </c>
      <c r="F2" s="1738"/>
      <c r="G2" s="854"/>
      <c r="H2" s="854"/>
      <c r="I2" s="854"/>
      <c r="J2" s="854"/>
      <c r="K2" s="854"/>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1462</v>
      </c>
      <c r="B3" s="535">
        <f>IF(C2="——",C50,ROUND(B2*10000/D3,0))</f>
        <v>0</v>
      </c>
      <c r="C3" s="343" t="s">
        <v>1766</v>
      </c>
      <c r="D3" s="342">
        <f>IF(D1="",'数据-汇总表'!E3,SUMIF('数据-汇总表'!$C19:$C33,D1,'数据-汇总表'!$E19:$E33))</f>
        <v>6356.88</v>
      </c>
      <c r="E3" s="1804"/>
      <c r="F3" s="855"/>
      <c r="G3" s="854"/>
      <c r="H3" s="854"/>
      <c r="I3" s="854"/>
      <c r="J3" s="854"/>
      <c r="K3" s="856"/>
      <c r="L3" s="2500"/>
      <c r="M3" s="2501"/>
      <c r="N3" s="2501"/>
      <c r="O3" s="2501"/>
      <c r="P3" s="340"/>
      <c r="Q3" s="340"/>
      <c r="R3" s="340"/>
      <c r="S3" s="340"/>
      <c r="T3" s="340"/>
      <c r="U3" s="340"/>
      <c r="V3" s="340"/>
      <c r="W3" s="340"/>
      <c r="X3" s="340"/>
      <c r="Y3" s="340"/>
      <c r="Z3" s="340"/>
      <c r="AA3" s="340"/>
      <c r="AB3" s="340"/>
      <c r="AC3" s="662"/>
    </row>
    <row r="4" spans="1:29" ht="15">
      <c r="A4" s="344" t="s">
        <v>1767</v>
      </c>
      <c r="B4" s="345"/>
      <c r="C4" s="3392" t="s">
        <v>1768</v>
      </c>
      <c r="D4" s="3393"/>
      <c r="E4" s="3394" t="s">
        <v>1769</v>
      </c>
      <c r="F4" s="3395"/>
      <c r="G4" s="3392" t="s">
        <v>1770</v>
      </c>
      <c r="H4" s="3393"/>
      <c r="I4" s="3392" t="s">
        <v>1771</v>
      </c>
      <c r="J4" s="3393"/>
      <c r="K4" s="536" t="s">
        <v>1772</v>
      </c>
      <c r="L4" s="2483"/>
      <c r="M4" s="2484"/>
      <c r="N4" s="2484"/>
      <c r="O4" s="2484"/>
      <c r="P4" s="3475" t="s">
        <v>1773</v>
      </c>
      <c r="Q4" s="3476"/>
      <c r="R4" s="3479" t="s">
        <v>1769</v>
      </c>
      <c r="S4" s="3480"/>
      <c r="T4" s="3479" t="s">
        <v>1770</v>
      </c>
      <c r="U4" s="3480"/>
      <c r="V4" s="3481" t="s">
        <v>1771</v>
      </c>
      <c r="W4" s="3481"/>
      <c r="X4" s="1808"/>
      <c r="Y4" s="3479" t="s">
        <v>1773</v>
      </c>
      <c r="Z4" s="3480"/>
      <c r="AA4" s="3483" t="s">
        <v>1769</v>
      </c>
      <c r="AB4" s="3483" t="s">
        <v>1770</v>
      </c>
      <c r="AC4" s="3472" t="s">
        <v>1771</v>
      </c>
    </row>
    <row r="5" spans="1:29" ht="15">
      <c r="A5" s="347"/>
      <c r="B5" s="348"/>
      <c r="C5" s="3415" t="s">
        <v>1671</v>
      </c>
      <c r="D5" s="3411"/>
      <c r="E5" s="3468" t="s">
        <v>1672</v>
      </c>
      <c r="F5" s="3419"/>
      <c r="G5" s="3415" t="s">
        <v>1673</v>
      </c>
      <c r="H5" s="3411"/>
      <c r="I5" s="3415" t="s">
        <v>1674</v>
      </c>
      <c r="J5" s="3411"/>
      <c r="K5" s="536"/>
      <c r="L5" s="2483"/>
      <c r="M5" s="2484"/>
      <c r="N5" s="2484"/>
      <c r="O5" s="2484"/>
      <c r="P5" s="3477"/>
      <c r="Q5" s="3399"/>
      <c r="R5" s="3404"/>
      <c r="S5" s="3405"/>
      <c r="T5" s="3404"/>
      <c r="U5" s="3405"/>
      <c r="V5" s="3375"/>
      <c r="W5" s="3375"/>
      <c r="X5" s="1264"/>
      <c r="Y5" s="3404"/>
      <c r="Z5" s="3405"/>
      <c r="AA5" s="3390"/>
      <c r="AB5" s="3390"/>
      <c r="AC5" s="3473"/>
    </row>
    <row r="6" spans="1:29" ht="15.75" thickBot="1">
      <c r="A6" s="349"/>
      <c r="B6" s="350"/>
      <c r="C6" s="3408" t="s">
        <v>1675</v>
      </c>
      <c r="D6" s="3409"/>
      <c r="E6" s="3416" t="s">
        <v>1675</v>
      </c>
      <c r="F6" s="3417"/>
      <c r="G6" s="3408" t="s">
        <v>1675</v>
      </c>
      <c r="H6" s="3409"/>
      <c r="I6" s="3408" t="s">
        <v>1675</v>
      </c>
      <c r="J6" s="3409"/>
      <c r="K6" s="536" t="s">
        <v>1676</v>
      </c>
      <c r="L6" s="2483"/>
      <c r="M6" s="2484"/>
      <c r="N6" s="2484"/>
      <c r="O6" s="2484"/>
      <c r="P6" s="3478"/>
      <c r="Q6" s="3401"/>
      <c r="R6" s="3404"/>
      <c r="S6" s="3405"/>
      <c r="T6" s="3406"/>
      <c r="U6" s="3407"/>
      <c r="V6" s="3375"/>
      <c r="W6" s="3375"/>
      <c r="X6" s="1264"/>
      <c r="Y6" s="3406"/>
      <c r="Z6" s="3407"/>
      <c r="AA6" s="3391"/>
      <c r="AB6" s="3391"/>
      <c r="AC6" s="3474"/>
    </row>
    <row r="7" spans="1:29" s="102" customFormat="1" ht="15.75" thickBot="1">
      <c r="A7" s="351" t="s">
        <v>1677</v>
      </c>
      <c r="B7" s="352"/>
      <c r="C7" s="353">
        <f>'数据-取费表'!B2</f>
        <v>45022</v>
      </c>
      <c r="D7" s="354">
        <v>100</v>
      </c>
      <c r="E7" s="355"/>
      <c r="F7" s="356">
        <f>SUMIF(59:59,YEAR(E7)&amp;"-"&amp;MONTH(E7),60:60)</f>
        <v>0</v>
      </c>
      <c r="G7" s="355"/>
      <c r="H7" s="354">
        <f>SUMIF(59:59,YEAR(G7)&amp;"-"&amp;MONTH(G7),60:60)</f>
        <v>0</v>
      </c>
      <c r="I7" s="355"/>
      <c r="J7" s="354">
        <f>SUMIF(59:59,YEAR(I7)&amp;"-"&amp;MONTH(I7),60:60)</f>
        <v>0</v>
      </c>
      <c r="K7" s="38"/>
      <c r="L7" s="2485"/>
      <c r="M7" s="2436"/>
      <c r="N7" s="2436"/>
      <c r="O7" s="2436"/>
      <c r="P7" s="3482" t="s">
        <v>1678</v>
      </c>
      <c r="Q7" s="3414"/>
      <c r="R7" s="663" t="s">
        <v>14</v>
      </c>
      <c r="S7" s="664">
        <f t="shared" ref="S7:S15" si="0">F7</f>
        <v>0</v>
      </c>
      <c r="T7" s="663" t="s">
        <v>14</v>
      </c>
      <c r="U7" s="664">
        <f t="shared" ref="U7:U15" si="1">H7</f>
        <v>0</v>
      </c>
      <c r="V7" s="663" t="s">
        <v>14</v>
      </c>
      <c r="W7" s="664">
        <f t="shared" ref="W7:W15" si="2">J7</f>
        <v>0</v>
      </c>
      <c r="X7" s="665"/>
      <c r="Y7" s="3412" t="s">
        <v>1678</v>
      </c>
      <c r="Z7" s="3413"/>
      <c r="AA7" s="50" t="e">
        <f>D7/F7</f>
        <v>#DIV/0!</v>
      </c>
      <c r="AB7" s="50" t="e">
        <f>D7/H7</f>
        <v>#DIV/0!</v>
      </c>
      <c r="AC7" s="801" t="e">
        <f>D7/J7</f>
        <v>#DIV/0!</v>
      </c>
    </row>
    <row r="8" spans="1:29" s="102" customFormat="1" ht="15.75" thickBot="1">
      <c r="A8" s="351" t="s">
        <v>1679</v>
      </c>
      <c r="B8" s="352"/>
      <c r="C8" s="357"/>
      <c r="D8" s="354">
        <v>100</v>
      </c>
      <c r="E8" s="357"/>
      <c r="F8" s="356">
        <f>SUMIF(62:62,E8,63:63)-SUMIF(62:62,C8,63:63)+100</f>
        <v>100</v>
      </c>
      <c r="G8" s="357"/>
      <c r="H8" s="354">
        <f>SUMIF(62:62,G8,63:63)-SUMIF(62:62,C8,63:63)+100</f>
        <v>100</v>
      </c>
      <c r="I8" s="357"/>
      <c r="J8" s="354">
        <f>SUMIF(62:62,I8,63:63)-SUMIF(62:62,C8,63:63)+100</f>
        <v>100</v>
      </c>
      <c r="K8" s="38"/>
      <c r="L8" s="2485"/>
      <c r="M8" s="2436"/>
      <c r="N8" s="2436"/>
      <c r="O8" s="2436"/>
      <c r="P8" s="3482" t="s">
        <v>1681</v>
      </c>
      <c r="Q8" s="3413"/>
      <c r="R8" s="663" t="s">
        <v>14</v>
      </c>
      <c r="S8" s="664">
        <f t="shared" si="0"/>
        <v>100</v>
      </c>
      <c r="T8" s="663" t="s">
        <v>14</v>
      </c>
      <c r="U8" s="664">
        <f t="shared" si="1"/>
        <v>100</v>
      </c>
      <c r="V8" s="663" t="s">
        <v>14</v>
      </c>
      <c r="W8" s="664">
        <f t="shared" si="2"/>
        <v>100</v>
      </c>
      <c r="X8" s="665"/>
      <c r="Y8" s="3412" t="s">
        <v>1681</v>
      </c>
      <c r="Z8" s="3413"/>
      <c r="AA8" s="50">
        <f t="shared" ref="AA8:AA47" si="3">D8/F8</f>
        <v>1</v>
      </c>
      <c r="AB8" s="50">
        <f t="shared" ref="AB8:AB47" si="4">D8/H8</f>
        <v>1</v>
      </c>
      <c r="AC8" s="801">
        <f t="shared" ref="AC8:AC47" si="5">D8/J8</f>
        <v>1</v>
      </c>
    </row>
    <row r="9" spans="1:29" s="102" customFormat="1">
      <c r="A9" s="358" t="s">
        <v>1682</v>
      </c>
      <c r="B9" s="60" t="s">
        <v>1683</v>
      </c>
      <c r="C9" s="359"/>
      <c r="D9" s="59">
        <v>100</v>
      </c>
      <c r="E9" s="361"/>
      <c r="F9" s="59">
        <f>SUMIF(64:64,E9,65:65)-SUMIF(64:64,C9,65:65)+100</f>
        <v>100</v>
      </c>
      <c r="G9" s="360"/>
      <c r="H9" s="59">
        <f>SUMIF(64:64,G9,65:65)-SUMIF(64:64,C9,65:65)+100</f>
        <v>100</v>
      </c>
      <c r="I9" s="360"/>
      <c r="J9" s="59">
        <f>SUMIF(64:64,I9,65:65)-SUMIF(64:64,C9,65:65)+100</f>
        <v>100</v>
      </c>
      <c r="K9" s="38"/>
      <c r="L9" s="2485"/>
      <c r="M9" s="2436"/>
      <c r="N9" s="2436"/>
      <c r="O9" s="2436"/>
      <c r="P9" s="3388" t="s">
        <v>1684</v>
      </c>
      <c r="Q9" s="529" t="str">
        <f t="shared" ref="Q9:Q15" si="6">B9</f>
        <v>用途</v>
      </c>
      <c r="R9" s="663" t="s">
        <v>14</v>
      </c>
      <c r="S9" s="664">
        <f t="shared" si="0"/>
        <v>100</v>
      </c>
      <c r="T9" s="663" t="s">
        <v>14</v>
      </c>
      <c r="U9" s="664">
        <f t="shared" si="1"/>
        <v>100</v>
      </c>
      <c r="V9" s="663" t="s">
        <v>14</v>
      </c>
      <c r="W9" s="664">
        <f t="shared" si="2"/>
        <v>100</v>
      </c>
      <c r="X9" s="665"/>
      <c r="Y9" s="3281" t="s">
        <v>1685</v>
      </c>
      <c r="Z9" s="50" t="str">
        <f t="shared" ref="Z9:Z15" si="7">Q9</f>
        <v>用途</v>
      </c>
      <c r="AA9" s="50">
        <f t="shared" si="3"/>
        <v>1</v>
      </c>
      <c r="AB9" s="50">
        <f t="shared" si="4"/>
        <v>1</v>
      </c>
      <c r="AC9" s="801">
        <f t="shared" si="5"/>
        <v>1</v>
      </c>
    </row>
    <row r="10" spans="1:29" s="365" customFormat="1" ht="27">
      <c r="A10" s="362"/>
      <c r="B10" s="363" t="s">
        <v>1686</v>
      </c>
      <c r="C10" s="3129"/>
      <c r="D10" s="119">
        <v>100</v>
      </c>
      <c r="E10" s="3129"/>
      <c r="F10" s="119">
        <f>SUMIF(66:66,E10,67:67)-SUMIF(66:66,C10,67:67)+100</f>
        <v>100</v>
      </c>
      <c r="G10" s="3130"/>
      <c r="H10" s="119">
        <f>SUMIF(66:66,G10,67:67)-SUMIF(66:66,C10,67:67)+100</f>
        <v>100</v>
      </c>
      <c r="I10" s="3129"/>
      <c r="J10" s="119">
        <f>SUMIF(66:66,I10,67:67)-SUMIF(66:66,C10,67:67)+100</f>
        <v>100</v>
      </c>
      <c r="K10" s="38"/>
      <c r="L10" s="2486"/>
      <c r="M10" s="2487"/>
      <c r="N10" s="2487"/>
      <c r="O10" s="2487"/>
      <c r="P10" s="3388"/>
      <c r="Q10" s="529" t="str">
        <f t="shared" si="6"/>
        <v>土地使用年限（年）</v>
      </c>
      <c r="R10" s="663" t="s">
        <v>14</v>
      </c>
      <c r="S10" s="664">
        <f t="shared" si="0"/>
        <v>100</v>
      </c>
      <c r="T10" s="663" t="s">
        <v>14</v>
      </c>
      <c r="U10" s="664">
        <f t="shared" si="1"/>
        <v>100</v>
      </c>
      <c r="V10" s="663" t="s">
        <v>14</v>
      </c>
      <c r="W10" s="664">
        <f t="shared" si="2"/>
        <v>100</v>
      </c>
      <c r="X10" s="665"/>
      <c r="Y10" s="3281"/>
      <c r="Z10" s="50" t="str">
        <f t="shared" si="7"/>
        <v>土地使用年限（年）</v>
      </c>
      <c r="AA10" s="50">
        <f t="shared" si="3"/>
        <v>1</v>
      </c>
      <c r="AB10" s="50">
        <f t="shared" si="4"/>
        <v>1</v>
      </c>
      <c r="AC10" s="801">
        <f t="shared" si="5"/>
        <v>1</v>
      </c>
    </row>
    <row r="11" spans="1:29" ht="15">
      <c r="A11" s="366"/>
      <c r="B11" s="363" t="s">
        <v>1687</v>
      </c>
      <c r="C11" s="367"/>
      <c r="D11" s="119">
        <v>100</v>
      </c>
      <c r="E11" s="367"/>
      <c r="F11" s="119">
        <f>LOOKUP(E11,69:69,70:70)-LOOKUP(C11,69:69,70:70)+100</f>
        <v>100</v>
      </c>
      <c r="G11" s="368"/>
      <c r="H11" s="119">
        <f>LOOKUP(G11,69:69,70:70)-LOOKUP(C11,69:69,70:70)+100</f>
        <v>100</v>
      </c>
      <c r="I11" s="367"/>
      <c r="J11" s="119">
        <f>LOOKUP(I11,69:69,70:70)-LOOKUP(C11,69:69,70:70)+100</f>
        <v>100</v>
      </c>
      <c r="K11" s="537"/>
      <c r="L11" s="2488"/>
      <c r="M11" s="2484"/>
      <c r="N11" s="2484"/>
      <c r="O11" s="2484"/>
      <c r="P11" s="3388"/>
      <c r="Q11" s="529" t="str">
        <f t="shared" si="6"/>
        <v>容积率</v>
      </c>
      <c r="R11" s="663" t="s">
        <v>14</v>
      </c>
      <c r="S11" s="664">
        <f t="shared" si="0"/>
        <v>100</v>
      </c>
      <c r="T11" s="663" t="s">
        <v>14</v>
      </c>
      <c r="U11" s="664">
        <f t="shared" si="1"/>
        <v>100</v>
      </c>
      <c r="V11" s="663" t="s">
        <v>14</v>
      </c>
      <c r="W11" s="664">
        <f t="shared" si="2"/>
        <v>100</v>
      </c>
      <c r="X11" s="665"/>
      <c r="Y11" s="3281"/>
      <c r="Z11" s="50" t="str">
        <f t="shared" si="7"/>
        <v>容积率</v>
      </c>
      <c r="AA11" s="50">
        <f t="shared" si="3"/>
        <v>1</v>
      </c>
      <c r="AB11" s="50">
        <f t="shared" si="4"/>
        <v>1</v>
      </c>
      <c r="AC11" s="801">
        <f t="shared" si="5"/>
        <v>1</v>
      </c>
    </row>
    <row r="12" spans="1:29" s="102" customFormat="1" ht="15">
      <c r="A12" s="369"/>
      <c r="B12" s="446">
        <v>111</v>
      </c>
      <c r="C12" s="370"/>
      <c r="D12" s="371">
        <v>100</v>
      </c>
      <c r="E12" s="370"/>
      <c r="F12" s="119">
        <f>SUMIF(71:71,E12,72:72)-SUMIF(71:71,C12,72:72)+100</f>
        <v>100</v>
      </c>
      <c r="G12" s="1809"/>
      <c r="H12" s="119">
        <f>SUMIF(71:71,G12,72:72)-SUMIF(71:71,C12,72:72)+100</f>
        <v>100</v>
      </c>
      <c r="I12" s="370"/>
      <c r="J12" s="119">
        <f>SUMIF(71:71,I12,72:72)-SUMIF(71:71,C12,72:72)+100</f>
        <v>100</v>
      </c>
      <c r="K12" s="538"/>
      <c r="L12" s="2485"/>
      <c r="M12" s="2436"/>
      <c r="N12" s="2436"/>
      <c r="O12" s="2436"/>
      <c r="P12" s="3388"/>
      <c r="Q12" s="529">
        <f t="shared" si="6"/>
        <v>111</v>
      </c>
      <c r="R12" s="663" t="s">
        <v>14</v>
      </c>
      <c r="S12" s="664">
        <f t="shared" si="0"/>
        <v>100</v>
      </c>
      <c r="T12" s="663" t="s">
        <v>14</v>
      </c>
      <c r="U12" s="664">
        <f t="shared" si="1"/>
        <v>100</v>
      </c>
      <c r="V12" s="663" t="s">
        <v>14</v>
      </c>
      <c r="W12" s="664">
        <f t="shared" si="2"/>
        <v>100</v>
      </c>
      <c r="X12" s="665"/>
      <c r="Y12" s="3281"/>
      <c r="Z12" s="50">
        <f t="shared" si="7"/>
        <v>111</v>
      </c>
      <c r="AA12" s="50">
        <f>D12/F12</f>
        <v>1</v>
      </c>
      <c r="AB12" s="50">
        <f>D12/H12</f>
        <v>1</v>
      </c>
      <c r="AC12" s="801">
        <f>D12/J12</f>
        <v>1</v>
      </c>
    </row>
    <row r="13" spans="1:29" ht="15">
      <c r="A13" s="366"/>
      <c r="B13" s="446">
        <v>111</v>
      </c>
      <c r="C13" s="372"/>
      <c r="D13" s="373">
        <v>100</v>
      </c>
      <c r="E13" s="370"/>
      <c r="F13" s="119">
        <f>SUMIF(73:73,E13,74:74)-SUMIF(73:73,C13,74:74)+100</f>
        <v>100</v>
      </c>
      <c r="G13" s="1809"/>
      <c r="H13" s="373">
        <f>SUMIF(73:73,G13,74:74)-SUMIF(73:73,C13,74:74)+100</f>
        <v>100</v>
      </c>
      <c r="I13" s="370"/>
      <c r="J13" s="373">
        <f>SUMIF(73:73,I13,74:74)-SUMIF(73:73,C13,74:74)+100</f>
        <v>100</v>
      </c>
      <c r="K13" s="538"/>
      <c r="L13" s="2489"/>
      <c r="M13" s="2484"/>
      <c r="N13" s="2484"/>
      <c r="O13" s="2484"/>
      <c r="P13" s="3388"/>
      <c r="Q13" s="529">
        <f t="shared" si="6"/>
        <v>111</v>
      </c>
      <c r="R13" s="663" t="s">
        <v>14</v>
      </c>
      <c r="S13" s="664">
        <f t="shared" si="0"/>
        <v>100</v>
      </c>
      <c r="T13" s="663" t="s">
        <v>14</v>
      </c>
      <c r="U13" s="664">
        <f t="shared" si="1"/>
        <v>100</v>
      </c>
      <c r="V13" s="663" t="s">
        <v>14</v>
      </c>
      <c r="W13" s="664">
        <f t="shared" si="2"/>
        <v>100</v>
      </c>
      <c r="X13" s="665"/>
      <c r="Y13" s="3281"/>
      <c r="Z13" s="50">
        <f t="shared" si="7"/>
        <v>111</v>
      </c>
      <c r="AA13" s="50">
        <f t="shared" si="3"/>
        <v>1</v>
      </c>
      <c r="AB13" s="50">
        <f t="shared" si="4"/>
        <v>1</v>
      </c>
      <c r="AC13" s="801">
        <f t="shared" si="5"/>
        <v>1</v>
      </c>
    </row>
    <row r="14" spans="1:29" ht="15.75"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89"/>
      <c r="M14" s="2484"/>
      <c r="N14" s="2484"/>
      <c r="O14" s="2484"/>
      <c r="P14" s="3388"/>
      <c r="Q14" s="529">
        <f t="shared" si="6"/>
        <v>111</v>
      </c>
      <c r="R14" s="663" t="s">
        <v>14</v>
      </c>
      <c r="S14" s="664">
        <f t="shared" si="0"/>
        <v>100</v>
      </c>
      <c r="T14" s="663" t="s">
        <v>14</v>
      </c>
      <c r="U14" s="664">
        <f t="shared" si="1"/>
        <v>100</v>
      </c>
      <c r="V14" s="663" t="s">
        <v>14</v>
      </c>
      <c r="W14" s="664">
        <f t="shared" si="2"/>
        <v>100</v>
      </c>
      <c r="X14" s="665"/>
      <c r="Y14" s="3281"/>
      <c r="Z14" s="50">
        <f t="shared" si="7"/>
        <v>111</v>
      </c>
      <c r="AA14" s="50">
        <f t="shared" si="3"/>
        <v>1</v>
      </c>
      <c r="AB14" s="50">
        <f t="shared" si="4"/>
        <v>1</v>
      </c>
      <c r="AC14" s="801">
        <f t="shared" si="5"/>
        <v>1</v>
      </c>
    </row>
    <row r="15" spans="1:29" ht="15">
      <c r="A15" s="378" t="s">
        <v>1688</v>
      </c>
      <c r="B15" s="553" t="s">
        <v>1809</v>
      </c>
      <c r="C15" s="1810">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89"/>
      <c r="M15" s="2484"/>
      <c r="N15" s="2484"/>
      <c r="O15" s="2484"/>
      <c r="P15" s="3379" t="s">
        <v>1689</v>
      </c>
      <c r="Q15" s="1262" t="str">
        <f t="shared" si="6"/>
        <v>办公集聚程度</v>
      </c>
      <c r="R15" s="666" t="s">
        <v>14</v>
      </c>
      <c r="S15" s="667">
        <f t="shared" si="0"/>
        <v>100</v>
      </c>
      <c r="T15" s="666" t="s">
        <v>14</v>
      </c>
      <c r="U15" s="667">
        <f t="shared" si="1"/>
        <v>100</v>
      </c>
      <c r="V15" s="666" t="s">
        <v>14</v>
      </c>
      <c r="W15" s="667">
        <f t="shared" si="2"/>
        <v>100</v>
      </c>
      <c r="X15" s="1264"/>
      <c r="Y15" s="3381" t="s">
        <v>1689</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89"/>
      <c r="M16" s="2484"/>
      <c r="N16" s="2484"/>
      <c r="O16" s="2484"/>
      <c r="P16" s="3380"/>
      <c r="Q16" s="1262"/>
      <c r="R16" s="666"/>
      <c r="S16" s="667"/>
      <c r="T16" s="666"/>
      <c r="U16" s="667"/>
      <c r="V16" s="666"/>
      <c r="W16" s="667"/>
      <c r="X16" s="1264"/>
      <c r="Y16" s="3382"/>
      <c r="Z16" s="1263"/>
      <c r="AA16" s="1263">
        <v>1</v>
      </c>
      <c r="AB16" s="1263">
        <v>1</v>
      </c>
      <c r="AC16" s="1811">
        <v>1</v>
      </c>
    </row>
    <row r="17" spans="1:29" ht="15">
      <c r="A17" s="366"/>
      <c r="B17" s="555" t="s">
        <v>1259</v>
      </c>
      <c r="C17" s="1812" t="str">
        <f>估价对象房地状况!C6</f>
        <v>较好</v>
      </c>
      <c r="D17" s="388">
        <v>100</v>
      </c>
      <c r="E17" s="392"/>
      <c r="F17" s="388">
        <f>SUMIF(79:79,E18,80:80)-SUMIF(79:79,C18,80:80)+100</f>
        <v>100</v>
      </c>
      <c r="G17" s="390"/>
      <c r="H17" s="393">
        <f>SUMIF(79:79,G18,80:80)-SUMIF(79:79,C18,80:80)+100</f>
        <v>100</v>
      </c>
      <c r="I17" s="390"/>
      <c r="J17" s="393">
        <f>SUMIF(79:79,I18,80:80)-SUMIF(79:79,C18,80:80)+100</f>
        <v>100</v>
      </c>
      <c r="K17" s="539"/>
      <c r="L17" s="2489"/>
      <c r="M17" s="2484"/>
      <c r="N17" s="2484"/>
      <c r="O17" s="2484"/>
      <c r="P17" s="3380"/>
      <c r="Q17" s="1262" t="str">
        <f>B17</f>
        <v>交通便捷度</v>
      </c>
      <c r="R17" s="666" t="s">
        <v>14</v>
      </c>
      <c r="S17" s="667">
        <f>F17</f>
        <v>100</v>
      </c>
      <c r="T17" s="666" t="s">
        <v>14</v>
      </c>
      <c r="U17" s="667">
        <f>H17</f>
        <v>100</v>
      </c>
      <c r="V17" s="666" t="s">
        <v>14</v>
      </c>
      <c r="W17" s="667">
        <f>J17</f>
        <v>100</v>
      </c>
      <c r="X17" s="1264"/>
      <c r="Y17" s="3382"/>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89"/>
      <c r="M18" s="2484"/>
      <c r="N18" s="2484"/>
      <c r="O18" s="2484"/>
      <c r="P18" s="3380"/>
      <c r="Q18" s="1262"/>
      <c r="R18" s="666"/>
      <c r="S18" s="667"/>
      <c r="T18" s="666"/>
      <c r="U18" s="667"/>
      <c r="V18" s="666"/>
      <c r="W18" s="667"/>
      <c r="X18" s="1264"/>
      <c r="Y18" s="3382"/>
      <c r="Z18" s="1263"/>
      <c r="AA18" s="1263">
        <v>1</v>
      </c>
      <c r="AB18" s="1263">
        <v>1</v>
      </c>
      <c r="AC18" s="1811">
        <v>1</v>
      </c>
    </row>
    <row r="19" spans="1:29" ht="15">
      <c r="A19" s="366"/>
      <c r="B19" s="555" t="s">
        <v>1810</v>
      </c>
      <c r="C19" s="1812" t="str">
        <f>估价对象房地状况!C7</f>
        <v>好</v>
      </c>
      <c r="D19" s="393">
        <v>100</v>
      </c>
      <c r="E19" s="397"/>
      <c r="F19" s="393">
        <f>SUMIF(81:81,E20,82:82)-SUMIF(81:81,C20,82:82)+100</f>
        <v>100</v>
      </c>
      <c r="G19" s="395"/>
      <c r="H19" s="388">
        <f>SUMIF(81:81,G20,82:82)-SUMIF(81:81,C20,82:82)+100</f>
        <v>100</v>
      </c>
      <c r="I19" s="395"/>
      <c r="J19" s="388">
        <f>SUMIF(81:81,I20,82:82)-SUMIF(81:81,C20,82:82)+100</f>
        <v>100</v>
      </c>
      <c r="K19" s="539"/>
      <c r="L19" s="2489"/>
      <c r="M19" s="2484"/>
      <c r="N19" s="2484"/>
      <c r="O19" s="2484"/>
      <c r="P19" s="3380"/>
      <c r="Q19" s="1262" t="str">
        <f>B19</f>
        <v>公共配套设施</v>
      </c>
      <c r="R19" s="666" t="s">
        <v>14</v>
      </c>
      <c r="S19" s="667">
        <f>F19</f>
        <v>100</v>
      </c>
      <c r="T19" s="666" t="s">
        <v>14</v>
      </c>
      <c r="U19" s="667">
        <f>H19</f>
        <v>100</v>
      </c>
      <c r="V19" s="666" t="s">
        <v>14</v>
      </c>
      <c r="W19" s="667">
        <f>J19</f>
        <v>100</v>
      </c>
      <c r="X19" s="1264"/>
      <c r="Y19" s="3382"/>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89"/>
      <c r="M20" s="2484"/>
      <c r="N20" s="2484"/>
      <c r="O20" s="2484"/>
      <c r="P20" s="3380"/>
      <c r="Q20" s="1262"/>
      <c r="R20" s="666"/>
      <c r="S20" s="667"/>
      <c r="T20" s="666"/>
      <c r="U20" s="667"/>
      <c r="V20" s="666"/>
      <c r="W20" s="667"/>
      <c r="X20" s="1264"/>
      <c r="Y20" s="3382"/>
      <c r="Z20" s="1263"/>
      <c r="AA20" s="1263">
        <v>1</v>
      </c>
      <c r="AB20" s="1263">
        <v>1</v>
      </c>
      <c r="AC20" s="1811">
        <v>1</v>
      </c>
    </row>
    <row r="21" spans="1:29" ht="15">
      <c r="A21" s="366"/>
      <c r="B21" s="556" t="s">
        <v>1811</v>
      </c>
      <c r="C21" s="1812" t="str">
        <f>估价对象房地状况!C8</f>
        <v>七通</v>
      </c>
      <c r="D21" s="388">
        <v>100</v>
      </c>
      <c r="E21" s="397"/>
      <c r="F21" s="393">
        <f>SUMIF(83:83,E22,84:84)-SUMIF(83:83,C22,84:84)+100</f>
        <v>100</v>
      </c>
      <c r="G21" s="395"/>
      <c r="H21" s="388">
        <f>SUMIF(83:83,G22,84:84)-SUMIF(83:83,C22,84:84)+100</f>
        <v>100</v>
      </c>
      <c r="I21" s="395"/>
      <c r="J21" s="388">
        <f>SUMIF(83:83,I22,84:84)-SUMIF(83:83,C22,84:84)+100</f>
        <v>100</v>
      </c>
      <c r="K21" s="539"/>
      <c r="L21" s="2489"/>
      <c r="M21" s="2484"/>
      <c r="N21" s="2484"/>
      <c r="O21" s="2484"/>
      <c r="P21" s="3380"/>
      <c r="Q21" s="1262" t="str">
        <f>B21</f>
        <v>基础设施水平</v>
      </c>
      <c r="R21" s="666" t="s">
        <v>14</v>
      </c>
      <c r="S21" s="667">
        <f>F21</f>
        <v>100</v>
      </c>
      <c r="T21" s="666" t="s">
        <v>14</v>
      </c>
      <c r="U21" s="667">
        <f>H21</f>
        <v>100</v>
      </c>
      <c r="V21" s="666" t="s">
        <v>14</v>
      </c>
      <c r="W21" s="667">
        <f>J21</f>
        <v>100</v>
      </c>
      <c r="X21" s="1264"/>
      <c r="Y21" s="3382"/>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89"/>
      <c r="M22" s="2484"/>
      <c r="N22" s="2484"/>
      <c r="O22" s="2484"/>
      <c r="P22" s="3380"/>
      <c r="Q22" s="1262"/>
      <c r="R22" s="666"/>
      <c r="S22" s="667"/>
      <c r="T22" s="666"/>
      <c r="U22" s="667"/>
      <c r="V22" s="666"/>
      <c r="W22" s="667"/>
      <c r="X22" s="1264"/>
      <c r="Y22" s="3382"/>
      <c r="Z22" s="1263"/>
      <c r="AA22" s="1263">
        <v>1</v>
      </c>
      <c r="AB22" s="1263">
        <v>1</v>
      </c>
      <c r="AC22" s="1811">
        <v>1</v>
      </c>
    </row>
    <row r="23" spans="1:29" ht="15">
      <c r="A23" s="366"/>
      <c r="B23" s="555" t="s">
        <v>1812</v>
      </c>
      <c r="C23" s="1812" t="str">
        <f>估价对象房地状况!C9</f>
        <v>较好</v>
      </c>
      <c r="D23" s="388">
        <v>100</v>
      </c>
      <c r="E23" s="392"/>
      <c r="F23" s="388">
        <f>SUMIF(85:85,E24,86:86)-SUMIF(85:85,C24,86:86)+100</f>
        <v>100</v>
      </c>
      <c r="G23" s="390"/>
      <c r="H23" s="388">
        <f>SUMIF(85:85,G24,86:86)-SUMIF(85:85,C24,86:86)+100</f>
        <v>100</v>
      </c>
      <c r="I23" s="390"/>
      <c r="J23" s="388">
        <f>SUMIF(85:85,I24,86:86)-SUMIF(85:85,C24,86:86)+100</f>
        <v>100</v>
      </c>
      <c r="K23" s="539"/>
      <c r="L23" s="2489"/>
      <c r="M23" s="2484"/>
      <c r="N23" s="2484"/>
      <c r="O23" s="2484"/>
      <c r="P23" s="3380"/>
      <c r="Q23" s="1262" t="str">
        <f>B23</f>
        <v>环境质量</v>
      </c>
      <c r="R23" s="666" t="s">
        <v>14</v>
      </c>
      <c r="S23" s="667">
        <f>F23</f>
        <v>100</v>
      </c>
      <c r="T23" s="666" t="s">
        <v>14</v>
      </c>
      <c r="U23" s="667">
        <f>H23</f>
        <v>100</v>
      </c>
      <c r="V23" s="666" t="s">
        <v>14</v>
      </c>
      <c r="W23" s="667">
        <f>J23</f>
        <v>100</v>
      </c>
      <c r="X23" s="1264"/>
      <c r="Y23" s="3382"/>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89"/>
      <c r="M24" s="2484"/>
      <c r="N24" s="2484"/>
      <c r="O24" s="2484"/>
      <c r="P24" s="3380"/>
      <c r="Q24" s="1262"/>
      <c r="R24" s="666"/>
      <c r="S24" s="667"/>
      <c r="T24" s="666"/>
      <c r="U24" s="667"/>
      <c r="V24" s="666"/>
      <c r="W24" s="667"/>
      <c r="X24" s="1264"/>
      <c r="Y24" s="3382"/>
      <c r="Z24" s="1263"/>
      <c r="AA24" s="1263">
        <v>1</v>
      </c>
      <c r="AB24" s="1263">
        <v>1</v>
      </c>
      <c r="AC24" s="1811">
        <v>1</v>
      </c>
    </row>
    <row r="25" spans="1:29" ht="27">
      <c r="A25" s="347"/>
      <c r="B25" s="555" t="s">
        <v>1813</v>
      </c>
      <c r="C25" s="1761"/>
      <c r="D25" s="373">
        <v>100</v>
      </c>
      <c r="E25" s="372"/>
      <c r="F25" s="373">
        <f>SUMIF(87:87,E26,88:88)-SUMIF(87:87,C26,88:88)+100</f>
        <v>100</v>
      </c>
      <c r="G25" s="1761"/>
      <c r="H25" s="373">
        <f>SUMIF(87:87,G26,88:88)-SUMIF(87:87,C26,88:88)+100</f>
        <v>100</v>
      </c>
      <c r="I25" s="372"/>
      <c r="J25" s="373">
        <f>SUMIF(87:87,I26,88:88)-SUMIF(87:87,C26,88:88)+100</f>
        <v>100</v>
      </c>
      <c r="K25" s="539"/>
      <c r="L25" s="2489"/>
      <c r="M25" s="2484"/>
      <c r="N25" s="2484"/>
      <c r="O25" s="2484"/>
      <c r="P25" s="3380"/>
      <c r="Q25" s="1262" t="str">
        <f>B25</f>
        <v>毗邻道路的类型与等级</v>
      </c>
      <c r="R25" s="666" t="s">
        <v>14</v>
      </c>
      <c r="S25" s="667">
        <f>F25</f>
        <v>100</v>
      </c>
      <c r="T25" s="666" t="s">
        <v>14</v>
      </c>
      <c r="U25" s="667">
        <f>H25</f>
        <v>100</v>
      </c>
      <c r="V25" s="666" t="s">
        <v>14</v>
      </c>
      <c r="W25" s="667">
        <f>J25</f>
        <v>100</v>
      </c>
      <c r="X25" s="1264"/>
      <c r="Y25" s="3382"/>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89"/>
      <c r="M26" s="2484"/>
      <c r="N26" s="2484"/>
      <c r="O26" s="2484"/>
      <c r="P26" s="3380"/>
      <c r="Q26" s="1262"/>
      <c r="R26" s="666"/>
      <c r="S26" s="667"/>
      <c r="T26" s="666"/>
      <c r="U26" s="667"/>
      <c r="V26" s="666"/>
      <c r="W26" s="667"/>
      <c r="X26" s="1264"/>
      <c r="Y26" s="3382"/>
      <c r="Z26" s="1263"/>
      <c r="AA26" s="1263">
        <v>1</v>
      </c>
      <c r="AB26" s="1263">
        <v>1</v>
      </c>
      <c r="AC26" s="1811">
        <v>1</v>
      </c>
    </row>
    <row r="27" spans="1:29" ht="15">
      <c r="A27" s="366"/>
      <c r="B27" s="400" t="s">
        <v>1781</v>
      </c>
      <c r="C27" s="557"/>
      <c r="D27" s="373">
        <v>100</v>
      </c>
      <c r="E27" s="541"/>
      <c r="F27" s="373">
        <f>SUMIF(89:89,E27,90:90)-SUMIF(89:89,C27,90:90)+100</f>
        <v>100</v>
      </c>
      <c r="G27" s="557"/>
      <c r="H27" s="373">
        <f>SUMIF(89:89,G27,90:90)-SUMIF(89:89,C27,90:90)+100</f>
        <v>100</v>
      </c>
      <c r="I27" s="541"/>
      <c r="J27" s="373">
        <f>SUMIF(89:89,I27,90:90)-SUMIF(89:89,C27,90:90)+100</f>
        <v>100</v>
      </c>
      <c r="K27" s="537"/>
      <c r="L27" s="2489"/>
      <c r="M27" s="2484"/>
      <c r="N27" s="2484"/>
      <c r="O27" s="2484"/>
      <c r="P27" s="3380"/>
      <c r="Q27" s="1262" t="str">
        <f t="shared" ref="Q27:Q47" si="11">B27</f>
        <v>楼层</v>
      </c>
      <c r="R27" s="666" t="s">
        <v>14</v>
      </c>
      <c r="S27" s="667">
        <f>F27</f>
        <v>100</v>
      </c>
      <c r="T27" s="666" t="s">
        <v>14</v>
      </c>
      <c r="U27" s="667">
        <f>H27</f>
        <v>100</v>
      </c>
      <c r="V27" s="666" t="s">
        <v>14</v>
      </c>
      <c r="W27" s="667">
        <f>J27</f>
        <v>100</v>
      </c>
      <c r="X27" s="1264"/>
      <c r="Y27" s="3382"/>
      <c r="Z27" s="1263" t="str">
        <f>Q27</f>
        <v>楼层</v>
      </c>
      <c r="AA27" s="1263">
        <f t="shared" si="3"/>
        <v>1</v>
      </c>
      <c r="AB27" s="1263">
        <f t="shared" si="4"/>
        <v>1</v>
      </c>
      <c r="AC27" s="1811">
        <f t="shared" si="5"/>
        <v>1</v>
      </c>
    </row>
    <row r="28" spans="1:29" s="102" customFormat="1" ht="15">
      <c r="A28" s="369"/>
      <c r="B28" s="555" t="s">
        <v>1814</v>
      </c>
      <c r="C28" s="1814"/>
      <c r="D28" s="400">
        <v>100</v>
      </c>
      <c r="E28" s="1806"/>
      <c r="F28" s="400">
        <f>SUMIF(91:91,E28,92:92)-SUMIF(91:91,C28,92:92)+100</f>
        <v>100</v>
      </c>
      <c r="G28" s="1814"/>
      <c r="H28" s="400">
        <f>SUMIF(91:91,G28,92:92)-SUMIF(91:91,C28,92:92)+100</f>
        <v>100</v>
      </c>
      <c r="I28" s="1806"/>
      <c r="J28" s="400">
        <f>SUMIF(91:91,I28,92:92)-SUMIF(91:91,C28,92:92)+100</f>
        <v>100</v>
      </c>
      <c r="K28" s="537"/>
      <c r="L28" s="2485"/>
      <c r="M28" s="2436"/>
      <c r="N28" s="2436"/>
      <c r="O28" s="2436"/>
      <c r="P28" s="3380"/>
      <c r="Q28" s="529" t="str">
        <f t="shared" si="11"/>
        <v>朝向</v>
      </c>
      <c r="R28" s="663" t="s">
        <v>14</v>
      </c>
      <c r="S28" s="664">
        <f>F28</f>
        <v>100</v>
      </c>
      <c r="T28" s="663" t="s">
        <v>14</v>
      </c>
      <c r="U28" s="664">
        <f>H28</f>
        <v>100</v>
      </c>
      <c r="V28" s="663" t="s">
        <v>14</v>
      </c>
      <c r="W28" s="664">
        <f>J28</f>
        <v>100</v>
      </c>
      <c r="X28" s="665"/>
      <c r="Y28" s="3382"/>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89"/>
      <c r="M29" s="2484"/>
      <c r="N29" s="2484"/>
      <c r="O29" s="2484"/>
      <c r="P29" s="3380"/>
      <c r="Q29" s="1262">
        <f t="shared" si="11"/>
        <v>111</v>
      </c>
      <c r="R29" s="666" t="s">
        <v>14</v>
      </c>
      <c r="S29" s="667">
        <f t="shared" ref="S29:S47" si="12">F29</f>
        <v>100</v>
      </c>
      <c r="T29" s="666" t="s">
        <v>14</v>
      </c>
      <c r="U29" s="667">
        <f t="shared" ref="U29:U47" si="13">H29</f>
        <v>100</v>
      </c>
      <c r="V29" s="666" t="s">
        <v>14</v>
      </c>
      <c r="W29" s="667">
        <f t="shared" ref="W29:W47" si="14">J29</f>
        <v>100</v>
      </c>
      <c r="X29" s="1264"/>
      <c r="Y29" s="3382"/>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89"/>
      <c r="M30" s="2484"/>
      <c r="N30" s="2484"/>
      <c r="O30" s="2484"/>
      <c r="P30" s="3380"/>
      <c r="Q30" s="1262">
        <f t="shared" si="11"/>
        <v>111</v>
      </c>
      <c r="R30" s="666" t="s">
        <v>14</v>
      </c>
      <c r="S30" s="667">
        <f t="shared" si="12"/>
        <v>100</v>
      </c>
      <c r="T30" s="666" t="s">
        <v>14</v>
      </c>
      <c r="U30" s="667">
        <f t="shared" si="13"/>
        <v>100</v>
      </c>
      <c r="V30" s="666" t="s">
        <v>14</v>
      </c>
      <c r="W30" s="667">
        <f t="shared" si="14"/>
        <v>100</v>
      </c>
      <c r="X30" s="1264"/>
      <c r="Y30" s="3382"/>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89"/>
      <c r="M31" s="2484"/>
      <c r="N31" s="2484"/>
      <c r="O31" s="2484"/>
      <c r="P31" s="3380"/>
      <c r="Q31" s="1262">
        <f t="shared" si="11"/>
        <v>111</v>
      </c>
      <c r="R31" s="666" t="s">
        <v>14</v>
      </c>
      <c r="S31" s="667">
        <f t="shared" si="12"/>
        <v>100</v>
      </c>
      <c r="T31" s="666" t="s">
        <v>14</v>
      </c>
      <c r="U31" s="667">
        <f t="shared" si="13"/>
        <v>100</v>
      </c>
      <c r="V31" s="666" t="s">
        <v>14</v>
      </c>
      <c r="W31" s="667">
        <f t="shared" si="14"/>
        <v>100</v>
      </c>
      <c r="X31" s="1264"/>
      <c r="Y31" s="3382"/>
      <c r="Z31" s="1263">
        <f t="shared" si="15"/>
        <v>111</v>
      </c>
      <c r="AA31" s="1263">
        <f t="shared" si="3"/>
        <v>1</v>
      </c>
      <c r="AB31" s="1263">
        <f t="shared" si="4"/>
        <v>1</v>
      </c>
      <c r="AC31" s="1811">
        <f t="shared" si="5"/>
        <v>1</v>
      </c>
    </row>
    <row r="32" spans="1:29" ht="15.75"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89"/>
      <c r="M32" s="2484"/>
      <c r="N32" s="2484"/>
      <c r="O32" s="2484"/>
      <c r="P32" s="3380"/>
      <c r="Q32" s="1262">
        <f t="shared" si="11"/>
        <v>111</v>
      </c>
      <c r="R32" s="666" t="s">
        <v>14</v>
      </c>
      <c r="S32" s="667">
        <f t="shared" si="12"/>
        <v>100</v>
      </c>
      <c r="T32" s="666" t="s">
        <v>14</v>
      </c>
      <c r="U32" s="667">
        <f t="shared" si="13"/>
        <v>100</v>
      </c>
      <c r="V32" s="666" t="s">
        <v>14</v>
      </c>
      <c r="W32" s="667">
        <f t="shared" si="14"/>
        <v>100</v>
      </c>
      <c r="X32" s="1264"/>
      <c r="Y32" s="3382"/>
      <c r="Z32" s="1263">
        <f t="shared" si="15"/>
        <v>111</v>
      </c>
      <c r="AA32" s="1263">
        <f t="shared" si="3"/>
        <v>1</v>
      </c>
      <c r="AB32" s="1263">
        <f t="shared" si="4"/>
        <v>1</v>
      </c>
      <c r="AC32" s="1811">
        <f t="shared" si="5"/>
        <v>1</v>
      </c>
    </row>
    <row r="33" spans="1:29" ht="15">
      <c r="A33" s="378" t="s">
        <v>1692</v>
      </c>
      <c r="B33" s="60" t="s">
        <v>1815</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89"/>
      <c r="M33" s="2484"/>
      <c r="N33" s="2484"/>
      <c r="O33" s="2484"/>
      <c r="P33" s="3383" t="s">
        <v>1694</v>
      </c>
      <c r="Q33" s="1262" t="str">
        <f t="shared" si="11"/>
        <v>建筑类型</v>
      </c>
      <c r="R33" s="666" t="s">
        <v>14</v>
      </c>
      <c r="S33" s="667">
        <f t="shared" si="12"/>
        <v>100</v>
      </c>
      <c r="T33" s="666" t="s">
        <v>14</v>
      </c>
      <c r="U33" s="667">
        <f t="shared" si="13"/>
        <v>100</v>
      </c>
      <c r="V33" s="666" t="s">
        <v>14</v>
      </c>
      <c r="W33" s="667">
        <f t="shared" si="14"/>
        <v>100</v>
      </c>
      <c r="X33" s="1264"/>
      <c r="Y33" s="3386" t="s">
        <v>1694</v>
      </c>
      <c r="Z33" s="1263" t="str">
        <f t="shared" si="15"/>
        <v>建筑类型</v>
      </c>
      <c r="AA33" s="1263">
        <f t="shared" si="3"/>
        <v>1</v>
      </c>
      <c r="AB33" s="1263">
        <f t="shared" si="4"/>
        <v>1</v>
      </c>
      <c r="AC33" s="1811">
        <f t="shared" si="5"/>
        <v>1</v>
      </c>
    </row>
    <row r="34" spans="1:29" s="407" customFormat="1" ht="15">
      <c r="A34" s="405"/>
      <c r="B34" s="363" t="s">
        <v>1695</v>
      </c>
      <c r="C34" s="406"/>
      <c r="D34" s="119">
        <v>100</v>
      </c>
      <c r="E34" s="368"/>
      <c r="F34" s="363" t="e">
        <f>LOOKUP(E34,104:104,105:105)-LOOKUP(C34,104:104,105:105)+100</f>
        <v>#N/A</v>
      </c>
      <c r="G34" s="367"/>
      <c r="H34" s="119" t="e">
        <f>LOOKUP(G34,104:104,105:105)-LOOKUP(C34,104:104,105:105)+100</f>
        <v>#N/A</v>
      </c>
      <c r="I34" s="367"/>
      <c r="J34" s="119" t="e">
        <f>LOOKUP(I34,104:104,105:105)-LOOKUP(C34,104:104,105:105)+100</f>
        <v>#N/A</v>
      </c>
      <c r="K34" s="538"/>
      <c r="L34" s="2488"/>
      <c r="M34" s="2490"/>
      <c r="N34" s="2490"/>
      <c r="O34" s="2490"/>
      <c r="P34" s="3384"/>
      <c r="Q34" s="530" t="str">
        <f t="shared" si="11"/>
        <v>项目建筑规模</v>
      </c>
      <c r="R34" s="668" t="s">
        <v>14</v>
      </c>
      <c r="S34" s="669" t="e">
        <f t="shared" si="12"/>
        <v>#N/A</v>
      </c>
      <c r="T34" s="668" t="s">
        <v>14</v>
      </c>
      <c r="U34" s="669" t="e">
        <f t="shared" si="13"/>
        <v>#N/A</v>
      </c>
      <c r="V34" s="668" t="s">
        <v>14</v>
      </c>
      <c r="W34" s="669" t="e">
        <f t="shared" si="14"/>
        <v>#N/A</v>
      </c>
      <c r="X34" s="670"/>
      <c r="Y34" s="3386"/>
      <c r="Z34" s="671" t="str">
        <f t="shared" si="15"/>
        <v>项目建筑规模</v>
      </c>
      <c r="AA34" s="1263" t="e">
        <f t="shared" si="3"/>
        <v>#N/A</v>
      </c>
      <c r="AB34" s="1263" t="e">
        <f t="shared" si="4"/>
        <v>#N/A</v>
      </c>
      <c r="AC34" s="1811" t="e">
        <f t="shared" si="5"/>
        <v>#N/A</v>
      </c>
    </row>
    <row r="35" spans="1:29" ht="15">
      <c r="A35" s="408"/>
      <c r="B35" s="363" t="s">
        <v>1696</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9"/>
      <c r="M35" s="2484"/>
      <c r="N35" s="2484"/>
      <c r="O35" s="2484"/>
      <c r="P35" s="3384"/>
      <c r="Q35" s="1262" t="str">
        <f t="shared" si="11"/>
        <v>建筑结构</v>
      </c>
      <c r="R35" s="666" t="s">
        <v>14</v>
      </c>
      <c r="S35" s="667">
        <f t="shared" si="12"/>
        <v>100</v>
      </c>
      <c r="T35" s="666" t="s">
        <v>14</v>
      </c>
      <c r="U35" s="667">
        <f t="shared" si="13"/>
        <v>100</v>
      </c>
      <c r="V35" s="666" t="s">
        <v>14</v>
      </c>
      <c r="W35" s="667">
        <f t="shared" si="14"/>
        <v>100</v>
      </c>
      <c r="X35" s="1264"/>
      <c r="Y35" s="3386"/>
      <c r="Z35" s="1263" t="str">
        <f t="shared" si="15"/>
        <v>建筑结构</v>
      </c>
      <c r="AA35" s="1263">
        <f t="shared" si="3"/>
        <v>1</v>
      </c>
      <c r="AB35" s="1263">
        <f t="shared" si="4"/>
        <v>1</v>
      </c>
      <c r="AC35" s="1811">
        <f t="shared" si="5"/>
        <v>1</v>
      </c>
    </row>
    <row r="36" spans="1:29" ht="15">
      <c r="A36" s="408"/>
      <c r="B36" s="363" t="s">
        <v>1783</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9"/>
      <c r="M36" s="2484"/>
      <c r="N36" s="2484"/>
      <c r="O36" s="2484"/>
      <c r="P36" s="3384"/>
      <c r="Q36" s="1262" t="str">
        <f t="shared" si="11"/>
        <v>公共部分装修</v>
      </c>
      <c r="R36" s="666" t="s">
        <v>14</v>
      </c>
      <c r="S36" s="667">
        <f t="shared" si="12"/>
        <v>100</v>
      </c>
      <c r="T36" s="666" t="s">
        <v>14</v>
      </c>
      <c r="U36" s="667">
        <f t="shared" si="13"/>
        <v>100</v>
      </c>
      <c r="V36" s="666" t="s">
        <v>14</v>
      </c>
      <c r="W36" s="667">
        <f t="shared" si="14"/>
        <v>100</v>
      </c>
      <c r="X36" s="1264"/>
      <c r="Y36" s="3386"/>
      <c r="Z36" s="1263" t="str">
        <f t="shared" si="15"/>
        <v>公共部分装修</v>
      </c>
      <c r="AA36" s="1263">
        <f t="shared" si="3"/>
        <v>1</v>
      </c>
      <c r="AB36" s="1263">
        <f t="shared" si="4"/>
        <v>1</v>
      </c>
      <c r="AC36" s="1811">
        <f t="shared" si="5"/>
        <v>1</v>
      </c>
    </row>
    <row r="37" spans="1:29" ht="15">
      <c r="A37" s="408"/>
      <c r="B37" s="363" t="s">
        <v>1784</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9"/>
      <c r="M37" s="2484"/>
      <c r="N37" s="2484"/>
      <c r="O37" s="2484"/>
      <c r="P37" s="3384"/>
      <c r="Q37" s="1262" t="str">
        <f t="shared" si="11"/>
        <v>成新度</v>
      </c>
      <c r="R37" s="666" t="s">
        <v>14</v>
      </c>
      <c r="S37" s="667" t="e">
        <f t="shared" si="12"/>
        <v>#N/A</v>
      </c>
      <c r="T37" s="666" t="s">
        <v>14</v>
      </c>
      <c r="U37" s="667" t="e">
        <f t="shared" si="13"/>
        <v>#N/A</v>
      </c>
      <c r="V37" s="666" t="s">
        <v>14</v>
      </c>
      <c r="W37" s="667" t="e">
        <f t="shared" si="14"/>
        <v>#N/A</v>
      </c>
      <c r="X37" s="1264"/>
      <c r="Y37" s="3386"/>
      <c r="Z37" s="1263" t="str">
        <f t="shared" si="15"/>
        <v>成新度</v>
      </c>
      <c r="AA37" s="1263" t="e">
        <f t="shared" si="3"/>
        <v>#N/A</v>
      </c>
      <c r="AB37" s="1263" t="e">
        <f t="shared" si="4"/>
        <v>#N/A</v>
      </c>
      <c r="AC37" s="1811" t="e">
        <f t="shared" si="5"/>
        <v>#N/A</v>
      </c>
    </row>
    <row r="38" spans="1:29" s="102" customFormat="1" ht="15">
      <c r="A38" s="409"/>
      <c r="B38" s="363" t="s">
        <v>1816</v>
      </c>
      <c r="C38" s="398"/>
      <c r="D38" s="119">
        <v>100</v>
      </c>
      <c r="E38" s="398"/>
      <c r="F38" s="399">
        <f>SUMIF(113:113,E38,114:114)-SUMIF(113:113,C38,114:114)+100</f>
        <v>100</v>
      </c>
      <c r="G38" s="398"/>
      <c r="H38" s="373">
        <f>SUMIF(113:113,G38,114:114)-SUMIF(113:113,C38,114:114)+100</f>
        <v>100</v>
      </c>
      <c r="I38" s="398"/>
      <c r="J38" s="373">
        <f>SUMIF(113:113,I38,114:114)-SUMIF(113:113,C38,114:114)+100</f>
        <v>100</v>
      </c>
      <c r="K38" s="537"/>
      <c r="L38" s="2485"/>
      <c r="M38" s="2436"/>
      <c r="N38" s="2436"/>
      <c r="O38" s="2436"/>
      <c r="P38" s="3384"/>
      <c r="Q38" s="529" t="str">
        <f t="shared" si="11"/>
        <v>写字楼等级</v>
      </c>
      <c r="R38" s="663" t="s">
        <v>14</v>
      </c>
      <c r="S38" s="664">
        <f t="shared" si="12"/>
        <v>100</v>
      </c>
      <c r="T38" s="663" t="s">
        <v>14</v>
      </c>
      <c r="U38" s="664">
        <f t="shared" si="13"/>
        <v>100</v>
      </c>
      <c r="V38" s="663" t="s">
        <v>14</v>
      </c>
      <c r="W38" s="664">
        <f t="shared" si="14"/>
        <v>100</v>
      </c>
      <c r="X38" s="665"/>
      <c r="Y38" s="3386"/>
      <c r="Z38" s="50" t="str">
        <f t="shared" si="15"/>
        <v>写字楼等级</v>
      </c>
      <c r="AA38" s="50">
        <f t="shared" si="3"/>
        <v>1</v>
      </c>
      <c r="AB38" s="50">
        <f t="shared" si="4"/>
        <v>1</v>
      </c>
      <c r="AC38" s="801">
        <f t="shared" si="5"/>
        <v>1</v>
      </c>
    </row>
    <row r="39" spans="1:29" ht="15">
      <c r="A39" s="408"/>
      <c r="B39" s="363" t="s">
        <v>1817</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9"/>
      <c r="M39" s="2484"/>
      <c r="N39" s="2484"/>
      <c r="O39" s="2484"/>
      <c r="P39" s="3384" t="s">
        <v>1694</v>
      </c>
      <c r="Q39" s="1262" t="str">
        <f t="shared" si="11"/>
        <v>物业管理</v>
      </c>
      <c r="R39" s="666" t="s">
        <v>14</v>
      </c>
      <c r="S39" s="667">
        <f t="shared" si="12"/>
        <v>100</v>
      </c>
      <c r="T39" s="666" t="s">
        <v>14</v>
      </c>
      <c r="U39" s="667">
        <f t="shared" si="13"/>
        <v>100</v>
      </c>
      <c r="V39" s="666" t="s">
        <v>14</v>
      </c>
      <c r="W39" s="667">
        <f t="shared" si="14"/>
        <v>100</v>
      </c>
      <c r="X39" s="1264"/>
      <c r="Y39" s="3386" t="s">
        <v>1694</v>
      </c>
      <c r="Z39" s="1263" t="str">
        <f t="shared" si="15"/>
        <v>物业管理</v>
      </c>
      <c r="AA39" s="1263">
        <f t="shared" si="3"/>
        <v>1</v>
      </c>
      <c r="AB39" s="1263">
        <f t="shared" si="4"/>
        <v>1</v>
      </c>
      <c r="AC39" s="1811">
        <f t="shared" si="5"/>
        <v>1</v>
      </c>
    </row>
    <row r="40" spans="1:29" ht="15">
      <c r="A40" s="408"/>
      <c r="B40" s="363" t="s">
        <v>1785</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9"/>
      <c r="M40" s="2484"/>
      <c r="N40" s="2484"/>
      <c r="O40" s="2484"/>
      <c r="P40" s="3384"/>
      <c r="Q40" s="1262" t="str">
        <f t="shared" si="11"/>
        <v>市政基础设施</v>
      </c>
      <c r="R40" s="666" t="s">
        <v>14</v>
      </c>
      <c r="S40" s="667">
        <f t="shared" si="12"/>
        <v>100</v>
      </c>
      <c r="T40" s="666" t="s">
        <v>14</v>
      </c>
      <c r="U40" s="667">
        <f t="shared" si="13"/>
        <v>100</v>
      </c>
      <c r="V40" s="666" t="s">
        <v>14</v>
      </c>
      <c r="W40" s="667">
        <f t="shared" si="14"/>
        <v>100</v>
      </c>
      <c r="X40" s="1264"/>
      <c r="Y40" s="3386"/>
      <c r="Z40" s="1263" t="str">
        <f t="shared" si="15"/>
        <v>市政基础设施</v>
      </c>
      <c r="AA40" s="1263">
        <f t="shared" si="3"/>
        <v>1</v>
      </c>
      <c r="AB40" s="1263">
        <f t="shared" si="4"/>
        <v>1</v>
      </c>
      <c r="AC40" s="1811">
        <f t="shared" si="5"/>
        <v>1</v>
      </c>
    </row>
    <row r="41" spans="1:29" ht="15">
      <c r="A41" s="408"/>
      <c r="B41" s="363" t="s">
        <v>1787</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9"/>
      <c r="M41" s="2484"/>
      <c r="N41" s="2484"/>
      <c r="O41" s="2484"/>
      <c r="P41" s="3384"/>
      <c r="Q41" s="1262" t="str">
        <f t="shared" si="11"/>
        <v>层高</v>
      </c>
      <c r="R41" s="666" t="s">
        <v>14</v>
      </c>
      <c r="S41" s="667">
        <f t="shared" si="12"/>
        <v>100</v>
      </c>
      <c r="T41" s="666" t="s">
        <v>14</v>
      </c>
      <c r="U41" s="667">
        <f t="shared" si="13"/>
        <v>100</v>
      </c>
      <c r="V41" s="666" t="s">
        <v>14</v>
      </c>
      <c r="W41" s="667">
        <f t="shared" si="14"/>
        <v>100</v>
      </c>
      <c r="X41" s="1264"/>
      <c r="Y41" s="3386"/>
      <c r="Z41" s="1263" t="str">
        <f t="shared" si="15"/>
        <v>层高</v>
      </c>
      <c r="AA41" s="1263">
        <f t="shared" si="3"/>
        <v>1</v>
      </c>
      <c r="AB41" s="1263">
        <f t="shared" si="4"/>
        <v>1</v>
      </c>
      <c r="AC41" s="1811">
        <f t="shared" si="5"/>
        <v>1</v>
      </c>
    </row>
    <row r="42" spans="1:29" s="407" customFormat="1" ht="15">
      <c r="A42" s="405"/>
      <c r="B42" s="399" t="s">
        <v>1818</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8"/>
      <c r="M42" s="2490"/>
      <c r="N42" s="2490"/>
      <c r="O42" s="2490"/>
      <c r="P42" s="3384"/>
      <c r="Q42" s="530" t="str">
        <f t="shared" si="11"/>
        <v>单套建筑面积</v>
      </c>
      <c r="R42" s="668" t="s">
        <v>14</v>
      </c>
      <c r="S42" s="669">
        <f t="shared" si="12"/>
        <v>100</v>
      </c>
      <c r="T42" s="668" t="s">
        <v>14</v>
      </c>
      <c r="U42" s="669">
        <f t="shared" si="13"/>
        <v>100</v>
      </c>
      <c r="V42" s="668" t="s">
        <v>14</v>
      </c>
      <c r="W42" s="669">
        <f t="shared" si="14"/>
        <v>100</v>
      </c>
      <c r="X42" s="670"/>
      <c r="Y42" s="3386"/>
      <c r="Z42" s="671" t="str">
        <f t="shared" si="15"/>
        <v>单套建筑面积</v>
      </c>
      <c r="AA42" s="1263">
        <f t="shared" si="3"/>
        <v>1</v>
      </c>
      <c r="AB42" s="1263">
        <f t="shared" si="4"/>
        <v>1</v>
      </c>
      <c r="AC42" s="1811">
        <f t="shared" si="5"/>
        <v>1</v>
      </c>
    </row>
    <row r="43" spans="1:29" ht="15">
      <c r="A43" s="408"/>
      <c r="B43" s="363" t="s">
        <v>1790</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9"/>
      <c r="M43" s="2484"/>
      <c r="N43" s="2484"/>
      <c r="O43" s="2484"/>
      <c r="P43" s="3384"/>
      <c r="Q43" s="1262" t="str">
        <f t="shared" si="11"/>
        <v>内部装修</v>
      </c>
      <c r="R43" s="666" t="s">
        <v>14</v>
      </c>
      <c r="S43" s="667">
        <f t="shared" si="12"/>
        <v>100</v>
      </c>
      <c r="T43" s="666" t="s">
        <v>14</v>
      </c>
      <c r="U43" s="667">
        <f t="shared" si="13"/>
        <v>100</v>
      </c>
      <c r="V43" s="666" t="s">
        <v>14</v>
      </c>
      <c r="W43" s="667">
        <f t="shared" si="14"/>
        <v>100</v>
      </c>
      <c r="X43" s="1264"/>
      <c r="Y43" s="3386"/>
      <c r="Z43" s="1263" t="str">
        <f t="shared" si="15"/>
        <v>内部装修</v>
      </c>
      <c r="AA43" s="1263">
        <f t="shared" si="3"/>
        <v>1</v>
      </c>
      <c r="AB43" s="1263">
        <f t="shared" si="4"/>
        <v>1</v>
      </c>
      <c r="AC43" s="1811">
        <f t="shared" si="5"/>
        <v>1</v>
      </c>
    </row>
    <row r="44" spans="1:29" ht="15">
      <c r="A44" s="408"/>
      <c r="B44" s="363" t="s">
        <v>1705</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89"/>
      <c r="M44" s="2484"/>
      <c r="N44" s="2484"/>
      <c r="O44" s="2484"/>
      <c r="P44" s="3384"/>
      <c r="Q44" s="1262" t="str">
        <f t="shared" si="11"/>
        <v>内部装修维护情况</v>
      </c>
      <c r="R44" s="666" t="s">
        <v>14</v>
      </c>
      <c r="S44" s="667">
        <f t="shared" si="12"/>
        <v>100</v>
      </c>
      <c r="T44" s="666" t="s">
        <v>14</v>
      </c>
      <c r="U44" s="667">
        <f t="shared" si="13"/>
        <v>100</v>
      </c>
      <c r="V44" s="666" t="s">
        <v>14</v>
      </c>
      <c r="W44" s="667">
        <f t="shared" si="14"/>
        <v>100</v>
      </c>
      <c r="X44" s="1264"/>
      <c r="Y44" s="3386"/>
      <c r="Z44" s="1263" t="str">
        <f t="shared" si="15"/>
        <v>内部装修维护情况</v>
      </c>
      <c r="AA44" s="1263">
        <f t="shared" si="3"/>
        <v>1</v>
      </c>
      <c r="AB44" s="1263">
        <f t="shared" si="4"/>
        <v>1</v>
      </c>
      <c r="AC44" s="1811">
        <f t="shared" si="5"/>
        <v>1</v>
      </c>
    </row>
    <row r="45" spans="1:29" s="102" customFormat="1" ht="15">
      <c r="A45" s="409"/>
      <c r="B45" s="1065">
        <v>111</v>
      </c>
      <c r="C45" s="406"/>
      <c r="D45" s="119">
        <v>100</v>
      </c>
      <c r="E45" s="370"/>
      <c r="F45" s="363">
        <f>SUMIF(127:127,E45,128:128)-SUMIF(127:127,C45,128:128)+100</f>
        <v>100</v>
      </c>
      <c r="G45" s="370"/>
      <c r="H45" s="119">
        <f>SUMIF(127:127,G45,128:128)-SUMIF(127:127,C45,128:128)+100</f>
        <v>100</v>
      </c>
      <c r="I45" s="370"/>
      <c r="J45" s="119">
        <f>SUMIF(127:127,I45,128:128)-SUMIF(127:127,C45,128:128)+100</f>
        <v>100</v>
      </c>
      <c r="K45" s="538"/>
      <c r="L45" s="2485"/>
      <c r="M45" s="2436"/>
      <c r="N45" s="2436"/>
      <c r="O45" s="2436"/>
      <c r="P45" s="3384"/>
      <c r="Q45" s="529">
        <f t="shared" si="11"/>
        <v>111</v>
      </c>
      <c r="R45" s="663" t="s">
        <v>14</v>
      </c>
      <c r="S45" s="664">
        <f t="shared" si="12"/>
        <v>100</v>
      </c>
      <c r="T45" s="663" t="s">
        <v>14</v>
      </c>
      <c r="U45" s="664">
        <f t="shared" si="13"/>
        <v>100</v>
      </c>
      <c r="V45" s="663" t="s">
        <v>14</v>
      </c>
      <c r="W45" s="664">
        <f t="shared" si="14"/>
        <v>100</v>
      </c>
      <c r="X45" s="665"/>
      <c r="Y45" s="3386"/>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9"/>
      <c r="M46" s="2484"/>
      <c r="N46" s="2484"/>
      <c r="O46" s="2484"/>
      <c r="P46" s="3384"/>
      <c r="Q46" s="1262">
        <f t="shared" si="11"/>
        <v>111</v>
      </c>
      <c r="R46" s="666" t="s">
        <v>14</v>
      </c>
      <c r="S46" s="667">
        <f t="shared" si="12"/>
        <v>100</v>
      </c>
      <c r="T46" s="666" t="s">
        <v>14</v>
      </c>
      <c r="U46" s="667">
        <f t="shared" si="13"/>
        <v>100</v>
      </c>
      <c r="V46" s="666" t="s">
        <v>14</v>
      </c>
      <c r="W46" s="667">
        <f t="shared" si="14"/>
        <v>100</v>
      </c>
      <c r="X46" s="1264"/>
      <c r="Y46" s="3386"/>
      <c r="Z46" s="1263">
        <f t="shared" si="15"/>
        <v>111</v>
      </c>
      <c r="AA46" s="1263">
        <f t="shared" si="3"/>
        <v>1</v>
      </c>
      <c r="AB46" s="1263">
        <f t="shared" si="4"/>
        <v>1</v>
      </c>
      <c r="AC46" s="1811">
        <f t="shared" si="5"/>
        <v>1</v>
      </c>
    </row>
    <row r="47" spans="1:29" ht="15.75"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9"/>
      <c r="M47" s="2484"/>
      <c r="N47" s="2484"/>
      <c r="O47" s="2484"/>
      <c r="P47" s="3385"/>
      <c r="Q47" s="1262">
        <f t="shared" si="11"/>
        <v>111</v>
      </c>
      <c r="R47" s="666" t="s">
        <v>14</v>
      </c>
      <c r="S47" s="667">
        <f t="shared" si="12"/>
        <v>100</v>
      </c>
      <c r="T47" s="666" t="s">
        <v>14</v>
      </c>
      <c r="U47" s="667">
        <f t="shared" si="13"/>
        <v>100</v>
      </c>
      <c r="V47" s="666" t="s">
        <v>14</v>
      </c>
      <c r="W47" s="667">
        <f t="shared" si="14"/>
        <v>100</v>
      </c>
      <c r="X47" s="1264"/>
      <c r="Y47" s="3387"/>
      <c r="Z47" s="1263">
        <f t="shared" si="15"/>
        <v>111</v>
      </c>
      <c r="AA47" s="1263">
        <f t="shared" si="3"/>
        <v>1</v>
      </c>
      <c r="AB47" s="1263">
        <f t="shared" si="4"/>
        <v>1</v>
      </c>
      <c r="AC47" s="1811">
        <f t="shared" si="5"/>
        <v>1</v>
      </c>
    </row>
    <row r="48" spans="1:29" ht="15">
      <c r="A48" s="415" t="s">
        <v>1706</v>
      </c>
      <c r="B48" s="416"/>
      <c r="C48" s="1080" t="s">
        <v>0</v>
      </c>
      <c r="D48" s="417"/>
      <c r="E48" s="418"/>
      <c r="F48" s="419"/>
      <c r="G48" s="420"/>
      <c r="H48" s="421"/>
      <c r="I48" s="418"/>
      <c r="J48" s="421"/>
      <c r="K48" s="673"/>
      <c r="L48" s="2491"/>
      <c r="M48" s="2484"/>
      <c r="N48" s="2484"/>
      <c r="O48" s="2484"/>
      <c r="P48" s="3388" t="str">
        <f>A48</f>
        <v>成交单价（元/平方米）</v>
      </c>
      <c r="Q48" s="3374"/>
      <c r="R48" s="3375">
        <f>E48</f>
        <v>0</v>
      </c>
      <c r="S48" s="3375"/>
      <c r="T48" s="3375">
        <f>G48</f>
        <v>0</v>
      </c>
      <c r="U48" s="3375"/>
      <c r="V48" s="3375">
        <f>I48</f>
        <v>0</v>
      </c>
      <c r="W48" s="3375"/>
      <c r="X48" s="384"/>
      <c r="Y48" s="672"/>
      <c r="Z48" s="384"/>
      <c r="AA48" s="384"/>
      <c r="AB48" s="384"/>
      <c r="AC48" s="554"/>
    </row>
    <row r="49" spans="1:29" ht="15.75" thickBot="1">
      <c r="A49" s="422" t="s">
        <v>1791</v>
      </c>
      <c r="B49" s="423"/>
      <c r="C49" s="1081" t="e">
        <f>R50</f>
        <v>#DIV/0!</v>
      </c>
      <c r="D49" s="2139" t="s">
        <v>2134</v>
      </c>
      <c r="E49" s="1082" t="e">
        <f>R49</f>
        <v>#DIV/0!</v>
      </c>
      <c r="F49" s="2140"/>
      <c r="G49" s="1081" t="e">
        <f>T49</f>
        <v>#DIV/0!</v>
      </c>
      <c r="H49" s="2140"/>
      <c r="I49" s="1082" t="e">
        <f>V49</f>
        <v>#DIV/0!</v>
      </c>
      <c r="J49" s="2140"/>
      <c r="K49" s="2142">
        <f>F49+H49+J49</f>
        <v>0</v>
      </c>
      <c r="L49" s="2491"/>
      <c r="M49" s="2484"/>
      <c r="N49" s="2484"/>
      <c r="O49" s="2484"/>
      <c r="P49" s="3388" t="str">
        <f>A49</f>
        <v>比较价值（元/平方米）</v>
      </c>
      <c r="Q49" s="3374"/>
      <c r="R49" s="3375" t="e">
        <f>IF(F1="售价",ROUND(PRODUCT(R48,AA7:AA47),0),ROUND(PRODUCT(R48,AA7:AA47),1))</f>
        <v>#DIV/0!</v>
      </c>
      <c r="S49" s="3375"/>
      <c r="T49" s="3375" t="e">
        <f>IF(F1="售价",ROUND(PRODUCT(T48,AB7:AB47),0),ROUND(PRODUCT(T48,AB7:AB47),1))</f>
        <v>#DIV/0!</v>
      </c>
      <c r="U49" s="3375"/>
      <c r="V49" s="3375" t="e">
        <f>IF(F1="售价",ROUND(PRODUCT(V48,AC7:AC47),0),ROUND(PRODUCT(V48,AC7:AC47),1))</f>
        <v>#DIV/0!</v>
      </c>
      <c r="W49" s="3375"/>
      <c r="X49" s="384"/>
      <c r="Y49" s="384"/>
      <c r="Z49" s="384"/>
      <c r="AA49" s="384"/>
      <c r="AB49" s="384"/>
      <c r="AC49" s="554"/>
    </row>
    <row r="50" spans="1:29" ht="15.75" thickBot="1">
      <c r="A50" s="426" t="s">
        <v>1792</v>
      </c>
      <c r="B50" s="427"/>
      <c r="C50" s="350" t="e">
        <f>R50</f>
        <v>#DIV/0!</v>
      </c>
      <c r="D50" s="350"/>
      <c r="E50" s="350"/>
      <c r="F50" s="350"/>
      <c r="G50" s="350"/>
      <c r="H50" s="350"/>
      <c r="I50" s="350"/>
      <c r="J50" s="428"/>
      <c r="K50" s="674"/>
      <c r="L50" s="2491"/>
      <c r="M50" s="2484"/>
      <c r="N50" s="2484"/>
      <c r="O50" s="2484"/>
      <c r="P50" s="3469" t="str">
        <f>A50</f>
        <v>估价对象XX用房的比较价值（楼面单价，元/平方米）</v>
      </c>
      <c r="Q50" s="3470"/>
      <c r="R50" s="3471" t="e">
        <f>IF(F1="售价",ROUND(IF(D49="简单平均",AVERAGE(R49:V49),R49*F49+T49*H49+V49*J49),0),ROUND(IF(D49="简单平均",AVERAGE(R49:V49),R49*F49+T49*H49+V49*J49),1))</f>
        <v>#DIV/0!</v>
      </c>
      <c r="S50" s="3471"/>
      <c r="T50" s="3471"/>
      <c r="U50" s="3471"/>
      <c r="V50" s="3471"/>
      <c r="W50" s="3471"/>
      <c r="X50" s="1797"/>
      <c r="Y50" s="1797"/>
      <c r="Z50" s="1797"/>
      <c r="AA50" s="1797"/>
      <c r="AB50" s="1797"/>
      <c r="AC50" s="1798"/>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1" t="s">
        <v>1793</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1" t="s">
        <v>1794</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6" customFormat="1" ht="13.5" customHeight="1">
      <c r="A55" s="2494"/>
      <c r="B55" s="2494"/>
      <c r="C55" s="431" t="s">
        <v>1795</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6"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1.75" thickBot="1">
      <c r="A58" s="657" t="s">
        <v>1796</v>
      </c>
      <c r="B58" s="384"/>
      <c r="C58" s="658"/>
      <c r="D58" s="658"/>
      <c r="E58" s="658"/>
      <c r="F58" s="659"/>
      <c r="G58" s="659"/>
      <c r="H58" s="658"/>
      <c r="I58" s="658"/>
      <c r="J58" s="658"/>
      <c r="K58" s="660"/>
      <c r="L58" s="887"/>
      <c r="M58" s="885"/>
      <c r="N58" s="2534"/>
      <c r="O58" s="2534"/>
      <c r="P58" s="2523"/>
      <c r="Q58" s="2505"/>
      <c r="R58" s="2484"/>
      <c r="S58" s="2484"/>
      <c r="T58" s="2484"/>
      <c r="U58" s="2484"/>
      <c r="V58" s="2484"/>
      <c r="W58" s="2484"/>
      <c r="X58" s="2484"/>
      <c r="Y58" s="2484"/>
      <c r="Z58" s="2484"/>
      <c r="AA58" s="2484"/>
      <c r="AB58" s="2484"/>
      <c r="AC58" s="2484"/>
    </row>
    <row r="59" spans="1:29" s="441" customFormat="1" ht="15">
      <c r="A59" s="439" t="s">
        <v>1677</v>
      </c>
      <c r="B59" s="440"/>
      <c r="C59" s="1102" t="str">
        <f>YEAR(C7)&amp;"-"&amp;MONTH(C7)</f>
        <v>2023-4</v>
      </c>
      <c r="D59" s="1103">
        <f>EDATE(C59,-1)</f>
        <v>44986</v>
      </c>
      <c r="E59" s="1103">
        <f>EDATE(D59,-1)</f>
        <v>44958</v>
      </c>
      <c r="F59" s="1103">
        <f t="shared" ref="F59:O59" si="16">EDATE(E59,-1)</f>
        <v>44927</v>
      </c>
      <c r="G59" s="1103">
        <f t="shared" si="16"/>
        <v>44896</v>
      </c>
      <c r="H59" s="1103">
        <f t="shared" si="16"/>
        <v>44866</v>
      </c>
      <c r="I59" s="1103">
        <f t="shared" si="16"/>
        <v>44835</v>
      </c>
      <c r="J59" s="1103">
        <f t="shared" si="16"/>
        <v>44805</v>
      </c>
      <c r="K59" s="1103">
        <f t="shared" si="16"/>
        <v>44774</v>
      </c>
      <c r="L59" s="1103">
        <f t="shared" si="16"/>
        <v>44743</v>
      </c>
      <c r="M59" s="1103">
        <f t="shared" si="16"/>
        <v>44713</v>
      </c>
      <c r="N59" s="1103">
        <f t="shared" si="16"/>
        <v>44682</v>
      </c>
      <c r="O59" s="1103">
        <f t="shared" si="16"/>
        <v>44652</v>
      </c>
      <c r="P59" s="2524"/>
      <c r="Q59" s="2507"/>
      <c r="R59" s="2507"/>
      <c r="S59" s="2507"/>
      <c r="T59" s="2507"/>
      <c r="U59" s="2507"/>
      <c r="V59" s="2507"/>
      <c r="W59" s="2507"/>
      <c r="X59" s="2507"/>
      <c r="Y59" s="2507"/>
      <c r="Z59" s="2507"/>
      <c r="AA59" s="2507"/>
      <c r="AB59" s="2507"/>
      <c r="AC59" s="2507"/>
    </row>
    <row r="60" spans="1:29" s="102" customFormat="1" ht="15">
      <c r="A60" s="442"/>
      <c r="B60" s="443"/>
      <c r="C60" s="1101">
        <v>100</v>
      </c>
      <c r="D60" s="445"/>
      <c r="E60" s="445"/>
      <c r="F60" s="445"/>
      <c r="G60" s="445"/>
      <c r="H60" s="445"/>
      <c r="I60" s="445"/>
      <c r="J60" s="445"/>
      <c r="K60" s="445"/>
      <c r="L60" s="445"/>
      <c r="M60" s="446"/>
      <c r="N60" s="445"/>
      <c r="O60" s="446"/>
      <c r="P60" s="2525"/>
      <c r="Q60" s="2436"/>
      <c r="R60" s="2436"/>
      <c r="S60" s="2436"/>
      <c r="T60" s="2436"/>
      <c r="U60" s="2436"/>
      <c r="V60" s="2436"/>
      <c r="W60" s="2436"/>
      <c r="X60" s="2436"/>
      <c r="Y60" s="2436"/>
      <c r="Z60" s="2436"/>
      <c r="AA60" s="2436"/>
      <c r="AB60" s="2436"/>
      <c r="AC60" s="2436"/>
    </row>
    <row r="61" spans="1:29" s="102" customFormat="1" ht="15.75" thickBot="1">
      <c r="A61" s="448" t="s">
        <v>1714</v>
      </c>
      <c r="B61" s="449"/>
      <c r="C61" s="450"/>
      <c r="D61" s="451"/>
      <c r="E61" s="451"/>
      <c r="F61" s="451"/>
      <c r="G61" s="451"/>
      <c r="H61" s="451"/>
      <c r="I61" s="451"/>
      <c r="J61" s="451"/>
      <c r="K61" s="451"/>
      <c r="L61" s="451"/>
      <c r="M61" s="452"/>
      <c r="N61" s="451"/>
      <c r="O61" s="452"/>
      <c r="P61" s="2525"/>
      <c r="Q61" s="2505"/>
      <c r="R61" s="2436"/>
      <c r="S61" s="2436"/>
      <c r="T61" s="2436"/>
      <c r="U61" s="2436"/>
      <c r="V61" s="2436"/>
      <c r="W61" s="2436"/>
      <c r="X61" s="2436"/>
      <c r="Y61" s="2436"/>
      <c r="Z61" s="2436"/>
      <c r="AA61" s="2436"/>
      <c r="AB61" s="2436"/>
      <c r="AC61" s="2436"/>
    </row>
    <row r="62" spans="1:29" s="102" customFormat="1" ht="15">
      <c r="A62" s="454" t="s">
        <v>1679</v>
      </c>
      <c r="B62" s="443"/>
      <c r="C62" s="455" t="s">
        <v>1774</v>
      </c>
      <c r="D62" s="31"/>
      <c r="E62" s="31"/>
      <c r="F62" s="31"/>
      <c r="G62" s="31"/>
      <c r="H62" s="31"/>
      <c r="I62" s="31"/>
      <c r="J62" s="31"/>
      <c r="K62" s="31"/>
      <c r="L62" s="456"/>
      <c r="M62" s="457"/>
      <c r="N62" s="2517"/>
      <c r="O62" s="2517"/>
      <c r="P62" s="2526"/>
      <c r="Q62" s="2505"/>
      <c r="R62" s="2436"/>
      <c r="S62" s="2436"/>
      <c r="T62" s="2436"/>
      <c r="U62" s="2436"/>
      <c r="V62" s="2436"/>
      <c r="W62" s="2436"/>
      <c r="X62" s="2436"/>
      <c r="Y62" s="2436"/>
      <c r="Z62" s="2436"/>
      <c r="AA62" s="2436"/>
      <c r="AB62" s="2436"/>
      <c r="AC62" s="2436"/>
    </row>
    <row r="63" spans="1:29" s="102" customFormat="1" ht="15.75" thickBot="1">
      <c r="A63" s="454"/>
      <c r="B63" s="443"/>
      <c r="C63" s="444">
        <v>100</v>
      </c>
      <c r="D63" s="445"/>
      <c r="E63" s="445"/>
      <c r="F63" s="445"/>
      <c r="G63" s="445"/>
      <c r="H63" s="445"/>
      <c r="I63" s="445"/>
      <c r="J63" s="445"/>
      <c r="K63" s="445"/>
      <c r="L63" s="445"/>
      <c r="M63" s="447"/>
      <c r="N63" s="2517"/>
      <c r="O63" s="2517"/>
      <c r="P63" s="2525"/>
      <c r="Q63" s="2505"/>
      <c r="R63" s="2436"/>
      <c r="S63" s="2436"/>
      <c r="T63" s="2436"/>
      <c r="U63" s="2436"/>
      <c r="V63" s="2436"/>
      <c r="W63" s="2436"/>
      <c r="X63" s="2436"/>
      <c r="Y63" s="2436"/>
      <c r="Z63" s="2436"/>
      <c r="AA63" s="2436"/>
      <c r="AB63" s="2436"/>
      <c r="AC63" s="2436"/>
    </row>
    <row r="64" spans="1:29">
      <c r="A64" s="378" t="s">
        <v>1717</v>
      </c>
      <c r="B64" s="459" t="s">
        <v>1683</v>
      </c>
      <c r="C64" s="460">
        <f>C9</f>
        <v>0</v>
      </c>
      <c r="D64" s="461"/>
      <c r="E64" s="461"/>
      <c r="F64" s="461"/>
      <c r="G64" s="461"/>
      <c r="H64" s="461"/>
      <c r="I64" s="461"/>
      <c r="J64" s="461"/>
      <c r="K64" s="462"/>
      <c r="L64" s="463"/>
      <c r="M64" s="464"/>
      <c r="N64" s="2518"/>
      <c r="O64" s="2518"/>
      <c r="P64" s="2527"/>
      <c r="Q64" s="2505"/>
      <c r="R64" s="2484"/>
      <c r="S64" s="2484"/>
      <c r="T64" s="2484"/>
      <c r="U64" s="2484"/>
      <c r="V64" s="2484"/>
      <c r="W64" s="2484"/>
      <c r="X64" s="2484"/>
      <c r="Y64" s="2484"/>
      <c r="Z64" s="2484"/>
      <c r="AA64" s="2484"/>
      <c r="AB64" s="2484"/>
      <c r="AC64" s="2484"/>
    </row>
    <row r="65" spans="1:29" ht="15.75" thickBot="1">
      <c r="A65" s="366"/>
      <c r="B65" s="465"/>
      <c r="C65" s="466">
        <v>100</v>
      </c>
      <c r="D65" s="466"/>
      <c r="E65" s="466"/>
      <c r="F65" s="466"/>
      <c r="G65" s="466"/>
      <c r="H65" s="466"/>
      <c r="I65" s="466"/>
      <c r="J65" s="466"/>
      <c r="K65" s="466"/>
      <c r="L65" s="466"/>
      <c r="M65" s="467"/>
      <c r="N65" s="2519"/>
      <c r="O65" s="2519"/>
      <c r="P65" s="2527"/>
      <c r="Q65" s="2505"/>
      <c r="R65" s="2484"/>
      <c r="S65" s="2484"/>
      <c r="T65" s="2484"/>
      <c r="U65" s="2484"/>
      <c r="V65" s="2484"/>
      <c r="W65" s="2484"/>
      <c r="X65" s="2484"/>
      <c r="Y65" s="2484"/>
      <c r="Z65" s="2484"/>
      <c r="AA65" s="2484"/>
      <c r="AB65" s="2484"/>
      <c r="AC65" s="2484"/>
    </row>
    <row r="66" spans="1:29" ht="27.75" thickTop="1">
      <c r="A66" s="366"/>
      <c r="B66" s="468" t="s">
        <v>1686</v>
      </c>
      <c r="C66" s="512"/>
      <c r="D66" s="512"/>
      <c r="E66" s="512"/>
      <c r="F66" s="512"/>
      <c r="G66" s="512"/>
      <c r="H66" s="512"/>
      <c r="I66" s="512"/>
      <c r="J66" s="512"/>
      <c r="K66" s="513"/>
      <c r="L66" s="514"/>
      <c r="M66" s="515"/>
      <c r="N66" s="2518"/>
      <c r="O66" s="2518"/>
      <c r="P66" s="2527"/>
      <c r="Q66" s="2505"/>
      <c r="R66" s="2484"/>
      <c r="S66" s="2484"/>
      <c r="T66" s="2484"/>
      <c r="U66" s="2484"/>
      <c r="V66" s="2484"/>
      <c r="W66" s="2484"/>
      <c r="X66" s="2484"/>
      <c r="Y66" s="2484"/>
      <c r="Z66" s="2484"/>
      <c r="AA66" s="2484"/>
      <c r="AB66" s="2484"/>
      <c r="AC66" s="2484"/>
    </row>
    <row r="67" spans="1:29" ht="15.75" thickBot="1">
      <c r="A67" s="366"/>
      <c r="B67" s="473"/>
      <c r="C67" s="466"/>
      <c r="D67" s="466"/>
      <c r="E67" s="466"/>
      <c r="F67" s="466"/>
      <c r="G67" s="466"/>
      <c r="H67" s="466"/>
      <c r="I67" s="466"/>
      <c r="J67" s="466"/>
      <c r="K67" s="466"/>
      <c r="L67" s="466"/>
      <c r="M67" s="467"/>
      <c r="N67" s="2519"/>
      <c r="O67" s="2519"/>
      <c r="P67" s="2527"/>
      <c r="Q67" s="2505"/>
      <c r="R67" s="2484"/>
      <c r="S67" s="2484"/>
      <c r="T67" s="2484"/>
      <c r="U67" s="2484"/>
      <c r="V67" s="2484"/>
      <c r="W67" s="2484"/>
      <c r="X67" s="2484"/>
      <c r="Y67" s="2484"/>
      <c r="Z67" s="2484"/>
      <c r="AA67" s="2484"/>
      <c r="AB67" s="2484"/>
      <c r="AC67" s="2484"/>
    </row>
    <row r="68" spans="1:29" ht="15.75" thickTop="1">
      <c r="A68" s="366"/>
      <c r="B68" s="476" t="s">
        <v>1687</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9"/>
      <c r="O68" s="2519"/>
      <c r="P68" s="2527"/>
      <c r="Q68" s="2505"/>
      <c r="R68" s="2484"/>
      <c r="S68" s="2484"/>
      <c r="T68" s="2484"/>
      <c r="U68" s="2484"/>
      <c r="V68" s="2484"/>
      <c r="W68" s="2484"/>
      <c r="X68" s="2484"/>
      <c r="Y68" s="2484"/>
      <c r="Z68" s="2484"/>
      <c r="AA68" s="2484"/>
      <c r="AB68" s="2484"/>
      <c r="AC68" s="2484"/>
    </row>
    <row r="69" spans="1:29" ht="15">
      <c r="A69" s="366"/>
      <c r="B69" s="478"/>
      <c r="C69" s="479">
        <v>0</v>
      </c>
      <c r="D69" s="479">
        <v>3</v>
      </c>
      <c r="E69" s="479"/>
      <c r="F69" s="479"/>
      <c r="G69" s="479"/>
      <c r="H69" s="479"/>
      <c r="I69" s="479"/>
      <c r="J69" s="479"/>
      <c r="K69" s="480"/>
      <c r="L69" s="481"/>
      <c r="M69" s="482"/>
      <c r="N69" s="2518"/>
      <c r="O69" s="2518"/>
      <c r="P69" s="2527"/>
      <c r="Q69" s="2505"/>
      <c r="R69" s="2484"/>
      <c r="S69" s="2484"/>
      <c r="T69" s="2484"/>
      <c r="U69" s="2484"/>
      <c r="V69" s="2484"/>
      <c r="W69" s="2484"/>
      <c r="X69" s="2484"/>
      <c r="Y69" s="2484"/>
      <c r="Z69" s="2484"/>
      <c r="AA69" s="2484"/>
      <c r="AB69" s="2484"/>
      <c r="AC69" s="2484"/>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9"/>
      <c r="O70" s="2519"/>
      <c r="P70" s="2527"/>
      <c r="Q70" s="2505"/>
      <c r="R70" s="2484"/>
      <c r="S70" s="2484"/>
      <c r="T70" s="2484"/>
      <c r="U70" s="2484"/>
      <c r="V70" s="2484"/>
      <c r="W70" s="2484"/>
      <c r="X70" s="2484"/>
      <c r="Y70" s="2484"/>
      <c r="Z70" s="2484"/>
      <c r="AA70" s="2484"/>
      <c r="AB70" s="2484"/>
      <c r="AC70" s="2484"/>
    </row>
    <row r="71" spans="1:29" s="407" customFormat="1" ht="15.75" thickTop="1">
      <c r="A71" s="483"/>
      <c r="B71" s="468">
        <f>B12</f>
        <v>111</v>
      </c>
      <c r="C71" s="484"/>
      <c r="D71" s="484"/>
      <c r="E71" s="484"/>
      <c r="F71" s="484"/>
      <c r="G71" s="484"/>
      <c r="H71" s="485"/>
      <c r="I71" s="485"/>
      <c r="J71" s="485"/>
      <c r="K71" s="485"/>
      <c r="L71" s="486"/>
      <c r="M71" s="487"/>
      <c r="N71" s="2520"/>
      <c r="O71" s="2520"/>
      <c r="P71" s="2528"/>
      <c r="Q71" s="2512"/>
      <c r="R71" s="2490"/>
      <c r="S71" s="2490"/>
      <c r="T71" s="2490"/>
      <c r="U71" s="2490"/>
      <c r="V71" s="2490"/>
      <c r="W71" s="2490"/>
      <c r="X71" s="2490"/>
      <c r="Y71" s="2490"/>
      <c r="Z71" s="2490"/>
      <c r="AA71" s="2490"/>
      <c r="AB71" s="2490"/>
      <c r="AC71" s="2490"/>
    </row>
    <row r="72" spans="1:29" s="407" customFormat="1" ht="15.75" thickBot="1">
      <c r="A72" s="483"/>
      <c r="B72" s="473"/>
      <c r="C72" s="490"/>
      <c r="D72" s="466"/>
      <c r="E72" s="466"/>
      <c r="F72" s="466"/>
      <c r="G72" s="466"/>
      <c r="H72" s="466"/>
      <c r="I72" s="466"/>
      <c r="J72" s="466"/>
      <c r="K72" s="466"/>
      <c r="L72" s="466"/>
      <c r="M72" s="467"/>
      <c r="N72" s="2519"/>
      <c r="O72" s="2519"/>
      <c r="P72" s="2528"/>
      <c r="Q72" s="2512"/>
      <c r="R72" s="2490"/>
      <c r="S72" s="2490"/>
      <c r="T72" s="2490"/>
      <c r="U72" s="2490"/>
      <c r="V72" s="2490"/>
      <c r="W72" s="2490"/>
      <c r="X72" s="2490"/>
      <c r="Y72" s="2490"/>
      <c r="Z72" s="2490"/>
      <c r="AA72" s="2490"/>
      <c r="AB72" s="2490"/>
      <c r="AC72" s="2490"/>
    </row>
    <row r="73" spans="1:29" s="407" customFormat="1" ht="15.75" thickTop="1">
      <c r="A73" s="483"/>
      <c r="B73" s="468">
        <f>B13</f>
        <v>111</v>
      </c>
      <c r="C73" s="484"/>
      <c r="D73" s="484"/>
      <c r="E73" s="484"/>
      <c r="F73" s="484"/>
      <c r="G73" s="484"/>
      <c r="H73" s="485"/>
      <c r="I73" s="485"/>
      <c r="J73" s="485"/>
      <c r="K73" s="485"/>
      <c r="L73" s="486"/>
      <c r="M73" s="487"/>
      <c r="N73" s="2520"/>
      <c r="O73" s="2520"/>
      <c r="P73" s="2529"/>
      <c r="Q73" s="2514"/>
      <c r="R73" s="2490"/>
      <c r="S73" s="2490"/>
      <c r="T73" s="2490"/>
      <c r="U73" s="2490"/>
      <c r="V73" s="2490"/>
      <c r="W73" s="2490"/>
      <c r="X73" s="2490"/>
      <c r="Y73" s="2490"/>
      <c r="Z73" s="2490"/>
      <c r="AA73" s="2490"/>
      <c r="AB73" s="2490"/>
      <c r="AC73" s="2490"/>
    </row>
    <row r="74" spans="1:29" s="407" customFormat="1" ht="15.75" thickBot="1">
      <c r="A74" s="483"/>
      <c r="B74" s="473"/>
      <c r="C74" s="490"/>
      <c r="D74" s="490"/>
      <c r="E74" s="490"/>
      <c r="F74" s="490"/>
      <c r="G74" s="490"/>
      <c r="H74" s="492"/>
      <c r="I74" s="492"/>
      <c r="J74" s="492"/>
      <c r="K74" s="492"/>
      <c r="L74" s="492"/>
      <c r="M74" s="493"/>
      <c r="N74" s="2520"/>
      <c r="O74" s="2520"/>
      <c r="P74" s="2528"/>
      <c r="Q74" s="2512"/>
      <c r="R74" s="2490"/>
      <c r="S74" s="2490"/>
      <c r="T74" s="2490"/>
      <c r="U74" s="2490"/>
      <c r="V74" s="2490"/>
      <c r="W74" s="2490"/>
      <c r="X74" s="2490"/>
      <c r="Y74" s="2490"/>
      <c r="Z74" s="2490"/>
      <c r="AA74" s="2490"/>
      <c r="AB74" s="2490"/>
      <c r="AC74" s="2490"/>
    </row>
    <row r="75" spans="1:29" s="407" customFormat="1" ht="15.75" thickTop="1">
      <c r="A75" s="483"/>
      <c r="B75" s="476">
        <f>B14</f>
        <v>111</v>
      </c>
      <c r="C75" s="31"/>
      <c r="D75" s="31"/>
      <c r="E75" s="31"/>
      <c r="F75" s="31"/>
      <c r="G75" s="31"/>
      <c r="H75" s="494"/>
      <c r="I75" s="494"/>
      <c r="J75" s="494"/>
      <c r="K75" s="494"/>
      <c r="L75" s="495"/>
      <c r="M75" s="496"/>
      <c r="N75" s="2520"/>
      <c r="O75" s="2520"/>
      <c r="P75" s="2530"/>
      <c r="Q75" s="2512"/>
      <c r="R75" s="2490"/>
      <c r="S75" s="2490"/>
      <c r="T75" s="2490"/>
      <c r="U75" s="2490"/>
      <c r="V75" s="2490"/>
      <c r="W75" s="2490"/>
      <c r="X75" s="2490"/>
      <c r="Y75" s="2490"/>
      <c r="Z75" s="2490"/>
      <c r="AA75" s="2490"/>
      <c r="AB75" s="2490"/>
      <c r="AC75" s="2490"/>
    </row>
    <row r="76" spans="1:29" s="407" customFormat="1" ht="15.75" thickBot="1">
      <c r="A76" s="498"/>
      <c r="B76" s="499"/>
      <c r="C76" s="500"/>
      <c r="D76" s="500"/>
      <c r="E76" s="500"/>
      <c r="F76" s="500"/>
      <c r="G76" s="500"/>
      <c r="H76" s="501"/>
      <c r="I76" s="501"/>
      <c r="J76" s="501"/>
      <c r="K76" s="501"/>
      <c r="L76" s="501"/>
      <c r="M76" s="502"/>
      <c r="N76" s="2520"/>
      <c r="O76" s="2520"/>
      <c r="P76" s="2528"/>
      <c r="Q76" s="2512"/>
      <c r="R76" s="2490"/>
      <c r="S76" s="2490"/>
      <c r="T76" s="2490"/>
      <c r="U76" s="2490"/>
      <c r="V76" s="2490"/>
      <c r="W76" s="2490"/>
      <c r="X76" s="2490"/>
      <c r="Y76" s="2490"/>
      <c r="Z76" s="2490"/>
      <c r="AA76" s="2490"/>
      <c r="AB76" s="2490"/>
      <c r="AC76" s="2490"/>
    </row>
    <row r="77" spans="1:29">
      <c r="A77" s="378" t="s">
        <v>1688</v>
      </c>
      <c r="B77" s="459" t="s">
        <v>1819</v>
      </c>
      <c r="C77" s="503" t="s">
        <v>1719</v>
      </c>
      <c r="D77" s="503" t="s">
        <v>1720</v>
      </c>
      <c r="E77" s="503" t="s">
        <v>1721</v>
      </c>
      <c r="F77" s="503" t="s">
        <v>1722</v>
      </c>
      <c r="G77" s="503" t="s">
        <v>1723</v>
      </c>
      <c r="H77" s="460"/>
      <c r="I77" s="460"/>
      <c r="J77" s="460"/>
      <c r="K77" s="504"/>
      <c r="L77" s="505"/>
      <c r="M77" s="506"/>
      <c r="N77" s="2518"/>
      <c r="O77" s="2518"/>
      <c r="P77" s="2531"/>
      <c r="Q77" s="2505"/>
      <c r="R77" s="2484"/>
      <c r="S77" s="2484"/>
      <c r="T77" s="2484"/>
      <c r="U77" s="2484"/>
      <c r="V77" s="2484"/>
      <c r="W77" s="2484"/>
      <c r="X77" s="2484"/>
      <c r="Y77" s="2484"/>
      <c r="Z77" s="2484"/>
      <c r="AA77" s="2484"/>
      <c r="AB77" s="2484"/>
      <c r="AC77" s="2484"/>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9"/>
      <c r="O78" s="2519"/>
      <c r="P78" s="2527"/>
      <c r="Q78" s="2505"/>
      <c r="R78" s="2484"/>
      <c r="S78" s="2484"/>
      <c r="T78" s="2484"/>
      <c r="U78" s="2484"/>
      <c r="V78" s="2484"/>
      <c r="W78" s="2484"/>
      <c r="X78" s="2484"/>
      <c r="Y78" s="2484"/>
      <c r="Z78" s="2484"/>
      <c r="AA78" s="2484"/>
      <c r="AB78" s="2484"/>
      <c r="AC78" s="2484"/>
    </row>
    <row r="79" spans="1:29" ht="15.75" thickTop="1">
      <c r="A79" s="366"/>
      <c r="B79" s="468" t="s">
        <v>1724</v>
      </c>
      <c r="C79" s="508" t="s">
        <v>1719</v>
      </c>
      <c r="D79" s="508" t="s">
        <v>1720</v>
      </c>
      <c r="E79" s="508" t="s">
        <v>1721</v>
      </c>
      <c r="F79" s="508" t="s">
        <v>1722</v>
      </c>
      <c r="G79" s="508" t="s">
        <v>1723</v>
      </c>
      <c r="H79" s="469"/>
      <c r="I79" s="469"/>
      <c r="J79" s="469"/>
      <c r="K79" s="470"/>
      <c r="L79" s="471"/>
      <c r="M79" s="472"/>
      <c r="N79" s="2518"/>
      <c r="O79" s="2518"/>
      <c r="P79" s="2527"/>
      <c r="Q79" s="2505"/>
      <c r="R79" s="2484"/>
      <c r="S79" s="2484"/>
      <c r="T79" s="2484"/>
      <c r="U79" s="2484"/>
      <c r="V79" s="2484"/>
      <c r="W79" s="2484"/>
      <c r="X79" s="2484"/>
      <c r="Y79" s="2484"/>
      <c r="Z79" s="2484"/>
      <c r="AA79" s="2484"/>
      <c r="AB79" s="2484"/>
      <c r="AC79" s="2484"/>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9"/>
      <c r="O80" s="2519"/>
      <c r="P80" s="2527"/>
      <c r="Q80" s="2505"/>
      <c r="R80" s="2484"/>
      <c r="S80" s="2484"/>
      <c r="T80" s="2484"/>
      <c r="U80" s="2484"/>
      <c r="V80" s="2484"/>
      <c r="W80" s="2484"/>
      <c r="X80" s="2484"/>
      <c r="Y80" s="2484"/>
      <c r="Z80" s="2484"/>
      <c r="AA80" s="2484"/>
      <c r="AB80" s="2484"/>
      <c r="AC80" s="2484"/>
    </row>
    <row r="81" spans="1:29" ht="15.75" thickTop="1">
      <c r="A81" s="366"/>
      <c r="B81" s="468" t="s">
        <v>1725</v>
      </c>
      <c r="C81" s="508" t="s">
        <v>1719</v>
      </c>
      <c r="D81" s="508" t="s">
        <v>1720</v>
      </c>
      <c r="E81" s="508" t="s">
        <v>1721</v>
      </c>
      <c r="F81" s="508" t="s">
        <v>1722</v>
      </c>
      <c r="G81" s="508" t="s">
        <v>1723</v>
      </c>
      <c r="H81" s="469"/>
      <c r="I81" s="469"/>
      <c r="J81" s="469"/>
      <c r="K81" s="470"/>
      <c r="L81" s="471"/>
      <c r="M81" s="472"/>
      <c r="N81" s="2518"/>
      <c r="O81" s="2518"/>
      <c r="P81" s="2527"/>
      <c r="Q81" s="2505"/>
      <c r="R81" s="2484"/>
      <c r="S81" s="2484"/>
      <c r="T81" s="2484"/>
      <c r="U81" s="2484"/>
      <c r="V81" s="2484"/>
      <c r="W81" s="2484"/>
      <c r="X81" s="2484"/>
      <c r="Y81" s="2484"/>
      <c r="Z81" s="2484"/>
      <c r="AA81" s="2484"/>
      <c r="AB81" s="2484"/>
      <c r="AC81" s="2484"/>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9"/>
      <c r="O82" s="2519"/>
      <c r="P82" s="2527"/>
      <c r="Q82" s="2505"/>
      <c r="R82" s="2484"/>
      <c r="S82" s="2484"/>
      <c r="T82" s="2484"/>
      <c r="U82" s="2484"/>
      <c r="V82" s="2484"/>
      <c r="W82" s="2484"/>
      <c r="X82" s="2484"/>
      <c r="Y82" s="2484"/>
      <c r="Z82" s="2484"/>
      <c r="AA82" s="2484"/>
      <c r="AB82" s="2484"/>
      <c r="AC82" s="2484"/>
    </row>
    <row r="83" spans="1:29" ht="15.75" thickTop="1">
      <c r="A83" s="366"/>
      <c r="B83" s="476" t="s">
        <v>1811</v>
      </c>
      <c r="C83" s="580" t="s">
        <v>1797</v>
      </c>
      <c r="D83" s="580" t="s">
        <v>1798</v>
      </c>
      <c r="E83" s="580" t="s">
        <v>1799</v>
      </c>
      <c r="F83" s="580" t="s">
        <v>1800</v>
      </c>
      <c r="G83" s="580" t="s">
        <v>1801</v>
      </c>
      <c r="H83" s="469"/>
      <c r="I83" s="469"/>
      <c r="J83" s="469"/>
      <c r="K83" s="469"/>
      <c r="L83" s="469"/>
      <c r="M83" s="1062"/>
      <c r="N83" s="2519"/>
      <c r="O83" s="2519"/>
      <c r="P83" s="2527"/>
      <c r="Q83" s="2505"/>
      <c r="R83" s="2484"/>
      <c r="S83" s="2484"/>
      <c r="T83" s="2484"/>
      <c r="U83" s="2484"/>
      <c r="V83" s="2484"/>
      <c r="W83" s="2484"/>
      <c r="X83" s="2484"/>
      <c r="Y83" s="2484"/>
      <c r="Z83" s="2484"/>
      <c r="AA83" s="2484"/>
      <c r="AB83" s="2484"/>
      <c r="AC83" s="2484"/>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19"/>
      <c r="O84" s="2519"/>
      <c r="P84" s="2527"/>
      <c r="Q84" s="2505"/>
      <c r="R84" s="2484"/>
      <c r="S84" s="2484"/>
      <c r="T84" s="2484"/>
      <c r="U84" s="2484"/>
      <c r="V84" s="2484"/>
      <c r="W84" s="2484"/>
      <c r="X84" s="2484"/>
      <c r="Y84" s="2484"/>
      <c r="Z84" s="2484"/>
      <c r="AA84" s="2484"/>
      <c r="AB84" s="2484"/>
      <c r="AC84" s="2484"/>
    </row>
    <row r="85" spans="1:29" ht="15.75" thickTop="1">
      <c r="A85" s="366"/>
      <c r="B85" s="468" t="s">
        <v>1820</v>
      </c>
      <c r="C85" s="508" t="s">
        <v>1719</v>
      </c>
      <c r="D85" s="508" t="s">
        <v>1720</v>
      </c>
      <c r="E85" s="508" t="s">
        <v>1721</v>
      </c>
      <c r="F85" s="508" t="s">
        <v>1722</v>
      </c>
      <c r="G85" s="508" t="s">
        <v>1723</v>
      </c>
      <c r="H85" s="469"/>
      <c r="I85" s="469"/>
      <c r="J85" s="469"/>
      <c r="K85" s="470"/>
      <c r="L85" s="471"/>
      <c r="M85" s="472"/>
      <c r="N85" s="2518"/>
      <c r="O85" s="2518"/>
      <c r="P85" s="2527"/>
      <c r="Q85" s="2505"/>
      <c r="R85" s="2484"/>
      <c r="S85" s="2484"/>
      <c r="T85" s="2484"/>
      <c r="U85" s="2484"/>
      <c r="V85" s="2484"/>
      <c r="W85" s="2484"/>
      <c r="X85" s="2484"/>
      <c r="Y85" s="2484"/>
      <c r="Z85" s="2484"/>
      <c r="AA85" s="2484"/>
      <c r="AB85" s="2484"/>
      <c r="AC85" s="2484"/>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9"/>
      <c r="O86" s="2519"/>
      <c r="P86" s="2527"/>
      <c r="Q86" s="2505"/>
      <c r="R86" s="2484"/>
      <c r="S86" s="2484"/>
      <c r="T86" s="2484"/>
      <c r="U86" s="2484"/>
      <c r="V86" s="2484"/>
      <c r="W86" s="2484"/>
      <c r="X86" s="2484"/>
      <c r="Y86" s="2484"/>
      <c r="Z86" s="2484"/>
      <c r="AA86" s="2484"/>
      <c r="AB86" s="2484"/>
      <c r="AC86" s="2484"/>
    </row>
    <row r="87" spans="1:29" s="102" customFormat="1" ht="27.75" thickTop="1">
      <c r="A87" s="369"/>
      <c r="B87" s="468" t="s">
        <v>1821</v>
      </c>
      <c r="C87" s="484"/>
      <c r="D87" s="484"/>
      <c r="E87" s="484"/>
      <c r="F87" s="484"/>
      <c r="G87" s="484"/>
      <c r="H87" s="484"/>
      <c r="I87" s="484"/>
      <c r="J87" s="484"/>
      <c r="K87" s="484"/>
      <c r="L87" s="509"/>
      <c r="M87" s="510"/>
      <c r="N87" s="2517"/>
      <c r="O87" s="2517"/>
      <c r="P87" s="2527"/>
      <c r="Q87" s="2505"/>
      <c r="R87" s="2436"/>
      <c r="S87" s="2436"/>
      <c r="T87" s="2436"/>
      <c r="U87" s="2436"/>
      <c r="V87" s="2436"/>
      <c r="W87" s="2436"/>
      <c r="X87" s="2436"/>
      <c r="Y87" s="2436"/>
      <c r="Z87" s="2436"/>
      <c r="AA87" s="2436"/>
      <c r="AB87" s="2436"/>
      <c r="AC87" s="2436"/>
    </row>
    <row r="88" spans="1:29" s="102"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9"/>
      <c r="O88" s="2519"/>
      <c r="P88" s="2527"/>
      <c r="Q88" s="2505"/>
      <c r="R88" s="2436"/>
      <c r="S88" s="2436"/>
      <c r="T88" s="2436"/>
      <c r="U88" s="2436"/>
      <c r="V88" s="2436"/>
      <c r="W88" s="2436"/>
      <c r="X88" s="2436"/>
      <c r="Y88" s="2436"/>
      <c r="Z88" s="2436"/>
      <c r="AA88" s="2436"/>
      <c r="AB88" s="2436"/>
      <c r="AC88" s="2436"/>
    </row>
    <row r="89" spans="1:29" s="102" customFormat="1" ht="15.75" thickTop="1">
      <c r="A89" s="369"/>
      <c r="B89" s="468" t="str">
        <f>B27</f>
        <v>楼层</v>
      </c>
      <c r="C89" s="484"/>
      <c r="D89" s="484"/>
      <c r="E89" s="484"/>
      <c r="F89" s="1779"/>
      <c r="G89" s="484"/>
      <c r="H89" s="484"/>
      <c r="I89" s="484"/>
      <c r="J89" s="484"/>
      <c r="K89" s="484"/>
      <c r="L89" s="484"/>
      <c r="M89" s="510"/>
      <c r="N89" s="2517"/>
      <c r="O89" s="2517"/>
      <c r="P89" s="2527"/>
      <c r="Q89" s="2505"/>
      <c r="R89" s="2436"/>
      <c r="S89" s="2436"/>
      <c r="T89" s="2436"/>
      <c r="U89" s="2436"/>
      <c r="V89" s="2436"/>
      <c r="W89" s="2436"/>
      <c r="X89" s="2436"/>
      <c r="Y89" s="2436"/>
      <c r="Z89" s="2436"/>
      <c r="AA89" s="2436"/>
      <c r="AB89" s="2436"/>
      <c r="AC89" s="2436"/>
    </row>
    <row r="90" spans="1:29" s="102"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9"/>
      <c r="O90" s="2519"/>
      <c r="P90" s="2527"/>
      <c r="Q90" s="2505"/>
      <c r="R90" s="2436"/>
      <c r="S90" s="2436"/>
      <c r="T90" s="2436"/>
      <c r="U90" s="2436"/>
      <c r="V90" s="2436"/>
      <c r="W90" s="2436"/>
      <c r="X90" s="2436"/>
      <c r="Y90" s="2436"/>
      <c r="Z90" s="2436"/>
      <c r="AA90" s="2436"/>
      <c r="AB90" s="2436"/>
      <c r="AC90" s="2436"/>
    </row>
    <row r="91" spans="1:29" s="407" customFormat="1" ht="15.75" thickTop="1">
      <c r="A91" s="483"/>
      <c r="B91" s="468" t="str">
        <f>B28</f>
        <v>朝向</v>
      </c>
      <c r="C91" s="484"/>
      <c r="D91" s="484"/>
      <c r="E91" s="484"/>
      <c r="F91" s="484"/>
      <c r="G91" s="484"/>
      <c r="H91" s="485"/>
      <c r="I91" s="485"/>
      <c r="J91" s="485"/>
      <c r="K91" s="485"/>
      <c r="L91" s="486"/>
      <c r="M91" s="487"/>
      <c r="N91" s="2520"/>
      <c r="O91" s="2520"/>
      <c r="P91" s="2528"/>
      <c r="Q91" s="2512"/>
      <c r="R91" s="2490"/>
      <c r="S91" s="2490"/>
      <c r="T91" s="2490"/>
      <c r="U91" s="2490"/>
      <c r="V91" s="2490"/>
      <c r="W91" s="2490"/>
      <c r="X91" s="2490"/>
      <c r="Y91" s="2490"/>
      <c r="Z91" s="2490"/>
      <c r="AA91" s="2490"/>
      <c r="AB91" s="2490"/>
      <c r="AC91" s="2490"/>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0"/>
      <c r="O92" s="2520"/>
      <c r="P92" s="2528"/>
      <c r="Q92" s="2512"/>
      <c r="R92" s="2490"/>
      <c r="S92" s="2490"/>
      <c r="T92" s="2490"/>
      <c r="U92" s="2490"/>
      <c r="V92" s="2490"/>
      <c r="W92" s="2490"/>
      <c r="X92" s="2490"/>
      <c r="Y92" s="2490"/>
      <c r="Z92" s="2490"/>
      <c r="AA92" s="2490"/>
      <c r="AB92" s="2490"/>
      <c r="AC92" s="2490"/>
    </row>
    <row r="93" spans="1:29" ht="15.75" thickTop="1">
      <c r="A93" s="366"/>
      <c r="B93" s="468">
        <f>B29</f>
        <v>111</v>
      </c>
      <c r="C93" s="484"/>
      <c r="D93" s="484"/>
      <c r="E93" s="484"/>
      <c r="F93" s="484"/>
      <c r="G93" s="484"/>
      <c r="H93" s="484"/>
      <c r="I93" s="484"/>
      <c r="J93" s="484"/>
      <c r="K93" s="484"/>
      <c r="L93" s="509"/>
      <c r="M93" s="510"/>
      <c r="N93" s="2518"/>
      <c r="O93" s="2518"/>
      <c r="P93" s="2527"/>
      <c r="Q93" s="2505"/>
      <c r="R93" s="2484"/>
      <c r="S93" s="2484"/>
      <c r="T93" s="2484"/>
      <c r="U93" s="2484"/>
      <c r="V93" s="2484"/>
      <c r="W93" s="2484"/>
      <c r="X93" s="2484"/>
      <c r="Y93" s="2484"/>
      <c r="Z93" s="2484"/>
      <c r="AA93" s="2484"/>
      <c r="AB93" s="2484"/>
      <c r="AC93" s="2484"/>
    </row>
    <row r="94" spans="1:29" ht="15.75" thickBot="1">
      <c r="A94" s="366"/>
      <c r="B94" s="473"/>
      <c r="C94" s="490"/>
      <c r="D94" s="466"/>
      <c r="E94" s="466"/>
      <c r="F94" s="466"/>
      <c r="G94" s="466"/>
      <c r="H94" s="466"/>
      <c r="I94" s="466"/>
      <c r="J94" s="466"/>
      <c r="K94" s="466"/>
      <c r="L94" s="466"/>
      <c r="M94" s="467"/>
      <c r="N94" s="2519"/>
      <c r="O94" s="2519"/>
      <c r="P94" s="2527"/>
      <c r="Q94" s="2505"/>
      <c r="R94" s="2484"/>
      <c r="S94" s="2484"/>
      <c r="T94" s="2484"/>
      <c r="U94" s="2484"/>
      <c r="V94" s="2484"/>
      <c r="W94" s="2484"/>
      <c r="X94" s="2484"/>
      <c r="Y94" s="2484"/>
      <c r="Z94" s="2484"/>
      <c r="AA94" s="2484"/>
      <c r="AB94" s="2484"/>
      <c r="AC94" s="2484"/>
    </row>
    <row r="95" spans="1:29" ht="15.75" thickTop="1">
      <c r="A95" s="366"/>
      <c r="B95" s="468">
        <f>B30</f>
        <v>111</v>
      </c>
      <c r="C95" s="484"/>
      <c r="D95" s="484"/>
      <c r="E95" s="484"/>
      <c r="F95" s="484"/>
      <c r="G95" s="512"/>
      <c r="H95" s="512"/>
      <c r="I95" s="512"/>
      <c r="J95" s="512"/>
      <c r="K95" s="513"/>
      <c r="L95" s="514"/>
      <c r="M95" s="515"/>
      <c r="N95" s="2518"/>
      <c r="O95" s="2518"/>
      <c r="P95" s="2527"/>
      <c r="Q95" s="2505"/>
      <c r="R95" s="2484"/>
      <c r="S95" s="2484"/>
      <c r="T95" s="2484"/>
      <c r="U95" s="2484"/>
      <c r="V95" s="2484"/>
      <c r="W95" s="2484"/>
      <c r="X95" s="2484"/>
      <c r="Y95" s="2484"/>
      <c r="Z95" s="2484"/>
      <c r="AA95" s="2484"/>
      <c r="AB95" s="2484"/>
      <c r="AC95" s="2484"/>
    </row>
    <row r="96" spans="1:29" ht="15.75" thickBot="1">
      <c r="A96" s="366"/>
      <c r="B96" s="473"/>
      <c r="C96" s="490"/>
      <c r="D96" s="490"/>
      <c r="E96" s="490"/>
      <c r="F96" s="490"/>
      <c r="G96" s="466"/>
      <c r="H96" s="466"/>
      <c r="I96" s="466"/>
      <c r="J96" s="466"/>
      <c r="K96" s="466"/>
      <c r="L96" s="466"/>
      <c r="M96" s="467"/>
      <c r="N96" s="2519"/>
      <c r="O96" s="2519"/>
      <c r="P96" s="2527"/>
      <c r="Q96" s="2505"/>
      <c r="R96" s="2484"/>
      <c r="S96" s="2484"/>
      <c r="T96" s="2484"/>
      <c r="U96" s="2484"/>
      <c r="V96" s="2484"/>
      <c r="W96" s="2484"/>
      <c r="X96" s="2484"/>
      <c r="Y96" s="2484"/>
      <c r="Z96" s="2484"/>
      <c r="AA96" s="2484"/>
      <c r="AB96" s="2484"/>
      <c r="AC96" s="2484"/>
    </row>
    <row r="97" spans="1:29" ht="15.75" thickTop="1">
      <c r="A97" s="366"/>
      <c r="B97" s="468">
        <f>B31</f>
        <v>111</v>
      </c>
      <c r="C97" s="484"/>
      <c r="D97" s="484"/>
      <c r="E97" s="484"/>
      <c r="F97" s="484"/>
      <c r="G97" s="512"/>
      <c r="H97" s="512"/>
      <c r="I97" s="512"/>
      <c r="J97" s="512"/>
      <c r="K97" s="513"/>
      <c r="L97" s="514"/>
      <c r="M97" s="515"/>
      <c r="N97" s="2518"/>
      <c r="O97" s="2518"/>
      <c r="P97" s="2527"/>
      <c r="Q97" s="2505"/>
      <c r="R97" s="2484"/>
      <c r="S97" s="2484"/>
      <c r="T97" s="2484"/>
      <c r="U97" s="2484"/>
      <c r="V97" s="2484"/>
      <c r="W97" s="2484"/>
      <c r="X97" s="2484"/>
      <c r="Y97" s="2484"/>
      <c r="Z97" s="2484"/>
      <c r="AA97" s="2484"/>
      <c r="AB97" s="2484"/>
      <c r="AC97" s="2484"/>
    </row>
    <row r="98" spans="1:29" ht="15.75" thickBot="1">
      <c r="A98" s="366"/>
      <c r="B98" s="473"/>
      <c r="C98" s="490"/>
      <c r="D98" s="466"/>
      <c r="E98" s="466"/>
      <c r="F98" s="466"/>
      <c r="G98" s="466"/>
      <c r="H98" s="466"/>
      <c r="I98" s="466"/>
      <c r="J98" s="466"/>
      <c r="K98" s="466"/>
      <c r="L98" s="466"/>
      <c r="M98" s="467"/>
      <c r="N98" s="2519"/>
      <c r="O98" s="2519"/>
      <c r="P98" s="2527"/>
      <c r="Q98" s="2505"/>
      <c r="R98" s="2484"/>
      <c r="S98" s="2484"/>
      <c r="T98" s="2484"/>
      <c r="U98" s="2484"/>
      <c r="V98" s="2484"/>
      <c r="W98" s="2484"/>
      <c r="X98" s="2484"/>
      <c r="Y98" s="2484"/>
      <c r="Z98" s="2484"/>
      <c r="AA98" s="2484"/>
      <c r="AB98" s="2484"/>
      <c r="AC98" s="2484"/>
    </row>
    <row r="99" spans="1:29" ht="15.75" thickTop="1">
      <c r="A99" s="366"/>
      <c r="B99" s="476">
        <f>B32</f>
        <v>111</v>
      </c>
      <c r="C99" s="31"/>
      <c r="D99" s="31"/>
      <c r="E99" s="31"/>
      <c r="F99" s="31"/>
      <c r="G99" s="516"/>
      <c r="H99" s="516"/>
      <c r="I99" s="516"/>
      <c r="J99" s="516"/>
      <c r="K99" s="517"/>
      <c r="L99" s="518"/>
      <c r="M99" s="519"/>
      <c r="N99" s="2518"/>
      <c r="O99" s="2518"/>
      <c r="P99" s="2527"/>
      <c r="Q99" s="2505"/>
      <c r="R99" s="2484"/>
      <c r="S99" s="2484"/>
      <c r="T99" s="2484"/>
      <c r="U99" s="2484"/>
      <c r="V99" s="2484"/>
      <c r="W99" s="2484"/>
      <c r="X99" s="2484"/>
      <c r="Y99" s="2484"/>
      <c r="Z99" s="2484"/>
      <c r="AA99" s="2484"/>
      <c r="AB99" s="2484"/>
      <c r="AC99" s="2484"/>
    </row>
    <row r="100" spans="1:29" ht="15.75" thickBot="1">
      <c r="A100" s="374"/>
      <c r="B100" s="499"/>
      <c r="C100" s="500"/>
      <c r="D100" s="500"/>
      <c r="E100" s="500"/>
      <c r="F100" s="500"/>
      <c r="G100" s="520"/>
      <c r="H100" s="520"/>
      <c r="I100" s="520"/>
      <c r="J100" s="520"/>
      <c r="K100" s="520"/>
      <c r="L100" s="520"/>
      <c r="M100" s="521"/>
      <c r="N100" s="2519"/>
      <c r="O100" s="2519"/>
      <c r="P100" s="2527"/>
      <c r="Q100" s="2505"/>
      <c r="R100" s="2484"/>
      <c r="S100" s="2484"/>
      <c r="T100" s="2484"/>
      <c r="U100" s="2484"/>
      <c r="V100" s="2484"/>
      <c r="W100" s="2484"/>
      <c r="X100" s="2484"/>
      <c r="Y100" s="2484"/>
      <c r="Z100" s="2484"/>
      <c r="AA100" s="2484"/>
      <c r="AB100" s="2484"/>
      <c r="AC100" s="2484"/>
    </row>
    <row r="101" spans="1:29">
      <c r="A101" s="378" t="s">
        <v>1692</v>
      </c>
      <c r="B101" s="459" t="s">
        <v>1734</v>
      </c>
      <c r="C101" s="461"/>
      <c r="D101" s="461"/>
      <c r="E101" s="461"/>
      <c r="F101" s="461"/>
      <c r="G101" s="461"/>
      <c r="H101" s="461"/>
      <c r="I101" s="461"/>
      <c r="J101" s="461"/>
      <c r="K101" s="462"/>
      <c r="L101" s="463"/>
      <c r="M101" s="464"/>
      <c r="N101" s="2518"/>
      <c r="O101" s="2518"/>
      <c r="P101" s="2527"/>
      <c r="Q101" s="2505"/>
      <c r="R101" s="2484"/>
      <c r="S101" s="2484"/>
      <c r="T101" s="2484"/>
      <c r="U101" s="2484"/>
      <c r="V101" s="2484"/>
      <c r="W101" s="2484"/>
      <c r="X101" s="2484"/>
      <c r="Y101" s="2484"/>
      <c r="Z101" s="2484"/>
      <c r="AA101" s="2484"/>
      <c r="AB101" s="2484"/>
      <c r="AC101" s="2484"/>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9"/>
      <c r="O102" s="2519"/>
      <c r="P102" s="2527"/>
      <c r="Q102" s="2505"/>
      <c r="R102" s="2484"/>
      <c r="S102" s="2484"/>
      <c r="T102" s="2484"/>
      <c r="U102" s="2484"/>
      <c r="V102" s="2484"/>
      <c r="W102" s="2484"/>
      <c r="X102" s="2484"/>
      <c r="Y102" s="2484"/>
      <c r="Z102" s="2484"/>
      <c r="AA102" s="2484"/>
      <c r="AB102" s="2484"/>
      <c r="AC102" s="2484"/>
    </row>
    <row r="103" spans="1:29" ht="15.75" thickTop="1">
      <c r="A103" s="366"/>
      <c r="B103" s="468" t="s">
        <v>1735</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7" customFormat="1">
      <c r="A104" s="405"/>
      <c r="B104" s="522"/>
      <c r="C104" s="6"/>
      <c r="D104" s="6"/>
      <c r="E104" s="6"/>
      <c r="F104" s="6"/>
      <c r="G104" s="6"/>
      <c r="H104" s="6"/>
      <c r="I104" s="6"/>
      <c r="J104" s="523"/>
      <c r="K104" s="523"/>
      <c r="L104" s="524"/>
      <c r="M104" s="525"/>
      <c r="N104" s="2520"/>
      <c r="O104" s="2520"/>
      <c r="P104" s="2528"/>
      <c r="Q104" s="2512"/>
      <c r="R104" s="2490"/>
      <c r="S104" s="2490"/>
      <c r="T104" s="2490"/>
      <c r="U104" s="2490"/>
      <c r="V104" s="2490"/>
      <c r="W104" s="2490"/>
      <c r="X104" s="2490"/>
      <c r="Y104" s="2490"/>
      <c r="Z104" s="2490"/>
      <c r="AA104" s="2490"/>
      <c r="AB104" s="2490"/>
      <c r="AC104" s="2490"/>
    </row>
    <row r="105" spans="1:29" s="407" customFormat="1" ht="15.75" thickBot="1">
      <c r="A105" s="483"/>
      <c r="B105" s="473"/>
      <c r="C105" s="490"/>
      <c r="D105" s="466"/>
      <c r="E105" s="466"/>
      <c r="F105" s="466"/>
      <c r="G105" s="466"/>
      <c r="H105" s="466"/>
      <c r="I105" s="466"/>
      <c r="J105" s="466"/>
      <c r="K105" s="466"/>
      <c r="L105" s="466"/>
      <c r="M105" s="467"/>
      <c r="N105" s="2519"/>
      <c r="O105" s="2519"/>
      <c r="P105" s="2528"/>
      <c r="Q105" s="2512"/>
      <c r="R105" s="2490"/>
      <c r="S105" s="2490"/>
      <c r="T105" s="2490"/>
      <c r="U105" s="2490"/>
      <c r="V105" s="2490"/>
      <c r="W105" s="2490"/>
      <c r="X105" s="2490"/>
      <c r="Y105" s="2490"/>
      <c r="Z105" s="2490"/>
      <c r="AA105" s="2490"/>
      <c r="AB105" s="2490"/>
      <c r="AC105" s="2490"/>
    </row>
    <row r="106" spans="1:29" ht="15" thickTop="1">
      <c r="A106" s="408"/>
      <c r="B106" s="468" t="s">
        <v>1736</v>
      </c>
      <c r="C106" s="484"/>
      <c r="D106" s="484"/>
      <c r="E106" s="512"/>
      <c r="F106" s="512"/>
      <c r="G106" s="512"/>
      <c r="H106" s="512"/>
      <c r="I106" s="512"/>
      <c r="J106" s="512"/>
      <c r="K106" s="513"/>
      <c r="L106" s="514"/>
      <c r="M106" s="515"/>
      <c r="N106" s="2518"/>
      <c r="O106" s="2518"/>
      <c r="P106" s="2527"/>
      <c r="Q106" s="2505"/>
      <c r="R106" s="2484"/>
      <c r="S106" s="2484"/>
      <c r="T106" s="2484"/>
      <c r="U106" s="2484"/>
      <c r="V106" s="2484"/>
      <c r="W106" s="2484"/>
      <c r="X106" s="2484"/>
      <c r="Y106" s="2484"/>
      <c r="Z106" s="2484"/>
      <c r="AA106" s="2484"/>
      <c r="AB106" s="2484"/>
      <c r="AC106" s="2484"/>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8"/>
      <c r="B108" s="468" t="s">
        <v>1738</v>
      </c>
      <c r="C108" s="484"/>
      <c r="D108" s="484"/>
      <c r="E108" s="484"/>
      <c r="F108" s="512"/>
      <c r="G108" s="512"/>
      <c r="H108" s="512"/>
      <c r="I108" s="512"/>
      <c r="J108" s="512"/>
      <c r="K108" s="513"/>
      <c r="L108" s="514"/>
      <c r="M108" s="515"/>
      <c r="N108" s="2518"/>
      <c r="O108" s="2518"/>
      <c r="P108" s="2527"/>
      <c r="Q108" s="2505"/>
      <c r="R108" s="2484"/>
      <c r="S108" s="2484"/>
      <c r="T108" s="2484"/>
      <c r="U108" s="2484"/>
      <c r="V108" s="2484"/>
      <c r="W108" s="2484"/>
      <c r="X108" s="2484"/>
      <c r="Y108" s="2484"/>
      <c r="Z108" s="2484"/>
      <c r="AA108" s="2484"/>
      <c r="AB108" s="2484"/>
      <c r="AC108" s="2484"/>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8"/>
      <c r="O110" s="2518"/>
      <c r="P110" s="2527"/>
      <c r="Q110" s="2505"/>
      <c r="R110" s="2484"/>
      <c r="S110" s="2484"/>
      <c r="T110" s="2484"/>
      <c r="U110" s="2484"/>
      <c r="V110" s="2484"/>
      <c r="W110" s="2484"/>
      <c r="X110" s="2484"/>
      <c r="Y110" s="2484"/>
      <c r="Z110" s="2484"/>
      <c r="AA110" s="2484"/>
      <c r="AB110" s="2484"/>
      <c r="AC110" s="2484"/>
    </row>
    <row r="111" spans="1:29">
      <c r="A111" s="408"/>
      <c r="B111" s="476"/>
      <c r="C111" s="529">
        <v>0.5</v>
      </c>
      <c r="D111" s="529">
        <v>0.6</v>
      </c>
      <c r="E111" s="529">
        <v>0.7</v>
      </c>
      <c r="F111" s="529">
        <v>0.8</v>
      </c>
      <c r="G111" s="529">
        <v>0.9</v>
      </c>
      <c r="H111" s="529">
        <v>1.0001</v>
      </c>
      <c r="I111" s="547"/>
      <c r="J111" s="547"/>
      <c r="K111" s="548"/>
      <c r="L111" s="549"/>
      <c r="M111" s="550"/>
      <c r="N111" s="2518"/>
      <c r="O111" s="2518"/>
      <c r="P111" s="2527"/>
      <c r="Q111" s="2505"/>
      <c r="R111" s="2484"/>
      <c r="S111" s="2484"/>
      <c r="T111" s="2484"/>
      <c r="U111" s="2484"/>
      <c r="V111" s="2484"/>
      <c r="W111" s="2484"/>
      <c r="X111" s="2484"/>
      <c r="Y111" s="2484"/>
      <c r="Z111" s="2484"/>
      <c r="AA111" s="2484"/>
      <c r="AB111" s="2484"/>
      <c r="AC111" s="2484"/>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9"/>
      <c r="O112" s="2519"/>
      <c r="P112" s="2527"/>
      <c r="Q112" s="2505"/>
      <c r="R112" s="2484"/>
      <c r="S112" s="2484"/>
      <c r="T112" s="2484"/>
      <c r="U112" s="2484"/>
      <c r="V112" s="2484"/>
      <c r="W112" s="2484"/>
      <c r="X112" s="2484"/>
      <c r="Y112" s="2484"/>
      <c r="Z112" s="2484"/>
      <c r="AA112" s="2484"/>
      <c r="AB112" s="2484"/>
      <c r="AC112" s="2484"/>
    </row>
    <row r="113" spans="1:29" s="407" customFormat="1" ht="15" thickTop="1">
      <c r="A113" s="405"/>
      <c r="B113" s="468" t="s">
        <v>1822</v>
      </c>
      <c r="C113" s="484"/>
      <c r="D113" s="484"/>
      <c r="E113" s="484"/>
      <c r="F113" s="484"/>
      <c r="G113" s="484"/>
      <c r="H113" s="512"/>
      <c r="I113" s="512"/>
      <c r="J113" s="512"/>
      <c r="K113" s="513"/>
      <c r="L113" s="514"/>
      <c r="M113" s="515"/>
      <c r="N113" s="2520"/>
      <c r="O113" s="2520"/>
      <c r="P113" s="2528"/>
      <c r="Q113" s="2512"/>
      <c r="R113" s="2490"/>
      <c r="S113" s="2490"/>
      <c r="T113" s="2490"/>
      <c r="U113" s="2490"/>
      <c r="V113" s="2490"/>
      <c r="W113" s="2490"/>
      <c r="X113" s="2490"/>
      <c r="Y113" s="2490"/>
      <c r="Z113" s="2490"/>
      <c r="AA113" s="2490"/>
      <c r="AB113" s="2490"/>
      <c r="AC113" s="2490"/>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8"/>
      <c r="B115" s="468" t="s">
        <v>1739</v>
      </c>
      <c r="C115" s="484"/>
      <c r="D115" s="484"/>
      <c r="E115" s="512"/>
      <c r="F115" s="512"/>
      <c r="G115" s="512"/>
      <c r="H115" s="512"/>
      <c r="I115" s="512"/>
      <c r="J115" s="512"/>
      <c r="K115" s="513"/>
      <c r="L115" s="514"/>
      <c r="M115" s="515"/>
      <c r="N115" s="2518"/>
      <c r="O115" s="2518"/>
      <c r="P115" s="2527"/>
      <c r="Q115" s="2505"/>
      <c r="R115" s="2484"/>
      <c r="S115" s="2484"/>
      <c r="T115" s="2484"/>
      <c r="U115" s="2484"/>
      <c r="V115" s="2484"/>
      <c r="W115" s="2484"/>
      <c r="X115" s="2484"/>
      <c r="Y115" s="2484"/>
      <c r="Z115" s="2484"/>
      <c r="AA115" s="2484"/>
      <c r="AB115" s="2484"/>
      <c r="AC115" s="2484"/>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8"/>
      <c r="B117" s="468" t="s">
        <v>1740</v>
      </c>
      <c r="C117" s="484"/>
      <c r="D117" s="484"/>
      <c r="E117" s="484"/>
      <c r="F117" s="484"/>
      <c r="G117" s="484"/>
      <c r="H117" s="512"/>
      <c r="I117" s="512"/>
      <c r="J117" s="512"/>
      <c r="K117" s="513"/>
      <c r="L117" s="514"/>
      <c r="M117" s="515"/>
      <c r="N117" s="2518"/>
      <c r="O117" s="2518"/>
      <c r="P117" s="2527"/>
      <c r="Q117" s="2505"/>
      <c r="R117" s="2484"/>
      <c r="S117" s="2484"/>
      <c r="T117" s="2484"/>
      <c r="U117" s="2484"/>
      <c r="V117" s="2484"/>
      <c r="W117" s="2484"/>
      <c r="X117" s="2484"/>
      <c r="Y117" s="2484"/>
      <c r="Z117" s="2484"/>
      <c r="AA117" s="2484"/>
      <c r="AB117" s="2484"/>
      <c r="AC117" s="2484"/>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9"/>
      <c r="O118" s="2519"/>
      <c r="P118" s="2527"/>
      <c r="Q118" s="2505"/>
      <c r="R118" s="2484"/>
      <c r="S118" s="2484"/>
      <c r="T118" s="2484"/>
      <c r="U118" s="2484"/>
      <c r="V118" s="2484"/>
      <c r="W118" s="2484"/>
      <c r="X118" s="2484"/>
      <c r="Y118" s="2484"/>
      <c r="Z118" s="2484"/>
      <c r="AA118" s="2484"/>
      <c r="AB118" s="2484"/>
      <c r="AC118" s="2484"/>
    </row>
    <row r="119" spans="1:29" ht="15" thickTop="1">
      <c r="A119" s="408"/>
      <c r="B119" s="559" t="s">
        <v>1823</v>
      </c>
      <c r="C119" s="512"/>
      <c r="D119" s="512"/>
      <c r="E119" s="512"/>
      <c r="F119" s="512"/>
      <c r="G119" s="512"/>
      <c r="H119" s="512"/>
      <c r="I119" s="512"/>
      <c r="J119" s="512"/>
      <c r="K119" s="512"/>
      <c r="L119" s="1815"/>
      <c r="M119" s="1816"/>
      <c r="N119" s="2519"/>
      <c r="O119" s="2519"/>
      <c r="P119" s="2532"/>
      <c r="Q119" s="2533"/>
      <c r="R119" s="2484"/>
      <c r="S119" s="2484"/>
      <c r="T119" s="2484"/>
      <c r="U119" s="2484"/>
      <c r="V119" s="2484"/>
      <c r="W119" s="2484"/>
      <c r="X119" s="2484"/>
      <c r="Y119" s="2484"/>
      <c r="Z119" s="2484"/>
      <c r="AA119" s="2484"/>
      <c r="AB119" s="2484"/>
      <c r="AC119" s="2484"/>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9"/>
      <c r="O120" s="2519"/>
      <c r="P120" s="2527"/>
      <c r="Q120" s="2505"/>
      <c r="R120" s="2484"/>
      <c r="S120" s="2484"/>
      <c r="T120" s="2484"/>
      <c r="U120" s="2484"/>
      <c r="V120" s="2484"/>
      <c r="W120" s="2484"/>
      <c r="X120" s="2484"/>
      <c r="Y120" s="2484"/>
      <c r="Z120" s="2484"/>
      <c r="AA120" s="2484"/>
      <c r="AB120" s="2484"/>
      <c r="AC120" s="2484"/>
    </row>
    <row r="121" spans="1:29" s="407" customFormat="1" ht="15" thickTop="1">
      <c r="A121" s="405"/>
      <c r="B121" s="468" t="s">
        <v>1806</v>
      </c>
      <c r="C121" s="484"/>
      <c r="D121" s="484"/>
      <c r="E121" s="484"/>
      <c r="F121" s="512"/>
      <c r="G121" s="485"/>
      <c r="H121" s="485"/>
      <c r="I121" s="485"/>
      <c r="J121" s="485"/>
      <c r="K121" s="485"/>
      <c r="L121" s="486"/>
      <c r="M121" s="487"/>
      <c r="N121" s="2520"/>
      <c r="O121" s="2520"/>
      <c r="P121" s="2528"/>
      <c r="Q121" s="2512"/>
      <c r="R121" s="2490"/>
      <c r="S121" s="2490"/>
      <c r="T121" s="2490"/>
      <c r="U121" s="2490"/>
      <c r="V121" s="2490"/>
      <c r="W121" s="2490"/>
      <c r="X121" s="2490"/>
      <c r="Y121" s="2490"/>
      <c r="Z121" s="2490"/>
      <c r="AA121" s="2490"/>
      <c r="AB121" s="2490"/>
      <c r="AC121" s="2490"/>
    </row>
    <row r="122" spans="1:29" s="407" customFormat="1" ht="15.75" thickBot="1">
      <c r="A122" s="483"/>
      <c r="B122" s="465"/>
      <c r="C122" s="490"/>
      <c r="D122" s="490"/>
      <c r="E122" s="490"/>
      <c r="F122" s="490"/>
      <c r="G122" s="490"/>
      <c r="H122" s="490"/>
      <c r="I122" s="490"/>
      <c r="J122" s="490"/>
      <c r="K122" s="490"/>
      <c r="L122" s="490"/>
      <c r="M122" s="490"/>
      <c r="N122" s="2520"/>
      <c r="O122" s="2520"/>
      <c r="P122" s="2528"/>
      <c r="Q122" s="2512"/>
      <c r="R122" s="2490"/>
      <c r="S122" s="2490"/>
      <c r="T122" s="2490"/>
      <c r="U122" s="2490"/>
      <c r="V122" s="2490"/>
      <c r="W122" s="2490"/>
      <c r="X122" s="2490"/>
      <c r="Y122" s="2490"/>
      <c r="Z122" s="2490"/>
      <c r="AA122" s="2490"/>
      <c r="AB122" s="2490"/>
      <c r="AC122" s="2490"/>
    </row>
    <row r="123" spans="1:29" ht="15" thickTop="1">
      <c r="A123" s="408"/>
      <c r="B123" s="468" t="s">
        <v>1742</v>
      </c>
      <c r="C123" s="484"/>
      <c r="D123" s="484"/>
      <c r="E123" s="484"/>
      <c r="F123" s="512"/>
      <c r="G123" s="512"/>
      <c r="H123" s="512"/>
      <c r="I123" s="512"/>
      <c r="J123" s="512"/>
      <c r="K123" s="513"/>
      <c r="L123" s="514"/>
      <c r="M123" s="515"/>
      <c r="N123" s="2518"/>
      <c r="O123" s="2518"/>
      <c r="P123" s="2527"/>
      <c r="Q123" s="2505"/>
      <c r="R123" s="2484"/>
      <c r="S123" s="2484"/>
      <c r="T123" s="2484"/>
      <c r="U123" s="2484"/>
      <c r="V123" s="2484"/>
      <c r="W123" s="2484"/>
      <c r="X123" s="2484"/>
      <c r="Y123" s="2484"/>
      <c r="Z123" s="2484"/>
      <c r="AA123" s="2484"/>
      <c r="AB123" s="2484"/>
      <c r="AC123" s="2484"/>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9"/>
      <c r="O124" s="2519"/>
      <c r="P124" s="2527"/>
      <c r="Q124" s="2505"/>
      <c r="R124" s="2484"/>
      <c r="S124" s="2484"/>
      <c r="T124" s="2484"/>
      <c r="U124" s="2484"/>
      <c r="V124" s="2484"/>
      <c r="W124" s="2484"/>
      <c r="X124" s="2484"/>
      <c r="Y124" s="2484"/>
      <c r="Z124" s="2484"/>
      <c r="AA124" s="2484"/>
      <c r="AB124" s="2484"/>
      <c r="AC124" s="2484"/>
    </row>
    <row r="125" spans="1:29" ht="15" thickTop="1">
      <c r="A125" s="408"/>
      <c r="B125" s="468" t="s">
        <v>1743</v>
      </c>
      <c r="C125" s="508" t="s">
        <v>1719</v>
      </c>
      <c r="D125" s="508" t="s">
        <v>1720</v>
      </c>
      <c r="E125" s="508" t="s">
        <v>1721</v>
      </c>
      <c r="F125" s="508" t="s">
        <v>1722</v>
      </c>
      <c r="G125" s="508" t="s">
        <v>1723</v>
      </c>
      <c r="H125" s="469"/>
      <c r="I125" s="469"/>
      <c r="J125" s="469"/>
      <c r="K125" s="470"/>
      <c r="L125" s="471"/>
      <c r="M125" s="472"/>
      <c r="N125" s="2518"/>
      <c r="O125" s="2518"/>
      <c r="P125" s="2528"/>
      <c r="Q125" s="2505"/>
      <c r="R125" s="2484"/>
      <c r="S125" s="2484"/>
      <c r="T125" s="2484"/>
      <c r="U125" s="2484"/>
      <c r="V125" s="2484"/>
      <c r="W125" s="2484"/>
      <c r="X125" s="2484"/>
      <c r="Y125" s="2484"/>
      <c r="Z125" s="2484"/>
      <c r="AA125" s="2484"/>
      <c r="AB125" s="2484"/>
      <c r="AC125" s="2484"/>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9"/>
      <c r="O126" s="2519"/>
      <c r="P126" s="2527"/>
      <c r="Q126" s="2505"/>
      <c r="R126" s="2484"/>
      <c r="S126" s="2484"/>
      <c r="T126" s="2484"/>
      <c r="U126" s="2484"/>
      <c r="V126" s="2484"/>
      <c r="W126" s="2484"/>
      <c r="X126" s="2484"/>
      <c r="Y126" s="2484"/>
      <c r="Z126" s="2484"/>
      <c r="AA126" s="2484"/>
      <c r="AB126" s="2484"/>
      <c r="AC126" s="2484"/>
    </row>
    <row r="127" spans="1:29" s="407" customFormat="1" ht="15" thickTop="1">
      <c r="A127" s="405"/>
      <c r="B127" s="468">
        <f>B45</f>
        <v>111</v>
      </c>
      <c r="C127" s="484"/>
      <c r="D127" s="484"/>
      <c r="E127" s="484"/>
      <c r="F127" s="484"/>
      <c r="G127" s="484"/>
      <c r="H127" s="485"/>
      <c r="I127" s="485"/>
      <c r="J127" s="485"/>
      <c r="K127" s="485"/>
      <c r="L127" s="486"/>
      <c r="M127" s="487"/>
      <c r="N127" s="2520"/>
      <c r="O127" s="2520"/>
      <c r="P127" s="2528"/>
      <c r="Q127" s="2512"/>
      <c r="R127" s="2490"/>
      <c r="S127" s="2490"/>
      <c r="T127" s="2490"/>
      <c r="U127" s="2490"/>
      <c r="V127" s="2490"/>
      <c r="W127" s="2490"/>
      <c r="X127" s="2490"/>
      <c r="Y127" s="2490"/>
      <c r="Z127" s="2490"/>
      <c r="AA127" s="2490"/>
      <c r="AB127" s="2490"/>
      <c r="AC127" s="2490"/>
    </row>
    <row r="128" spans="1:29" s="407" customFormat="1" ht="15.75" thickBot="1">
      <c r="A128" s="483"/>
      <c r="B128" s="473"/>
      <c r="C128" s="490"/>
      <c r="D128" s="466"/>
      <c r="E128" s="466"/>
      <c r="F128" s="466"/>
      <c r="G128" s="490"/>
      <c r="H128" s="492"/>
      <c r="I128" s="492"/>
      <c r="J128" s="492"/>
      <c r="K128" s="492"/>
      <c r="L128" s="492"/>
      <c r="M128" s="493"/>
      <c r="N128" s="2520"/>
      <c r="O128" s="2520"/>
      <c r="P128" s="2528"/>
      <c r="Q128" s="2512"/>
      <c r="R128" s="2490"/>
      <c r="S128" s="2490"/>
      <c r="T128" s="2490"/>
      <c r="U128" s="2490"/>
      <c r="V128" s="2490"/>
      <c r="W128" s="2490"/>
      <c r="X128" s="2490"/>
      <c r="Y128" s="2490"/>
      <c r="Z128" s="2490"/>
      <c r="AA128" s="2490"/>
      <c r="AB128" s="2490"/>
      <c r="AC128" s="2490"/>
    </row>
    <row r="129" spans="1:29" ht="15" thickTop="1">
      <c r="A129" s="408"/>
      <c r="B129" s="468">
        <f>B46</f>
        <v>111</v>
      </c>
      <c r="C129" s="484"/>
      <c r="D129" s="484"/>
      <c r="E129" s="484"/>
      <c r="F129" s="484"/>
      <c r="G129" s="512"/>
      <c r="H129" s="512"/>
      <c r="I129" s="512"/>
      <c r="J129" s="512"/>
      <c r="K129" s="513"/>
      <c r="L129" s="514"/>
      <c r="M129" s="515"/>
      <c r="N129" s="2518"/>
      <c r="O129" s="2518"/>
      <c r="P129" s="2527"/>
      <c r="Q129" s="2505"/>
      <c r="R129" s="2484"/>
      <c r="S129" s="2484"/>
      <c r="T129" s="2484"/>
      <c r="U129" s="2484"/>
      <c r="V129" s="2484"/>
      <c r="W129" s="2484"/>
      <c r="X129" s="2484"/>
      <c r="Y129" s="2484"/>
      <c r="Z129" s="2484"/>
      <c r="AA129" s="2484"/>
      <c r="AB129" s="2484"/>
      <c r="AC129" s="2484"/>
    </row>
    <row r="130" spans="1:29" ht="15.75" thickBot="1">
      <c r="A130" s="366"/>
      <c r="B130" s="473"/>
      <c r="C130" s="490"/>
      <c r="D130" s="490"/>
      <c r="E130" s="490"/>
      <c r="F130" s="490"/>
      <c r="G130" s="466"/>
      <c r="H130" s="466"/>
      <c r="I130" s="466"/>
      <c r="J130" s="466"/>
      <c r="K130" s="466"/>
      <c r="L130" s="466"/>
      <c r="M130" s="467"/>
      <c r="N130" s="2519"/>
      <c r="O130" s="2519"/>
      <c r="P130" s="2527"/>
      <c r="Q130" s="2505"/>
      <c r="R130" s="2484"/>
      <c r="S130" s="2484"/>
      <c r="T130" s="2484"/>
      <c r="U130" s="2484"/>
      <c r="V130" s="2484"/>
      <c r="W130" s="2484"/>
      <c r="X130" s="2484"/>
      <c r="Y130" s="2484"/>
      <c r="Z130" s="2484"/>
      <c r="AA130" s="2484"/>
      <c r="AB130" s="2484"/>
      <c r="AC130" s="2484"/>
    </row>
    <row r="131" spans="1:29" ht="15" thickTop="1">
      <c r="A131" s="408"/>
      <c r="B131" s="476">
        <f>B47</f>
        <v>111</v>
      </c>
      <c r="C131" s="31"/>
      <c r="D131" s="31"/>
      <c r="E131" s="31"/>
      <c r="F131" s="31"/>
      <c r="G131" s="516"/>
      <c r="H131" s="516"/>
      <c r="I131" s="516"/>
      <c r="J131" s="516"/>
      <c r="K131" s="31"/>
      <c r="L131" s="456"/>
      <c r="M131" s="519"/>
      <c r="N131" s="2518"/>
      <c r="O131" s="2518"/>
      <c r="P131" s="2527"/>
      <c r="Q131" s="2505"/>
      <c r="R131" s="2484"/>
      <c r="S131" s="2484"/>
      <c r="T131" s="2484"/>
      <c r="U131" s="2484"/>
      <c r="V131" s="2484"/>
      <c r="W131" s="2484"/>
      <c r="X131" s="2484"/>
      <c r="Y131" s="2484"/>
      <c r="Z131" s="2484"/>
      <c r="AA131" s="2484"/>
      <c r="AB131" s="2484"/>
      <c r="AC131" s="2484"/>
    </row>
    <row r="132" spans="1:29" ht="15.75" thickBot="1">
      <c r="A132" s="374"/>
      <c r="B132" s="499"/>
      <c r="C132" s="500"/>
      <c r="D132" s="500"/>
      <c r="E132" s="500"/>
      <c r="F132" s="500"/>
      <c r="G132" s="520"/>
      <c r="H132" s="520"/>
      <c r="I132" s="520"/>
      <c r="J132" s="520"/>
      <c r="K132" s="520"/>
      <c r="L132" s="520"/>
      <c r="M132" s="521"/>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xr:uid="{00000000-0002-0000-2100-000000000000}">
      <formula1>办公建筑结构</formula1>
    </dataValidation>
    <dataValidation type="list" allowBlank="1" showInputMessage="1" showErrorMessage="1" sqref="E24 G24 I24 C24" xr:uid="{00000000-0002-0000-2100-000001000000}">
      <formula1>环境</formula1>
    </dataValidation>
    <dataValidation type="list" allowBlank="1" showInputMessage="1" showErrorMessage="1" sqref="E18 G18 I18 C18" xr:uid="{00000000-0002-0000-2100-000002000000}">
      <formula1>交通便捷度</formula1>
    </dataValidation>
    <dataValidation type="list" allowBlank="1" showInputMessage="1" showErrorMessage="1" sqref="E20 I20 G20 C20" xr:uid="{00000000-0002-0000-2100-000003000000}">
      <formula1>公共配套设施</formula1>
    </dataValidation>
    <dataValidation type="list" allowBlank="1" showInputMessage="1" showErrorMessage="1" sqref="C44 E44 G44 I44" xr:uid="{00000000-0002-0000-2100-000004000000}">
      <formula1>内部装修维护情况</formula1>
    </dataValidation>
    <dataValidation type="list" allowBlank="1" showInputMessage="1" showErrorMessage="1" sqref="D1" xr:uid="{00000000-0002-0000-2100-000005000000}">
      <formula1>项目类型</formula1>
    </dataValidation>
    <dataValidation type="list" allowBlank="1" showInputMessage="1" showErrorMessage="1" sqref="E9 G9 I9" xr:uid="{00000000-0002-0000-2100-000006000000}">
      <formula1>办公用途</formula1>
    </dataValidation>
    <dataValidation type="list" allowBlank="1" showInputMessage="1" showErrorMessage="1" sqref="C16 E16 G16 I16" xr:uid="{00000000-0002-0000-2100-000007000000}">
      <formula1>办公集聚程度</formula1>
    </dataValidation>
    <dataValidation type="list" allowBlank="1" showInputMessage="1" showErrorMessage="1" sqref="G26 C26 E26 I26" xr:uid="{00000000-0002-0000-2100-000008000000}">
      <formula1>办公道路级别</formula1>
    </dataValidation>
    <dataValidation type="list" allowBlank="1" showInputMessage="1" showErrorMessage="1" sqref="C28 E28 G28 I28" xr:uid="{00000000-0002-0000-2100-000009000000}">
      <formula1>办公朝向</formula1>
    </dataValidation>
    <dataValidation type="list" allowBlank="1" showInputMessage="1" showErrorMessage="1" sqref="C27 E27 G27 I27" xr:uid="{00000000-0002-0000-2100-00000A000000}">
      <formula1>办公楼层</formula1>
    </dataValidation>
    <dataValidation type="list" allowBlank="1" showInputMessage="1" showErrorMessage="1" sqref="C33 E33 G33 I33" xr:uid="{00000000-0002-0000-2100-00000B000000}">
      <formula1>办公建筑类型</formula1>
    </dataValidation>
    <dataValidation type="list" allowBlank="1" showInputMessage="1" showErrorMessage="1" sqref="C36 E36 G36 I36" xr:uid="{00000000-0002-0000-2100-00000C000000}">
      <formula1>办公公共部分装修</formula1>
    </dataValidation>
    <dataValidation type="list" allowBlank="1" showInputMessage="1" showErrorMessage="1" sqref="C38 E38 G38 I38" xr:uid="{00000000-0002-0000-2100-00000D000000}">
      <formula1>写字楼等级</formula1>
    </dataValidation>
    <dataValidation type="list" allowBlank="1" showInputMessage="1" showErrorMessage="1" sqref="C39 E39 G39 I39" xr:uid="{00000000-0002-0000-2100-00000E000000}">
      <formula1>办公物业管理</formula1>
    </dataValidation>
    <dataValidation type="list" allowBlank="1" showInputMessage="1" showErrorMessage="1" sqref="C40 E40 G40 I40" xr:uid="{00000000-0002-0000-2100-00000F000000}">
      <formula1>办公基础设施水平</formula1>
    </dataValidation>
    <dataValidation type="list" allowBlank="1" showInputMessage="1" showErrorMessage="1" sqref="C41 E41 G41 I41" xr:uid="{00000000-0002-0000-2100-000010000000}">
      <formula1>办公层高</formula1>
    </dataValidation>
    <dataValidation type="list" allowBlank="1" showInputMessage="1" showErrorMessage="1" sqref="C43 E43 G43 I43" xr:uid="{00000000-0002-0000-2100-000011000000}">
      <formula1>办公内部装修</formula1>
    </dataValidation>
    <dataValidation type="list" allowBlank="1" showInputMessage="1" showErrorMessage="1" sqref="C8 E8 G8 I8" xr:uid="{00000000-0002-0000-2100-000012000000}">
      <formula1>办公交易情况</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C2" xr:uid="{00000000-0002-0000-2100-000015000000}">
      <formula1>"需扣减承租人权益,——"</formula1>
    </dataValidation>
    <dataValidation type="list" allowBlank="1" showInputMessage="1" showErrorMessage="1" sqref="F2" xr:uid="{00000000-0002-0000-2100-000016000000}">
      <formula1>估价方法</formula1>
    </dataValidation>
    <dataValidation type="list" allowBlank="1" showInputMessage="1" showErrorMessage="1" sqref="D49" xr:uid="{00000000-0002-0000-2100-000017000000}">
      <formula1>"简单平均,加权平均"</formula1>
    </dataValidation>
    <dataValidation type="list" allowBlank="1" showInputMessage="1" showErrorMessage="1" sqref="E1" xr:uid="{00000000-0002-0000-21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tabColor rgb="FF92D050"/>
    <pageSetUpPr fitToPage="1"/>
  </sheetPr>
  <dimension ref="A1:AC113"/>
  <sheetViews>
    <sheetView view="pageBreakPreview" zoomScale="60" zoomScaleNormal="60" workbookViewId="0">
      <selection activeCell="H43" sqref="H43"/>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1658</v>
      </c>
      <c r="B1" s="1807" t="s">
        <v>1824</v>
      </c>
      <c r="C1" s="1140" t="s">
        <v>1660</v>
      </c>
      <c r="D1" s="1141"/>
      <c r="E1" s="3128"/>
      <c r="F1" s="1734"/>
      <c r="G1" s="1151" t="s">
        <v>1765</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1460</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1461</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1462</v>
      </c>
      <c r="B3" s="535">
        <f>IF(C2="——",C43,ROUND(B2*10000/D3,0))</f>
        <v>0</v>
      </c>
      <c r="C3" s="343" t="s">
        <v>1766</v>
      </c>
      <c r="D3" s="342">
        <f>IF(D1="",'数据-汇总表'!E3,SUMIF('数据-汇总表'!$C19:$C33,D1,'数据-汇总表'!$E19:$E33))</f>
        <v>6356.88</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1767</v>
      </c>
      <c r="B4" s="345"/>
      <c r="C4" s="3392" t="s">
        <v>1768</v>
      </c>
      <c r="D4" s="3393"/>
      <c r="E4" s="3394" t="s">
        <v>1769</v>
      </c>
      <c r="F4" s="3395"/>
      <c r="G4" s="3392" t="s">
        <v>1770</v>
      </c>
      <c r="H4" s="3393"/>
      <c r="I4" s="3392" t="s">
        <v>1771</v>
      </c>
      <c r="J4" s="3393"/>
      <c r="K4" s="536" t="s">
        <v>1772</v>
      </c>
      <c r="L4" s="859"/>
      <c r="M4" s="860"/>
      <c r="N4" s="860"/>
      <c r="O4" s="860"/>
      <c r="P4" s="3396" t="s">
        <v>1773</v>
      </c>
      <c r="Q4" s="3397"/>
      <c r="R4" s="3402" t="s">
        <v>1769</v>
      </c>
      <c r="S4" s="3403"/>
      <c r="T4" s="3402" t="s">
        <v>1770</v>
      </c>
      <c r="U4" s="3403"/>
      <c r="V4" s="3375" t="s">
        <v>1771</v>
      </c>
      <c r="W4" s="3375"/>
      <c r="X4" s="1264"/>
      <c r="Y4" s="3402" t="s">
        <v>1773</v>
      </c>
      <c r="Z4" s="3403"/>
      <c r="AA4" s="3389" t="s">
        <v>1769</v>
      </c>
      <c r="AB4" s="3390" t="s">
        <v>1770</v>
      </c>
      <c r="AC4" s="3389" t="s">
        <v>1771</v>
      </c>
    </row>
    <row r="5" spans="1:29" ht="15">
      <c r="A5" s="347"/>
      <c r="B5" s="348"/>
      <c r="C5" s="3415" t="s">
        <v>1671</v>
      </c>
      <c r="D5" s="3411"/>
      <c r="E5" s="3468" t="s">
        <v>1672</v>
      </c>
      <c r="F5" s="3419"/>
      <c r="G5" s="3415" t="s">
        <v>1673</v>
      </c>
      <c r="H5" s="3411"/>
      <c r="I5" s="3415" t="s">
        <v>1674</v>
      </c>
      <c r="J5" s="3411"/>
      <c r="K5" s="536"/>
      <c r="L5" s="859"/>
      <c r="M5" s="860"/>
      <c r="N5" s="860"/>
      <c r="O5" s="860"/>
      <c r="P5" s="3398"/>
      <c r="Q5" s="3399"/>
      <c r="R5" s="3404"/>
      <c r="S5" s="3405"/>
      <c r="T5" s="3404"/>
      <c r="U5" s="3405"/>
      <c r="V5" s="3375"/>
      <c r="W5" s="3375"/>
      <c r="X5" s="1264"/>
      <c r="Y5" s="3404"/>
      <c r="Z5" s="3405"/>
      <c r="AA5" s="3390"/>
      <c r="AB5" s="3390"/>
      <c r="AC5" s="3390"/>
    </row>
    <row r="6" spans="1:29" ht="15.75" thickBot="1">
      <c r="A6" s="349"/>
      <c r="B6" s="350"/>
      <c r="C6" s="3408" t="s">
        <v>1675</v>
      </c>
      <c r="D6" s="3409"/>
      <c r="E6" s="3416" t="s">
        <v>1675</v>
      </c>
      <c r="F6" s="3417"/>
      <c r="G6" s="3408" t="s">
        <v>1675</v>
      </c>
      <c r="H6" s="3409"/>
      <c r="I6" s="3408" t="s">
        <v>1675</v>
      </c>
      <c r="J6" s="3409"/>
      <c r="K6" s="536" t="s">
        <v>1676</v>
      </c>
      <c r="L6" s="859"/>
      <c r="M6" s="860"/>
      <c r="N6" s="860"/>
      <c r="O6" s="860"/>
      <c r="P6" s="3400"/>
      <c r="Q6" s="3401"/>
      <c r="R6" s="3404"/>
      <c r="S6" s="3405"/>
      <c r="T6" s="3406"/>
      <c r="U6" s="3407"/>
      <c r="V6" s="3375"/>
      <c r="W6" s="3375"/>
      <c r="X6" s="1264"/>
      <c r="Y6" s="3406"/>
      <c r="Z6" s="3407"/>
      <c r="AA6" s="3391"/>
      <c r="AB6" s="3391"/>
      <c r="AC6" s="3391"/>
    </row>
    <row r="7" spans="1:29" s="102" customFormat="1" ht="15.75" thickBot="1">
      <c r="A7" s="351" t="s">
        <v>1677</v>
      </c>
      <c r="B7" s="352"/>
      <c r="C7" s="353">
        <f>'数据-取费表'!B2</f>
        <v>45022</v>
      </c>
      <c r="D7" s="354">
        <v>100</v>
      </c>
      <c r="E7" s="355"/>
      <c r="F7" s="356">
        <f>SUMIF(52:52,YEAR(E7)&amp;"-"&amp;MONTH(E7),53:53)</f>
        <v>0</v>
      </c>
      <c r="G7" s="355"/>
      <c r="H7" s="354">
        <f>SUMIF(52:52,YEAR(G7)&amp;"-"&amp;MONTH(G7),53:53)</f>
        <v>0</v>
      </c>
      <c r="I7" s="355"/>
      <c r="J7" s="354">
        <f>SUMIF(52:52,YEAR(I7)&amp;"-"&amp;MONTH(I7),53:53)</f>
        <v>0</v>
      </c>
      <c r="K7" s="38"/>
      <c r="L7" s="861"/>
      <c r="M7" s="862"/>
      <c r="N7" s="862"/>
      <c r="O7" s="862"/>
      <c r="P7" s="3412" t="s">
        <v>1678</v>
      </c>
      <c r="Q7" s="3414"/>
      <c r="R7" s="663" t="s">
        <v>14</v>
      </c>
      <c r="S7" s="664">
        <f t="shared" ref="S7:S15" si="0">F7</f>
        <v>0</v>
      </c>
      <c r="T7" s="663" t="s">
        <v>14</v>
      </c>
      <c r="U7" s="664">
        <f t="shared" ref="U7:U15" si="1">H7</f>
        <v>0</v>
      </c>
      <c r="V7" s="663" t="s">
        <v>14</v>
      </c>
      <c r="W7" s="664">
        <f t="shared" ref="W7:W15" si="2">J7</f>
        <v>0</v>
      </c>
      <c r="X7" s="665"/>
      <c r="Y7" s="3412" t="s">
        <v>1678</v>
      </c>
      <c r="Z7" s="3413"/>
      <c r="AA7" s="50" t="e">
        <f>D7/F7</f>
        <v>#DIV/0!</v>
      </c>
      <c r="AB7" s="50" t="e">
        <f>D7/H7</f>
        <v>#DIV/0!</v>
      </c>
      <c r="AC7" s="50" t="e">
        <f>D7/J7</f>
        <v>#DIV/0!</v>
      </c>
    </row>
    <row r="8" spans="1:29" s="102" customFormat="1" ht="15.75" thickBot="1">
      <c r="A8" s="351" t="s">
        <v>1679</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12" t="s">
        <v>1681</v>
      </c>
      <c r="Q8" s="3413"/>
      <c r="R8" s="663" t="s">
        <v>14</v>
      </c>
      <c r="S8" s="664">
        <f t="shared" si="0"/>
        <v>100</v>
      </c>
      <c r="T8" s="663" t="s">
        <v>14</v>
      </c>
      <c r="U8" s="664">
        <f t="shared" si="1"/>
        <v>100</v>
      </c>
      <c r="V8" s="663" t="s">
        <v>14</v>
      </c>
      <c r="W8" s="664">
        <f t="shared" si="2"/>
        <v>100</v>
      </c>
      <c r="X8" s="665"/>
      <c r="Y8" s="3412" t="s">
        <v>1681</v>
      </c>
      <c r="Z8" s="3413"/>
      <c r="AA8" s="50">
        <f t="shared" ref="AA8:AA40" si="3">D8/F8</f>
        <v>1</v>
      </c>
      <c r="AB8" s="50">
        <f t="shared" ref="AB8:AB40" si="4">D8/H8</f>
        <v>1</v>
      </c>
      <c r="AC8" s="50">
        <f t="shared" ref="AC8:AC40" si="5">D8/J8</f>
        <v>1</v>
      </c>
    </row>
    <row r="9" spans="1:29" s="102" customFormat="1">
      <c r="A9" s="358" t="s">
        <v>1682</v>
      </c>
      <c r="B9" s="60" t="s">
        <v>1683</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374" t="s">
        <v>1684</v>
      </c>
      <c r="Q9" s="529" t="str">
        <f t="shared" ref="Q9:Q15" si="6">B9</f>
        <v>用途</v>
      </c>
      <c r="R9" s="663" t="s">
        <v>14</v>
      </c>
      <c r="S9" s="664">
        <f t="shared" si="0"/>
        <v>100</v>
      </c>
      <c r="T9" s="663" t="s">
        <v>14</v>
      </c>
      <c r="U9" s="664">
        <f t="shared" si="1"/>
        <v>100</v>
      </c>
      <c r="V9" s="663" t="s">
        <v>14</v>
      </c>
      <c r="W9" s="664">
        <f t="shared" si="2"/>
        <v>100</v>
      </c>
      <c r="X9" s="665"/>
      <c r="Y9" s="3281" t="s">
        <v>1685</v>
      </c>
      <c r="Z9" s="50" t="str">
        <f t="shared" ref="Z9:Z15" si="7">Q9</f>
        <v>用途</v>
      </c>
      <c r="AA9" s="50">
        <f t="shared" si="3"/>
        <v>1</v>
      </c>
      <c r="AB9" s="50">
        <f t="shared" si="4"/>
        <v>1</v>
      </c>
      <c r="AC9" s="50">
        <f t="shared" si="5"/>
        <v>1</v>
      </c>
    </row>
    <row r="10" spans="1:29" s="365" customFormat="1" ht="27">
      <c r="A10" s="362"/>
      <c r="B10" s="363" t="s">
        <v>1686</v>
      </c>
      <c r="C10" s="3129"/>
      <c r="D10" s="119">
        <v>100</v>
      </c>
      <c r="E10" s="3129"/>
      <c r="F10" s="119">
        <f>SUMIF(59:59,E10,60:60)-SUMIF(59:59,C10,60:60)+100</f>
        <v>100</v>
      </c>
      <c r="G10" s="3130"/>
      <c r="H10" s="119">
        <f>SUMIF(59:59,G10,60:60)-SUMIF(59:59,C10,60:60)+100</f>
        <v>100</v>
      </c>
      <c r="I10" s="3129"/>
      <c r="J10" s="119">
        <f>SUMIF(59:59,I10,60:60)-SUMIF(59:59,C10,60:60)+100</f>
        <v>100</v>
      </c>
      <c r="K10" s="38"/>
      <c r="L10" s="864"/>
      <c r="M10" s="865"/>
      <c r="N10" s="865"/>
      <c r="O10" s="866"/>
      <c r="P10" s="3374"/>
      <c r="Q10" s="529" t="str">
        <f t="shared" si="6"/>
        <v>土地使用年限（年）</v>
      </c>
      <c r="R10" s="663" t="s">
        <v>14</v>
      </c>
      <c r="S10" s="664">
        <f t="shared" si="0"/>
        <v>100</v>
      </c>
      <c r="T10" s="663" t="s">
        <v>14</v>
      </c>
      <c r="U10" s="664">
        <f t="shared" si="1"/>
        <v>100</v>
      </c>
      <c r="V10" s="663" t="s">
        <v>14</v>
      </c>
      <c r="W10" s="664">
        <f t="shared" si="2"/>
        <v>100</v>
      </c>
      <c r="X10" s="665"/>
      <c r="Y10" s="3281"/>
      <c r="Z10" s="50" t="str">
        <f t="shared" si="7"/>
        <v>土地使用年限（年）</v>
      </c>
      <c r="AA10" s="50">
        <f t="shared" si="3"/>
        <v>1</v>
      </c>
      <c r="AB10" s="50">
        <f t="shared" si="4"/>
        <v>1</v>
      </c>
      <c r="AC10" s="50">
        <f t="shared" si="5"/>
        <v>1</v>
      </c>
    </row>
    <row r="11" spans="1:29" ht="15">
      <c r="A11" s="366"/>
      <c r="B11" s="363" t="s">
        <v>1687</v>
      </c>
      <c r="C11" s="367"/>
      <c r="D11" s="119">
        <v>100</v>
      </c>
      <c r="E11" s="367"/>
      <c r="F11" s="119">
        <f>LOOKUP(E11,62:62,63:63)-LOOKUP(C11,62:62,63:63)+100</f>
        <v>100</v>
      </c>
      <c r="G11" s="368"/>
      <c r="H11" s="119">
        <f>LOOKUP(G11,62:62,63:63)-LOOKUP(C11,62:62,63:63)+100</f>
        <v>100</v>
      </c>
      <c r="I11" s="367"/>
      <c r="J11" s="119">
        <f>LOOKUP(I11,62:62,63:63)-LOOKUP(C11,62:62,63:63)+100</f>
        <v>100</v>
      </c>
      <c r="K11" s="537"/>
      <c r="L11" s="867"/>
      <c r="M11" s="860"/>
      <c r="N11" s="860"/>
      <c r="O11" s="868"/>
      <c r="P11" s="3374"/>
      <c r="Q11" s="529" t="str">
        <f t="shared" si="6"/>
        <v>容积率</v>
      </c>
      <c r="R11" s="663" t="s">
        <v>14</v>
      </c>
      <c r="S11" s="664">
        <f t="shared" si="0"/>
        <v>100</v>
      </c>
      <c r="T11" s="663" t="s">
        <v>14</v>
      </c>
      <c r="U11" s="664">
        <f t="shared" si="1"/>
        <v>100</v>
      </c>
      <c r="V11" s="663" t="s">
        <v>14</v>
      </c>
      <c r="W11" s="664">
        <f t="shared" si="2"/>
        <v>100</v>
      </c>
      <c r="X11" s="665"/>
      <c r="Y11" s="3281"/>
      <c r="Z11" s="50" t="str">
        <f t="shared" si="7"/>
        <v>容积率</v>
      </c>
      <c r="AA11" s="50">
        <f t="shared" si="3"/>
        <v>1</v>
      </c>
      <c r="AB11" s="50">
        <f t="shared" si="4"/>
        <v>1</v>
      </c>
      <c r="AC11" s="50">
        <f t="shared" si="5"/>
        <v>1</v>
      </c>
    </row>
    <row r="12" spans="1:29" s="102" customFormat="1" ht="15">
      <c r="A12" s="369"/>
      <c r="B12" s="446">
        <v>111</v>
      </c>
      <c r="C12" s="370"/>
      <c r="D12" s="371">
        <v>100</v>
      </c>
      <c r="E12" s="372"/>
      <c r="F12" s="119">
        <f>SUMIF(64:64,E12,65:65)-SUMIF(64:64,C12,65:65)+100</f>
        <v>100</v>
      </c>
      <c r="G12" s="1817"/>
      <c r="H12" s="119">
        <f>SUMIF(64:64,G12,65:65)-SUMIF(64:64,C12,65:65)+100</f>
        <v>100</v>
      </c>
      <c r="I12" s="406"/>
      <c r="J12" s="119">
        <f>SUMIF(64:64,I12,65:65)-SUMIF(64:64,C12,65:65)+100</f>
        <v>100</v>
      </c>
      <c r="K12" s="538"/>
      <c r="L12" s="861"/>
      <c r="M12" s="862"/>
      <c r="N12" s="862"/>
      <c r="O12" s="863"/>
      <c r="P12" s="3374"/>
      <c r="Q12" s="529">
        <f t="shared" si="6"/>
        <v>111</v>
      </c>
      <c r="R12" s="663" t="s">
        <v>14</v>
      </c>
      <c r="S12" s="664">
        <f t="shared" si="0"/>
        <v>100</v>
      </c>
      <c r="T12" s="663" t="s">
        <v>14</v>
      </c>
      <c r="U12" s="664">
        <f t="shared" si="1"/>
        <v>100</v>
      </c>
      <c r="V12" s="663" t="s">
        <v>14</v>
      </c>
      <c r="W12" s="664">
        <f t="shared" si="2"/>
        <v>100</v>
      </c>
      <c r="X12" s="665"/>
      <c r="Y12" s="3281"/>
      <c r="Z12" s="50">
        <f t="shared" si="7"/>
        <v>111</v>
      </c>
      <c r="AA12" s="50">
        <f>D12/F12</f>
        <v>1</v>
      </c>
      <c r="AB12" s="50">
        <f>D12/H12</f>
        <v>1</v>
      </c>
      <c r="AC12" s="50">
        <f>D12/J12</f>
        <v>1</v>
      </c>
    </row>
    <row r="13" spans="1:29" ht="15">
      <c r="A13" s="366"/>
      <c r="B13" s="446">
        <v>111</v>
      </c>
      <c r="C13" s="372"/>
      <c r="D13" s="373">
        <v>100</v>
      </c>
      <c r="E13" s="372"/>
      <c r="F13" s="119">
        <f>SUMIF(66:66,E13,67:67)-SUMIF(66:66,C13,67:67)+100</f>
        <v>100</v>
      </c>
      <c r="G13" s="1817"/>
      <c r="H13" s="373">
        <f>SUMIF(66:66,G13,67:67)-SUMIF(66:66,C13,67:67)+100</f>
        <v>100</v>
      </c>
      <c r="I13" s="406"/>
      <c r="J13" s="373">
        <f>SUMIF(66:66,I13,67:67)-SUMIF(66:66,C13,67:67)+100</f>
        <v>100</v>
      </c>
      <c r="K13" s="538"/>
      <c r="L13" s="869"/>
      <c r="M13" s="860"/>
      <c r="N13" s="860"/>
      <c r="O13" s="868"/>
      <c r="P13" s="3374"/>
      <c r="Q13" s="529">
        <f t="shared" si="6"/>
        <v>111</v>
      </c>
      <c r="R13" s="663" t="s">
        <v>14</v>
      </c>
      <c r="S13" s="664">
        <f t="shared" si="0"/>
        <v>100</v>
      </c>
      <c r="T13" s="663" t="s">
        <v>14</v>
      </c>
      <c r="U13" s="664">
        <f t="shared" si="1"/>
        <v>100</v>
      </c>
      <c r="V13" s="663" t="s">
        <v>14</v>
      </c>
      <c r="W13" s="664">
        <f t="shared" si="2"/>
        <v>100</v>
      </c>
      <c r="X13" s="665"/>
      <c r="Y13" s="3281"/>
      <c r="Z13" s="50">
        <f t="shared" si="7"/>
        <v>111</v>
      </c>
      <c r="AA13" s="50">
        <f t="shared" si="3"/>
        <v>1</v>
      </c>
      <c r="AB13" s="50">
        <f t="shared" si="4"/>
        <v>1</v>
      </c>
      <c r="AC13" s="50">
        <f t="shared" si="5"/>
        <v>1</v>
      </c>
    </row>
    <row r="14" spans="1:29" ht="15.75"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374"/>
      <c r="Q14" s="529">
        <f t="shared" si="6"/>
        <v>111</v>
      </c>
      <c r="R14" s="663" t="s">
        <v>14</v>
      </c>
      <c r="S14" s="664">
        <f t="shared" si="0"/>
        <v>100</v>
      </c>
      <c r="T14" s="663" t="s">
        <v>14</v>
      </c>
      <c r="U14" s="664">
        <f t="shared" si="1"/>
        <v>100</v>
      </c>
      <c r="V14" s="663" t="s">
        <v>14</v>
      </c>
      <c r="W14" s="664">
        <f t="shared" si="2"/>
        <v>100</v>
      </c>
      <c r="X14" s="665"/>
      <c r="Y14" s="3281"/>
      <c r="Z14" s="50">
        <f t="shared" si="7"/>
        <v>111</v>
      </c>
      <c r="AA14" s="50">
        <f t="shared" si="3"/>
        <v>1</v>
      </c>
      <c r="AB14" s="50">
        <f t="shared" si="4"/>
        <v>1</v>
      </c>
      <c r="AC14" s="50">
        <f t="shared" si="5"/>
        <v>1</v>
      </c>
    </row>
    <row r="15" spans="1:29" ht="15">
      <c r="A15" s="378" t="s">
        <v>1688</v>
      </c>
      <c r="B15" s="58" t="s">
        <v>1825</v>
      </c>
      <c r="C15" s="1818">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381" t="s">
        <v>1689</v>
      </c>
      <c r="Q15" s="1262" t="str">
        <f t="shared" si="6"/>
        <v>产业集聚程度</v>
      </c>
      <c r="R15" s="666" t="s">
        <v>14</v>
      </c>
      <c r="S15" s="667">
        <f t="shared" si="0"/>
        <v>100</v>
      </c>
      <c r="T15" s="666" t="s">
        <v>14</v>
      </c>
      <c r="U15" s="667">
        <f t="shared" si="1"/>
        <v>100</v>
      </c>
      <c r="V15" s="666" t="s">
        <v>14</v>
      </c>
      <c r="W15" s="667">
        <f t="shared" si="2"/>
        <v>100</v>
      </c>
      <c r="X15" s="1264"/>
      <c r="Y15" s="3381" t="s">
        <v>1689</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382"/>
      <c r="Q16" s="1262"/>
      <c r="R16" s="666"/>
      <c r="S16" s="667"/>
      <c r="T16" s="666"/>
      <c r="U16" s="667"/>
      <c r="V16" s="666"/>
      <c r="W16" s="667"/>
      <c r="X16" s="1264"/>
      <c r="Y16" s="3382"/>
      <c r="Z16" s="1263"/>
      <c r="AA16" s="1263">
        <v>1</v>
      </c>
      <c r="AB16" s="1263">
        <v>1</v>
      </c>
      <c r="AC16" s="1263">
        <v>1</v>
      </c>
    </row>
    <row r="17" spans="1:29" ht="15">
      <c r="A17" s="366"/>
      <c r="B17" s="389" t="s">
        <v>1259</v>
      </c>
      <c r="C17" s="1753">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382"/>
      <c r="Q17" s="1262" t="str">
        <f>B17</f>
        <v>交通便捷度</v>
      </c>
      <c r="R17" s="666" t="s">
        <v>14</v>
      </c>
      <c r="S17" s="667">
        <f>F17</f>
        <v>100</v>
      </c>
      <c r="T17" s="666" t="s">
        <v>14</v>
      </c>
      <c r="U17" s="667">
        <f>H17</f>
        <v>100</v>
      </c>
      <c r="V17" s="666" t="s">
        <v>14</v>
      </c>
      <c r="W17" s="667">
        <f>J17</f>
        <v>100</v>
      </c>
      <c r="X17" s="1264"/>
      <c r="Y17" s="3382"/>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382"/>
      <c r="Q18" s="1262"/>
      <c r="R18" s="666"/>
      <c r="S18" s="667"/>
      <c r="T18" s="666"/>
      <c r="U18" s="667"/>
      <c r="V18" s="666"/>
      <c r="W18" s="667"/>
      <c r="X18" s="1264"/>
      <c r="Y18" s="3382"/>
      <c r="Z18" s="1263"/>
      <c r="AA18" s="1263">
        <v>1</v>
      </c>
      <c r="AB18" s="1263">
        <v>1</v>
      </c>
      <c r="AC18" s="1263">
        <v>1</v>
      </c>
    </row>
    <row r="19" spans="1:29" ht="15">
      <c r="A19" s="366"/>
      <c r="B19" s="389" t="s">
        <v>1810</v>
      </c>
      <c r="C19" s="1753">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382"/>
      <c r="Q19" s="1262" t="str">
        <f>B19</f>
        <v>公共配套设施</v>
      </c>
      <c r="R19" s="666" t="s">
        <v>14</v>
      </c>
      <c r="S19" s="667">
        <f>F19</f>
        <v>100</v>
      </c>
      <c r="T19" s="666" t="s">
        <v>14</v>
      </c>
      <c r="U19" s="667">
        <f>H19</f>
        <v>100</v>
      </c>
      <c r="V19" s="666" t="s">
        <v>14</v>
      </c>
      <c r="W19" s="667">
        <f>J19</f>
        <v>100</v>
      </c>
      <c r="X19" s="1264"/>
      <c r="Y19" s="3382"/>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382"/>
      <c r="Q20" s="1262"/>
      <c r="R20" s="666"/>
      <c r="S20" s="667"/>
      <c r="T20" s="666"/>
      <c r="U20" s="667"/>
      <c r="V20" s="666"/>
      <c r="W20" s="667"/>
      <c r="X20" s="1264"/>
      <c r="Y20" s="3382"/>
      <c r="Z20" s="1263"/>
      <c r="AA20" s="1263">
        <v>1</v>
      </c>
      <c r="AB20" s="1263">
        <v>1</v>
      </c>
      <c r="AC20" s="1263">
        <v>1</v>
      </c>
    </row>
    <row r="21" spans="1:29" ht="15">
      <c r="A21" s="366"/>
      <c r="B21" s="585" t="s">
        <v>1811</v>
      </c>
      <c r="C21" s="1753">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382"/>
      <c r="Q21" s="1262" t="str">
        <f>B21</f>
        <v>基础设施水平</v>
      </c>
      <c r="R21" s="666" t="s">
        <v>14</v>
      </c>
      <c r="S21" s="667">
        <f>F21</f>
        <v>100</v>
      </c>
      <c r="T21" s="666" t="s">
        <v>14</v>
      </c>
      <c r="U21" s="667">
        <f>H21</f>
        <v>100</v>
      </c>
      <c r="V21" s="666" t="s">
        <v>14</v>
      </c>
      <c r="W21" s="667">
        <f>J21</f>
        <v>100</v>
      </c>
      <c r="X21" s="1264"/>
      <c r="Y21" s="3382"/>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382"/>
      <c r="Q22" s="1262"/>
      <c r="R22" s="666"/>
      <c r="S22" s="667"/>
      <c r="T22" s="666"/>
      <c r="U22" s="667"/>
      <c r="V22" s="666"/>
      <c r="W22" s="667"/>
      <c r="X22" s="1264"/>
      <c r="Y22" s="3382"/>
      <c r="Z22" s="1263"/>
      <c r="AA22" s="1263">
        <v>1</v>
      </c>
      <c r="AB22" s="1263">
        <v>1</v>
      </c>
      <c r="AC22" s="1263">
        <v>1</v>
      </c>
    </row>
    <row r="23" spans="1:29" ht="15">
      <c r="A23" s="366"/>
      <c r="B23" s="389" t="s">
        <v>1812</v>
      </c>
      <c r="C23" s="1753">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382"/>
      <c r="Q23" s="1262" t="str">
        <f>B23</f>
        <v>环境质量</v>
      </c>
      <c r="R23" s="666" t="s">
        <v>14</v>
      </c>
      <c r="S23" s="667">
        <f>F23</f>
        <v>100</v>
      </c>
      <c r="T23" s="666" t="s">
        <v>14</v>
      </c>
      <c r="U23" s="667">
        <f>H23</f>
        <v>100</v>
      </c>
      <c r="V23" s="666" t="s">
        <v>14</v>
      </c>
      <c r="W23" s="667">
        <f>J23</f>
        <v>100</v>
      </c>
      <c r="X23" s="1264"/>
      <c r="Y23" s="3382"/>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382"/>
      <c r="Q24" s="1262"/>
      <c r="R24" s="666"/>
      <c r="S24" s="667"/>
      <c r="T24" s="666"/>
      <c r="U24" s="667"/>
      <c r="V24" s="666"/>
      <c r="W24" s="667"/>
      <c r="X24" s="1264"/>
      <c r="Y24" s="3382"/>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382"/>
      <c r="Q25" s="1262">
        <f>B25</f>
        <v>111</v>
      </c>
      <c r="R25" s="666" t="s">
        <v>14</v>
      </c>
      <c r="S25" s="667">
        <f>F25</f>
        <v>100</v>
      </c>
      <c r="T25" s="666" t="s">
        <v>14</v>
      </c>
      <c r="U25" s="667">
        <f>H25</f>
        <v>100</v>
      </c>
      <c r="V25" s="666" t="s">
        <v>14</v>
      </c>
      <c r="W25" s="667">
        <f>J25</f>
        <v>100</v>
      </c>
      <c r="X25" s="1264"/>
      <c r="Y25" s="3382"/>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382"/>
      <c r="Q26" s="1262">
        <f t="shared" ref="Q26:Q40" si="11">B26</f>
        <v>111</v>
      </c>
      <c r="R26" s="666" t="s">
        <v>14</v>
      </c>
      <c r="S26" s="667">
        <f>F26</f>
        <v>100</v>
      </c>
      <c r="T26" s="666" t="s">
        <v>14</v>
      </c>
      <c r="U26" s="667">
        <f>H26</f>
        <v>100</v>
      </c>
      <c r="V26" s="666" t="s">
        <v>14</v>
      </c>
      <c r="W26" s="667">
        <f>J26</f>
        <v>100</v>
      </c>
      <c r="X26" s="1264"/>
      <c r="Y26" s="3382"/>
      <c r="Z26" s="1263">
        <f>Q26</f>
        <v>111</v>
      </c>
      <c r="AA26" s="1263">
        <f t="shared" si="3"/>
        <v>1</v>
      </c>
      <c r="AB26" s="1263">
        <f t="shared" si="4"/>
        <v>1</v>
      </c>
      <c r="AC26" s="1263">
        <f t="shared" si="5"/>
        <v>1</v>
      </c>
    </row>
    <row r="27" spans="1:29" s="102"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382"/>
      <c r="Q27" s="529">
        <f t="shared" si="11"/>
        <v>111</v>
      </c>
      <c r="R27" s="663" t="s">
        <v>14</v>
      </c>
      <c r="S27" s="664">
        <f>F27</f>
        <v>100</v>
      </c>
      <c r="T27" s="663" t="s">
        <v>14</v>
      </c>
      <c r="U27" s="664">
        <f>H27</f>
        <v>100</v>
      </c>
      <c r="V27" s="663" t="s">
        <v>14</v>
      </c>
      <c r="W27" s="664">
        <f>J27</f>
        <v>100</v>
      </c>
      <c r="X27" s="665"/>
      <c r="Y27" s="3382"/>
      <c r="Z27" s="50">
        <f>Q27</f>
        <v>111</v>
      </c>
      <c r="AA27" s="1263">
        <f>D27/F27</f>
        <v>1</v>
      </c>
      <c r="AB27" s="1263">
        <f>D27/H27</f>
        <v>1</v>
      </c>
      <c r="AC27" s="1263">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382"/>
      <c r="Q28" s="1262">
        <f t="shared" si="11"/>
        <v>111</v>
      </c>
      <c r="R28" s="666" t="s">
        <v>14</v>
      </c>
      <c r="S28" s="667">
        <f t="shared" ref="S28:S40" si="12">F28</f>
        <v>100</v>
      </c>
      <c r="T28" s="666" t="s">
        <v>14</v>
      </c>
      <c r="U28" s="667">
        <f t="shared" ref="U28:U40" si="13">H28</f>
        <v>100</v>
      </c>
      <c r="V28" s="666" t="s">
        <v>14</v>
      </c>
      <c r="W28" s="667">
        <f t="shared" ref="W28:W40" si="14">J28</f>
        <v>100</v>
      </c>
      <c r="X28" s="1264"/>
      <c r="Y28" s="3382"/>
      <c r="Z28" s="1263">
        <f t="shared" ref="Z28:Z40" si="15">Q28</f>
        <v>111</v>
      </c>
      <c r="AA28" s="1263">
        <f t="shared" si="3"/>
        <v>1</v>
      </c>
      <c r="AB28" s="1263">
        <f t="shared" si="4"/>
        <v>1</v>
      </c>
      <c r="AC28" s="1263">
        <f t="shared" si="5"/>
        <v>1</v>
      </c>
    </row>
    <row r="29" spans="1:29" ht="28.5">
      <c r="A29" s="403" t="s">
        <v>1692</v>
      </c>
      <c r="B29" s="60" t="s">
        <v>1815</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84" t="s">
        <v>1694</v>
      </c>
      <c r="Q29" s="1262" t="str">
        <f t="shared" si="11"/>
        <v>建筑类型</v>
      </c>
      <c r="R29" s="666" t="s">
        <v>14</v>
      </c>
      <c r="S29" s="667">
        <f t="shared" si="12"/>
        <v>100</v>
      </c>
      <c r="T29" s="666" t="s">
        <v>14</v>
      </c>
      <c r="U29" s="667">
        <f t="shared" si="13"/>
        <v>100</v>
      </c>
      <c r="V29" s="666" t="s">
        <v>14</v>
      </c>
      <c r="W29" s="667">
        <f t="shared" si="14"/>
        <v>100</v>
      </c>
      <c r="X29" s="1264"/>
      <c r="Y29" s="3386" t="s">
        <v>1694</v>
      </c>
      <c r="Z29" s="1263" t="str">
        <f t="shared" si="15"/>
        <v>建筑类型</v>
      </c>
      <c r="AA29" s="1263">
        <f t="shared" si="3"/>
        <v>1</v>
      </c>
      <c r="AB29" s="1263">
        <f t="shared" si="4"/>
        <v>1</v>
      </c>
      <c r="AC29" s="1263">
        <f t="shared" si="5"/>
        <v>1</v>
      </c>
    </row>
    <row r="30" spans="1:29" s="407" customFormat="1" ht="15">
      <c r="A30" s="405"/>
      <c r="B30" s="363" t="s">
        <v>1695</v>
      </c>
      <c r="C30" s="406"/>
      <c r="D30" s="119">
        <v>100</v>
      </c>
      <c r="E30" s="368"/>
      <c r="F30" s="363" t="e">
        <f>LOOKUP(E30,91:91,92:92)-LOOKUP(C30,91:91,92:92)+100</f>
        <v>#N/A</v>
      </c>
      <c r="G30" s="367"/>
      <c r="H30" s="119" t="e">
        <f>LOOKUP(G30,91:91,92:92)-LOOKUP(C30,91:91,92:92)+100</f>
        <v>#N/A</v>
      </c>
      <c r="I30" s="367"/>
      <c r="J30" s="119" t="e">
        <f>LOOKUP(I30,91:91,92:92)-LOOKUP(C30,91:91,92:92)+100</f>
        <v>#N/A</v>
      </c>
      <c r="K30" s="538"/>
      <c r="L30" s="867"/>
      <c r="M30" s="870"/>
      <c r="N30" s="870"/>
      <c r="O30" s="871"/>
      <c r="P30" s="3386"/>
      <c r="Q30" s="530" t="str">
        <f t="shared" si="11"/>
        <v>项目建筑规模</v>
      </c>
      <c r="R30" s="668" t="s">
        <v>14</v>
      </c>
      <c r="S30" s="669" t="e">
        <f t="shared" si="12"/>
        <v>#N/A</v>
      </c>
      <c r="T30" s="668" t="s">
        <v>14</v>
      </c>
      <c r="U30" s="669" t="e">
        <f t="shared" si="13"/>
        <v>#N/A</v>
      </c>
      <c r="V30" s="668" t="s">
        <v>14</v>
      </c>
      <c r="W30" s="669" t="e">
        <f t="shared" si="14"/>
        <v>#N/A</v>
      </c>
      <c r="X30" s="670"/>
      <c r="Y30" s="3386"/>
      <c r="Z30" s="671" t="str">
        <f t="shared" si="15"/>
        <v>项目建筑规模</v>
      </c>
      <c r="AA30" s="1263" t="e">
        <f t="shared" si="3"/>
        <v>#N/A</v>
      </c>
      <c r="AB30" s="1263" t="e">
        <f t="shared" si="4"/>
        <v>#N/A</v>
      </c>
      <c r="AC30" s="1263" t="e">
        <f t="shared" si="5"/>
        <v>#N/A</v>
      </c>
    </row>
    <row r="31" spans="1:29" ht="15">
      <c r="A31" s="408"/>
      <c r="B31" s="363" t="s">
        <v>1696</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386"/>
      <c r="Q31" s="1262" t="str">
        <f t="shared" si="11"/>
        <v>建筑结构</v>
      </c>
      <c r="R31" s="666" t="s">
        <v>14</v>
      </c>
      <c r="S31" s="667">
        <f t="shared" si="12"/>
        <v>100</v>
      </c>
      <c r="T31" s="666" t="s">
        <v>14</v>
      </c>
      <c r="U31" s="667">
        <f t="shared" si="13"/>
        <v>100</v>
      </c>
      <c r="V31" s="666" t="s">
        <v>14</v>
      </c>
      <c r="W31" s="667">
        <f t="shared" si="14"/>
        <v>100</v>
      </c>
      <c r="X31" s="1264"/>
      <c r="Y31" s="3386"/>
      <c r="Z31" s="1263" t="str">
        <f t="shared" si="15"/>
        <v>建筑结构</v>
      </c>
      <c r="AA31" s="1263">
        <f t="shared" si="3"/>
        <v>1</v>
      </c>
      <c r="AB31" s="1263">
        <f t="shared" si="4"/>
        <v>1</v>
      </c>
      <c r="AC31" s="1263">
        <f t="shared" si="5"/>
        <v>1</v>
      </c>
    </row>
    <row r="32" spans="1:29" ht="15">
      <c r="A32" s="408"/>
      <c r="B32" s="363" t="s">
        <v>1783</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386"/>
      <c r="Q32" s="1262" t="str">
        <f t="shared" si="11"/>
        <v>公共部分装修</v>
      </c>
      <c r="R32" s="666" t="s">
        <v>14</v>
      </c>
      <c r="S32" s="667">
        <f t="shared" si="12"/>
        <v>100</v>
      </c>
      <c r="T32" s="666" t="s">
        <v>14</v>
      </c>
      <c r="U32" s="667">
        <f t="shared" si="13"/>
        <v>100</v>
      </c>
      <c r="V32" s="666" t="s">
        <v>14</v>
      </c>
      <c r="W32" s="667">
        <f t="shared" si="14"/>
        <v>100</v>
      </c>
      <c r="X32" s="1264"/>
      <c r="Y32" s="3386"/>
      <c r="Z32" s="1263" t="str">
        <f t="shared" si="15"/>
        <v>公共部分装修</v>
      </c>
      <c r="AA32" s="1263">
        <f t="shared" si="3"/>
        <v>1</v>
      </c>
      <c r="AB32" s="1263">
        <f t="shared" si="4"/>
        <v>1</v>
      </c>
      <c r="AC32" s="1263">
        <f t="shared" si="5"/>
        <v>1</v>
      </c>
    </row>
    <row r="33" spans="1:29" ht="15">
      <c r="A33" s="408"/>
      <c r="B33" s="363" t="s">
        <v>1784</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386"/>
      <c r="Q33" s="1262" t="str">
        <f t="shared" si="11"/>
        <v>成新度</v>
      </c>
      <c r="R33" s="666" t="s">
        <v>14</v>
      </c>
      <c r="S33" s="667" t="e">
        <f t="shared" si="12"/>
        <v>#N/A</v>
      </c>
      <c r="T33" s="666" t="s">
        <v>14</v>
      </c>
      <c r="U33" s="667" t="e">
        <f t="shared" si="13"/>
        <v>#N/A</v>
      </c>
      <c r="V33" s="666" t="s">
        <v>14</v>
      </c>
      <c r="W33" s="667" t="e">
        <f t="shared" si="14"/>
        <v>#N/A</v>
      </c>
      <c r="X33" s="1264"/>
      <c r="Y33" s="3386"/>
      <c r="Z33" s="1263" t="str">
        <f t="shared" si="15"/>
        <v>成新度</v>
      </c>
      <c r="AA33" s="1263" t="e">
        <f t="shared" si="3"/>
        <v>#N/A</v>
      </c>
      <c r="AB33" s="1263" t="e">
        <f t="shared" si="4"/>
        <v>#N/A</v>
      </c>
      <c r="AC33" s="1263" t="e">
        <f t="shared" si="5"/>
        <v>#N/A</v>
      </c>
    </row>
    <row r="34" spans="1:29" s="102" customFormat="1" ht="15">
      <c r="A34" s="409"/>
      <c r="B34" s="363" t="s">
        <v>1817</v>
      </c>
      <c r="C34" s="398"/>
      <c r="D34" s="119">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386"/>
      <c r="Q34" s="529" t="str">
        <f t="shared" si="11"/>
        <v>物业管理</v>
      </c>
      <c r="R34" s="663" t="s">
        <v>14</v>
      </c>
      <c r="S34" s="664">
        <f t="shared" si="12"/>
        <v>100</v>
      </c>
      <c r="T34" s="663" t="s">
        <v>14</v>
      </c>
      <c r="U34" s="664">
        <f t="shared" si="13"/>
        <v>100</v>
      </c>
      <c r="V34" s="663" t="s">
        <v>14</v>
      </c>
      <c r="W34" s="664">
        <f t="shared" si="14"/>
        <v>100</v>
      </c>
      <c r="X34" s="665"/>
      <c r="Y34" s="3386"/>
      <c r="Z34" s="50" t="str">
        <f t="shared" si="15"/>
        <v>物业管理</v>
      </c>
      <c r="AA34" s="50">
        <f t="shared" si="3"/>
        <v>1</v>
      </c>
      <c r="AB34" s="50">
        <f t="shared" si="4"/>
        <v>1</v>
      </c>
      <c r="AC34" s="50">
        <f t="shared" si="5"/>
        <v>1</v>
      </c>
    </row>
    <row r="35" spans="1:29" ht="15">
      <c r="A35" s="408"/>
      <c r="B35" s="363" t="s">
        <v>1785</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386" t="s">
        <v>1694</v>
      </c>
      <c r="Q35" s="1262" t="str">
        <f t="shared" si="11"/>
        <v>市政基础设施</v>
      </c>
      <c r="R35" s="666" t="s">
        <v>14</v>
      </c>
      <c r="S35" s="667">
        <f t="shared" si="12"/>
        <v>100</v>
      </c>
      <c r="T35" s="666" t="s">
        <v>14</v>
      </c>
      <c r="U35" s="667">
        <f t="shared" si="13"/>
        <v>100</v>
      </c>
      <c r="V35" s="666" t="s">
        <v>14</v>
      </c>
      <c r="W35" s="667">
        <f t="shared" si="14"/>
        <v>100</v>
      </c>
      <c r="X35" s="1264"/>
      <c r="Y35" s="3386" t="s">
        <v>1694</v>
      </c>
      <c r="Z35" s="1263" t="str">
        <f t="shared" si="15"/>
        <v>市政基础设施</v>
      </c>
      <c r="AA35" s="1263">
        <f t="shared" si="3"/>
        <v>1</v>
      </c>
      <c r="AB35" s="1263">
        <f t="shared" si="4"/>
        <v>1</v>
      </c>
      <c r="AC35" s="1263">
        <f t="shared" si="5"/>
        <v>1</v>
      </c>
    </row>
    <row r="36" spans="1:29" ht="15">
      <c r="A36" s="408"/>
      <c r="B36" s="363" t="s">
        <v>1790</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386"/>
      <c r="Q36" s="1262" t="str">
        <f t="shared" si="11"/>
        <v>内部装修</v>
      </c>
      <c r="R36" s="666" t="s">
        <v>14</v>
      </c>
      <c r="S36" s="667">
        <f t="shared" si="12"/>
        <v>100</v>
      </c>
      <c r="T36" s="666" t="s">
        <v>14</v>
      </c>
      <c r="U36" s="667">
        <f t="shared" si="13"/>
        <v>100</v>
      </c>
      <c r="V36" s="666" t="s">
        <v>14</v>
      </c>
      <c r="W36" s="667">
        <f t="shared" si="14"/>
        <v>100</v>
      </c>
      <c r="X36" s="1264"/>
      <c r="Y36" s="3386"/>
      <c r="Z36" s="1263" t="str">
        <f t="shared" si="15"/>
        <v>内部装修</v>
      </c>
      <c r="AA36" s="1263">
        <f t="shared" si="3"/>
        <v>1</v>
      </c>
      <c r="AB36" s="1263">
        <f t="shared" si="4"/>
        <v>1</v>
      </c>
      <c r="AC36" s="1263">
        <f t="shared" si="5"/>
        <v>1</v>
      </c>
    </row>
    <row r="37" spans="1:29" ht="15">
      <c r="A37" s="408"/>
      <c r="B37" s="363" t="s">
        <v>1826</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386"/>
      <c r="Q37" s="1262" t="str">
        <f t="shared" si="11"/>
        <v>内部装修状况</v>
      </c>
      <c r="R37" s="666" t="s">
        <v>14</v>
      </c>
      <c r="S37" s="667">
        <f t="shared" si="12"/>
        <v>100</v>
      </c>
      <c r="T37" s="666" t="s">
        <v>14</v>
      </c>
      <c r="U37" s="667">
        <f t="shared" si="13"/>
        <v>100</v>
      </c>
      <c r="V37" s="666" t="s">
        <v>14</v>
      </c>
      <c r="W37" s="667">
        <f t="shared" si="14"/>
        <v>100</v>
      </c>
      <c r="X37" s="1264"/>
      <c r="Y37" s="3386"/>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386"/>
      <c r="Q38" s="530">
        <f t="shared" si="11"/>
        <v>111</v>
      </c>
      <c r="R38" s="668" t="s">
        <v>14</v>
      </c>
      <c r="S38" s="669">
        <f t="shared" si="12"/>
        <v>100</v>
      </c>
      <c r="T38" s="668" t="s">
        <v>14</v>
      </c>
      <c r="U38" s="669">
        <f t="shared" si="13"/>
        <v>100</v>
      </c>
      <c r="V38" s="668" t="s">
        <v>14</v>
      </c>
      <c r="W38" s="669">
        <f t="shared" si="14"/>
        <v>100</v>
      </c>
      <c r="X38" s="670"/>
      <c r="Y38" s="3386"/>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386"/>
      <c r="Q39" s="1262">
        <f t="shared" si="11"/>
        <v>111</v>
      </c>
      <c r="R39" s="666" t="s">
        <v>14</v>
      </c>
      <c r="S39" s="667">
        <f t="shared" si="12"/>
        <v>100</v>
      </c>
      <c r="T39" s="666" t="s">
        <v>14</v>
      </c>
      <c r="U39" s="667">
        <f t="shared" si="13"/>
        <v>100</v>
      </c>
      <c r="V39" s="666" t="s">
        <v>14</v>
      </c>
      <c r="W39" s="667">
        <f t="shared" si="14"/>
        <v>100</v>
      </c>
      <c r="X39" s="1264"/>
      <c r="Y39" s="3386"/>
      <c r="Z39" s="1263">
        <f t="shared" si="15"/>
        <v>111</v>
      </c>
      <c r="AA39" s="1263">
        <f t="shared" si="3"/>
        <v>1</v>
      </c>
      <c r="AB39" s="1263">
        <f t="shared" si="4"/>
        <v>1</v>
      </c>
      <c r="AC39" s="1263">
        <f t="shared" si="5"/>
        <v>1</v>
      </c>
    </row>
    <row r="40" spans="1:29" ht="15.75"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387"/>
      <c r="Q40" s="1262">
        <f t="shared" si="11"/>
        <v>111</v>
      </c>
      <c r="R40" s="666" t="s">
        <v>14</v>
      </c>
      <c r="S40" s="667">
        <f t="shared" si="12"/>
        <v>100</v>
      </c>
      <c r="T40" s="666" t="s">
        <v>14</v>
      </c>
      <c r="U40" s="667">
        <f t="shared" si="13"/>
        <v>100</v>
      </c>
      <c r="V40" s="666" t="s">
        <v>14</v>
      </c>
      <c r="W40" s="667">
        <f t="shared" si="14"/>
        <v>100</v>
      </c>
      <c r="X40" s="1264"/>
      <c r="Y40" s="3387"/>
      <c r="Z40" s="1263">
        <f t="shared" si="15"/>
        <v>111</v>
      </c>
      <c r="AA40" s="1263">
        <f t="shared" si="3"/>
        <v>1</v>
      </c>
      <c r="AB40" s="1263">
        <f t="shared" si="4"/>
        <v>1</v>
      </c>
      <c r="AC40" s="1263">
        <f t="shared" si="5"/>
        <v>1</v>
      </c>
    </row>
    <row r="41" spans="1:29" ht="15">
      <c r="A41" s="415" t="s">
        <v>1706</v>
      </c>
      <c r="B41" s="416"/>
      <c r="C41" s="1080" t="s">
        <v>0</v>
      </c>
      <c r="D41" s="417"/>
      <c r="E41" s="418"/>
      <c r="F41" s="419"/>
      <c r="G41" s="420"/>
      <c r="H41" s="421"/>
      <c r="I41" s="418"/>
      <c r="J41" s="421"/>
      <c r="K41" s="673"/>
      <c r="L41" s="872"/>
      <c r="M41" s="860"/>
      <c r="N41" s="860"/>
      <c r="O41" s="860"/>
      <c r="P41" s="3374" t="str">
        <f>A41</f>
        <v>成交单价（元/平方米）</v>
      </c>
      <c r="Q41" s="3374"/>
      <c r="R41" s="3375">
        <f>E41</f>
        <v>0</v>
      </c>
      <c r="S41" s="3375"/>
      <c r="T41" s="3375">
        <f>G41</f>
        <v>0</v>
      </c>
      <c r="U41" s="3375"/>
      <c r="V41" s="3375">
        <f>I41</f>
        <v>0</v>
      </c>
      <c r="W41" s="3375"/>
      <c r="X41" s="384"/>
      <c r="Y41" s="672"/>
      <c r="Z41" s="384"/>
      <c r="AA41" s="384"/>
      <c r="AB41" s="384"/>
      <c r="AC41" s="384"/>
    </row>
    <row r="42" spans="1:29" ht="15.75" thickBot="1">
      <c r="A42" s="422" t="s">
        <v>1791</v>
      </c>
      <c r="B42" s="423"/>
      <c r="C42" s="1081" t="e">
        <f>R43</f>
        <v>#DIV/0!</v>
      </c>
      <c r="D42" s="2139" t="s">
        <v>2134</v>
      </c>
      <c r="E42" s="1082" t="e">
        <f>R42</f>
        <v>#DIV/0!</v>
      </c>
      <c r="F42" s="2140"/>
      <c r="G42" s="1081" t="e">
        <f>T42</f>
        <v>#DIV/0!</v>
      </c>
      <c r="H42" s="2140"/>
      <c r="I42" s="1082" t="e">
        <f>V42</f>
        <v>#DIV/0!</v>
      </c>
      <c r="J42" s="2140"/>
      <c r="K42" s="2142">
        <f>F42+H42+J42</f>
        <v>0</v>
      </c>
      <c r="L42" s="872"/>
      <c r="M42" s="860"/>
      <c r="N42" s="860"/>
      <c r="O42" s="860"/>
      <c r="P42" s="3374" t="str">
        <f>A42</f>
        <v>比较价值（元/平方米）</v>
      </c>
      <c r="Q42" s="3374"/>
      <c r="R42" s="3375" t="e">
        <f>IF(F1="售价",ROUND(PRODUCT(R41,AA7:AA40),0),ROUND(PRODUCT(R41,AA7:AA40),1))</f>
        <v>#DIV/0!</v>
      </c>
      <c r="S42" s="3375"/>
      <c r="T42" s="3375" t="e">
        <f>IF(F1="售价",ROUND(PRODUCT(T41,AB7:AB40),0),ROUND(PRODUCT(T41,AB7:AB40),1))</f>
        <v>#DIV/0!</v>
      </c>
      <c r="U42" s="3375"/>
      <c r="V42" s="3375" t="e">
        <f>IF(F1="售价",ROUND(PRODUCT(V41,AC7:AC40),0),ROUND(PRODUCT(V41,AC7:AC40),1))</f>
        <v>#DIV/0!</v>
      </c>
      <c r="W42" s="3375"/>
      <c r="X42" s="384"/>
      <c r="Y42" s="384"/>
      <c r="Z42" s="384"/>
      <c r="AA42" s="384"/>
      <c r="AB42" s="384"/>
      <c r="AC42" s="384"/>
    </row>
    <row r="43" spans="1:29" ht="15.75" thickBot="1">
      <c r="A43" s="426" t="s">
        <v>1792</v>
      </c>
      <c r="B43" s="427"/>
      <c r="C43" s="350" t="e">
        <f>R43</f>
        <v>#DIV/0!</v>
      </c>
      <c r="D43" s="350"/>
      <c r="E43" s="350"/>
      <c r="F43" s="350"/>
      <c r="G43" s="350"/>
      <c r="H43" s="350"/>
      <c r="I43" s="350"/>
      <c r="J43" s="350"/>
      <c r="K43" s="674"/>
      <c r="L43" s="872"/>
      <c r="M43" s="860"/>
      <c r="N43" s="860"/>
      <c r="O43" s="860"/>
      <c r="P43" s="3376" t="str">
        <f>A43</f>
        <v>估价对象XX用房的比较价值（楼面单价，元/平方米）</v>
      </c>
      <c r="Q43" s="3377"/>
      <c r="R43" s="3378" t="e">
        <f>IF(F1="售价",ROUND(IF(D42="简单平均",AVERAGE(R42:V42),R42*F42+T42*H42+V42*J42),0),ROUND(IF(D42="简单平均",AVERAGE(R42:V42),R42*F42+T42*H42+V42*J42),1))</f>
        <v>#DIV/0!</v>
      </c>
      <c r="S43" s="3378"/>
      <c r="T43" s="3378"/>
      <c r="U43" s="3378"/>
      <c r="V43" s="3378"/>
      <c r="W43" s="3378"/>
      <c r="X43" s="384"/>
      <c r="Y43" s="384"/>
      <c r="Z43" s="384"/>
      <c r="AA43" s="384"/>
      <c r="AB43" s="384"/>
      <c r="AC43" s="384"/>
    </row>
    <row r="44" spans="1:29">
      <c r="A44" s="2484"/>
      <c r="B44" s="2484"/>
      <c r="C44" s="2484"/>
      <c r="D44" s="2484"/>
      <c r="E44" s="2484"/>
      <c r="F44" s="2484"/>
      <c r="G44" s="2495"/>
      <c r="H44" s="2484"/>
      <c r="I44" s="2484"/>
      <c r="J44" s="2484"/>
      <c r="K44" s="2496"/>
      <c r="L44" s="835"/>
      <c r="M44" s="860"/>
      <c r="N44" s="860"/>
      <c r="O44" s="860"/>
    </row>
    <row r="45" spans="1:29">
      <c r="A45" s="2484"/>
      <c r="B45" s="2484"/>
      <c r="C45" s="2484"/>
      <c r="D45" s="2484"/>
      <c r="E45" s="2484"/>
      <c r="F45" s="2484"/>
      <c r="G45" s="2484"/>
      <c r="H45" s="2484"/>
      <c r="I45" s="2484"/>
      <c r="J45" s="2484"/>
      <c r="K45" s="2496"/>
      <c r="L45" s="835"/>
      <c r="M45" s="860"/>
      <c r="N45" s="860"/>
      <c r="O45" s="860"/>
    </row>
    <row r="46" spans="1:29" ht="13.5" customHeight="1">
      <c r="A46" s="2484"/>
      <c r="B46" s="2484"/>
      <c r="C46" s="431" t="s">
        <v>1793</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6"/>
      <c r="L46" s="835"/>
      <c r="M46" s="860"/>
      <c r="N46" s="860"/>
      <c r="O46" s="860"/>
    </row>
    <row r="47" spans="1:29" ht="13.5" customHeight="1">
      <c r="A47" s="2484"/>
      <c r="B47" s="2484"/>
      <c r="C47" s="431" t="s">
        <v>1794</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6"/>
      <c r="L47" s="835"/>
      <c r="M47" s="860"/>
      <c r="N47" s="860"/>
      <c r="O47" s="860"/>
    </row>
    <row r="48" spans="1:29" s="436" customFormat="1" ht="13.5" customHeight="1">
      <c r="A48" s="2494"/>
      <c r="B48" s="2494"/>
      <c r="C48" s="431" t="s">
        <v>1795</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9"/>
      <c r="L48" s="875"/>
      <c r="M48" s="873"/>
      <c r="N48" s="873"/>
      <c r="O48" s="873"/>
    </row>
    <row r="49" spans="1:17" s="436" customFormat="1">
      <c r="A49" s="2494"/>
      <c r="B49" s="2497"/>
      <c r="C49" s="2498"/>
      <c r="D49" s="2494"/>
      <c r="E49" s="2494"/>
      <c r="F49" s="2494"/>
      <c r="G49" s="2494"/>
      <c r="H49" s="2494"/>
      <c r="I49" s="2494"/>
      <c r="J49" s="2494"/>
      <c r="K49" s="2499"/>
      <c r="L49" s="875"/>
      <c r="M49" s="873"/>
      <c r="N49" s="873"/>
      <c r="O49" s="873"/>
    </row>
    <row r="50" spans="1:17">
      <c r="A50" s="2484"/>
      <c r="B50" s="2497"/>
      <c r="C50" s="2498"/>
      <c r="D50" s="2484"/>
      <c r="E50" s="2484"/>
      <c r="F50" s="2484"/>
      <c r="G50" s="2484"/>
      <c r="H50" s="2484"/>
      <c r="I50" s="2484"/>
      <c r="J50" s="2484"/>
      <c r="K50" s="2496"/>
      <c r="L50" s="835"/>
      <c r="M50" s="860"/>
      <c r="N50" s="860"/>
      <c r="O50" s="860"/>
    </row>
    <row r="51" spans="1:17" ht="21.75" thickBot="1">
      <c r="A51" s="657" t="s">
        <v>1796</v>
      </c>
      <c r="B51" s="384"/>
      <c r="C51" s="658"/>
      <c r="D51" s="658"/>
      <c r="E51" s="658"/>
      <c r="F51" s="659"/>
      <c r="G51" s="659"/>
      <c r="H51" s="658"/>
      <c r="I51" s="658"/>
      <c r="J51" s="658"/>
      <c r="K51" s="886"/>
      <c r="L51" s="887"/>
      <c r="M51" s="885"/>
      <c r="N51" s="885"/>
      <c r="O51" s="885"/>
      <c r="P51" s="437"/>
      <c r="Q51" s="438"/>
    </row>
    <row r="52" spans="1:17" s="441" customFormat="1" ht="15">
      <c r="A52" s="439" t="s">
        <v>1677</v>
      </c>
      <c r="B52" s="440"/>
      <c r="C52" s="1102" t="str">
        <f>YEAR(C7)&amp;"-"&amp;MONTH(C7)</f>
        <v>2023-4</v>
      </c>
      <c r="D52" s="1103">
        <f>EDATE(C52,-1)</f>
        <v>44986</v>
      </c>
      <c r="E52" s="1103">
        <f t="shared" ref="E52:O52" si="16">EDATE(D52,-1)</f>
        <v>44958</v>
      </c>
      <c r="F52" s="1103">
        <f t="shared" si="16"/>
        <v>44927</v>
      </c>
      <c r="G52" s="1103">
        <f t="shared" si="16"/>
        <v>44896</v>
      </c>
      <c r="H52" s="1103">
        <f t="shared" si="16"/>
        <v>44866</v>
      </c>
      <c r="I52" s="1103">
        <f t="shared" si="16"/>
        <v>44835</v>
      </c>
      <c r="J52" s="1103">
        <f t="shared" si="16"/>
        <v>44805</v>
      </c>
      <c r="K52" s="1103">
        <f t="shared" si="16"/>
        <v>44774</v>
      </c>
      <c r="L52" s="1103">
        <f t="shared" si="16"/>
        <v>44743</v>
      </c>
      <c r="M52" s="1103">
        <f t="shared" si="16"/>
        <v>44713</v>
      </c>
      <c r="N52" s="1103">
        <f t="shared" si="16"/>
        <v>44682</v>
      </c>
      <c r="O52" s="1103">
        <f t="shared" si="16"/>
        <v>44652</v>
      </c>
    </row>
    <row r="53" spans="1:17" s="102" customFormat="1" ht="15">
      <c r="A53" s="442"/>
      <c r="B53" s="443"/>
      <c r="C53" s="1101">
        <v>100</v>
      </c>
      <c r="D53" s="445"/>
      <c r="E53" s="445"/>
      <c r="F53" s="445"/>
      <c r="G53" s="445"/>
      <c r="H53" s="445"/>
      <c r="I53" s="445"/>
      <c r="J53" s="445"/>
      <c r="K53" s="445"/>
      <c r="L53" s="445"/>
      <c r="M53" s="446"/>
      <c r="N53" s="445"/>
      <c r="O53" s="447"/>
      <c r="P53" s="438"/>
    </row>
    <row r="54" spans="1:17" s="102" customFormat="1" ht="15.75" thickBot="1">
      <c r="A54" s="448" t="s">
        <v>1714</v>
      </c>
      <c r="B54" s="449"/>
      <c r="C54" s="450"/>
      <c r="D54" s="451"/>
      <c r="E54" s="451"/>
      <c r="F54" s="451"/>
      <c r="G54" s="451"/>
      <c r="H54" s="451"/>
      <c r="I54" s="451"/>
      <c r="J54" s="451"/>
      <c r="K54" s="451"/>
      <c r="L54" s="451"/>
      <c r="M54" s="452"/>
      <c r="N54" s="2535"/>
      <c r="O54" s="2536"/>
      <c r="P54" s="438"/>
      <c r="Q54" s="438"/>
    </row>
    <row r="55" spans="1:17" s="102" customFormat="1" ht="15">
      <c r="A55" s="454" t="s">
        <v>1679</v>
      </c>
      <c r="B55" s="443"/>
      <c r="C55" s="455" t="s">
        <v>1774</v>
      </c>
      <c r="D55" s="31"/>
      <c r="E55" s="31"/>
      <c r="F55" s="31"/>
      <c r="G55" s="31"/>
      <c r="H55" s="31"/>
      <c r="I55" s="31"/>
      <c r="J55" s="31"/>
      <c r="K55" s="31"/>
      <c r="L55" s="456"/>
      <c r="M55" s="457"/>
      <c r="N55" s="877"/>
      <c r="O55" s="877"/>
      <c r="P55" s="458"/>
      <c r="Q55" s="438"/>
    </row>
    <row r="56" spans="1:17" s="102"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1717</v>
      </c>
      <c r="B57" s="459" t="s">
        <v>1683</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1686</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1687</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1688</v>
      </c>
      <c r="B70" s="459" t="s">
        <v>1827</v>
      </c>
      <c r="C70" s="503" t="s">
        <v>1719</v>
      </c>
      <c r="D70" s="503" t="s">
        <v>1720</v>
      </c>
      <c r="E70" s="503" t="s">
        <v>1721</v>
      </c>
      <c r="F70" s="503" t="s">
        <v>1722</v>
      </c>
      <c r="G70" s="503" t="s">
        <v>1723</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1724</v>
      </c>
      <c r="C72" s="508" t="s">
        <v>1719</v>
      </c>
      <c r="D72" s="508" t="s">
        <v>1720</v>
      </c>
      <c r="E72" s="508" t="s">
        <v>1721</v>
      </c>
      <c r="F72" s="508" t="s">
        <v>1722</v>
      </c>
      <c r="G72" s="508" t="s">
        <v>1723</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1725</v>
      </c>
      <c r="C74" s="508" t="s">
        <v>1719</v>
      </c>
      <c r="D74" s="508" t="s">
        <v>1720</v>
      </c>
      <c r="E74" s="508" t="s">
        <v>1721</v>
      </c>
      <c r="F74" s="508" t="s">
        <v>1722</v>
      </c>
      <c r="G74" s="508" t="s">
        <v>1723</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1811</v>
      </c>
      <c r="C76" s="580" t="s">
        <v>1797</v>
      </c>
      <c r="D76" s="580" t="s">
        <v>1798</v>
      </c>
      <c r="E76" s="580" t="s">
        <v>1799</v>
      </c>
      <c r="F76" s="580" t="s">
        <v>1800</v>
      </c>
      <c r="G76" s="580" t="s">
        <v>1801</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1820</v>
      </c>
      <c r="C78" s="508" t="s">
        <v>1719</v>
      </c>
      <c r="D78" s="508" t="s">
        <v>1720</v>
      </c>
      <c r="E78" s="508" t="s">
        <v>1721</v>
      </c>
      <c r="F78" s="508" t="s">
        <v>1722</v>
      </c>
      <c r="G78" s="508" t="s">
        <v>1723</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2" customFormat="1" ht="15.75" thickTop="1">
      <c r="A80" s="369"/>
      <c r="B80" s="468">
        <f>B25</f>
        <v>111</v>
      </c>
      <c r="C80" s="484"/>
      <c r="D80" s="484"/>
      <c r="E80" s="484"/>
      <c r="F80" s="484"/>
      <c r="G80" s="484"/>
      <c r="H80" s="484"/>
      <c r="I80" s="484"/>
      <c r="J80" s="484"/>
      <c r="K80" s="484"/>
      <c r="L80" s="509"/>
      <c r="M80" s="510"/>
      <c r="N80" s="877"/>
      <c r="O80" s="877"/>
      <c r="P80" s="40"/>
      <c r="Q80" s="438"/>
    </row>
    <row r="81" spans="1:17" s="102" customFormat="1" ht="15.75" thickBot="1">
      <c r="A81" s="369"/>
      <c r="B81" s="473"/>
      <c r="C81" s="490"/>
      <c r="D81" s="466"/>
      <c r="E81" s="466"/>
      <c r="F81" s="466"/>
      <c r="G81" s="466"/>
      <c r="H81" s="466"/>
      <c r="I81" s="466"/>
      <c r="J81" s="466"/>
      <c r="K81" s="466"/>
      <c r="L81" s="466"/>
      <c r="M81" s="467"/>
      <c r="N81" s="879"/>
      <c r="O81" s="879"/>
      <c r="P81" s="40"/>
      <c r="Q81" s="438"/>
    </row>
    <row r="82" spans="1:17" s="102" customFormat="1" ht="15.75" thickTop="1">
      <c r="A82" s="369"/>
      <c r="B82" s="468">
        <f>B26</f>
        <v>111</v>
      </c>
      <c r="C82" s="484"/>
      <c r="D82" s="484"/>
      <c r="E82" s="484"/>
      <c r="F82" s="484"/>
      <c r="G82" s="484"/>
      <c r="H82" s="484"/>
      <c r="I82" s="484"/>
      <c r="J82" s="484"/>
      <c r="K82" s="484"/>
      <c r="L82" s="509"/>
      <c r="M82" s="510"/>
      <c r="N82" s="877"/>
      <c r="O82" s="877"/>
      <c r="P82" s="40"/>
      <c r="Q82" s="438"/>
    </row>
    <row r="83" spans="1:17" s="102"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1692</v>
      </c>
      <c r="B88" s="459" t="s">
        <v>1734</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75" thickTop="1">
      <c r="A90" s="366"/>
      <c r="B90" s="468" t="s">
        <v>1735</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1736</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1738</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1739</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1740</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1742</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1828</v>
      </c>
      <c r="C106" s="508" t="s">
        <v>1719</v>
      </c>
      <c r="D106" s="508" t="s">
        <v>1720</v>
      </c>
      <c r="E106" s="508" t="s">
        <v>1721</v>
      </c>
      <c r="F106" s="508" t="s">
        <v>1722</v>
      </c>
      <c r="G106" s="508" t="s">
        <v>1723</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C20 G20 E20 I20" xr:uid="{00000000-0002-0000-2200-000001000000}">
      <formula1>公共配套设施</formula1>
    </dataValidation>
    <dataValidation type="list" allowBlank="1" showInputMessage="1" showErrorMessage="1" sqref="E18 G18 I18 C18" xr:uid="{00000000-0002-0000-2200-000002000000}">
      <formula1>交通便捷度</formula1>
    </dataValidation>
    <dataValidation type="list" allowBlank="1" showInputMessage="1" showErrorMessage="1" sqref="E24 G24 I24 C24" xr:uid="{00000000-0002-0000-2200-000003000000}">
      <formula1>环境</formula1>
    </dataValidation>
    <dataValidation type="list" allowBlank="1" showInputMessage="1" showErrorMessage="1" sqref="C8 E8 G8 I8" xr:uid="{00000000-0002-0000-2200-000004000000}">
      <formula1>工业交易情况</formula1>
    </dataValidation>
    <dataValidation type="list" allowBlank="1" showInputMessage="1" showErrorMessage="1" sqref="E9 G9 I9" xr:uid="{00000000-0002-0000-2200-000005000000}">
      <formula1>工业用途</formula1>
    </dataValidation>
    <dataValidation type="list" allowBlank="1" showInputMessage="1" showErrorMessage="1" sqref="C29 E29 G29 I29" xr:uid="{00000000-0002-0000-2200-000006000000}">
      <formula1>工业建筑类型</formula1>
    </dataValidation>
    <dataValidation type="list" allowBlank="1" showInputMessage="1" showErrorMessage="1" sqref="C31 E31 G31 I31" xr:uid="{00000000-0002-0000-2200-000007000000}">
      <formula1>工业建筑结构</formula1>
    </dataValidation>
    <dataValidation type="list" allowBlank="1" showInputMessage="1" showErrorMessage="1" sqref="C32 E32 G32 I32" xr:uid="{00000000-0002-0000-2200-000008000000}">
      <formula1>工业公共部分装修</formula1>
    </dataValidation>
    <dataValidation type="list" allowBlank="1" showInputMessage="1" showErrorMessage="1" sqref="C34 E34 G34 I34" xr:uid="{00000000-0002-0000-2200-000009000000}">
      <formula1>工业物业管理</formula1>
    </dataValidation>
    <dataValidation type="list" allowBlank="1" showInputMessage="1" showErrorMessage="1" sqref="C35 E35 G35 I35" xr:uid="{00000000-0002-0000-2200-00000A000000}">
      <formula1>工业基础设施水平</formula1>
    </dataValidation>
    <dataValidation type="list" allowBlank="1" showInputMessage="1" showErrorMessage="1" sqref="C36 E36 G36 I36" xr:uid="{00000000-0002-0000-2200-00000B000000}">
      <formula1>工业内部装修</formula1>
    </dataValidation>
    <dataValidation type="list" allowBlank="1" showInputMessage="1" showErrorMessage="1" sqref="C37 E37 G37 I37" xr:uid="{00000000-0002-0000-2200-00000C000000}">
      <formula1>内部装修维护情况</formula1>
    </dataValidation>
    <dataValidation type="list" allowBlank="1" showInputMessage="1" showErrorMessage="1" sqref="C16 E16 G16 I16" xr:uid="{00000000-0002-0000-2200-00000D000000}">
      <formula1>产业集聚程度</formula1>
    </dataValidation>
    <dataValidation type="list" allowBlank="1" showInputMessage="1" showErrorMessage="1" sqref="C22 E22 G22 I22" xr:uid="{00000000-0002-0000-2200-00000E000000}">
      <formula1>基础设施水平</formula1>
    </dataValidation>
    <dataValidation type="list" allowBlank="1" showInputMessage="1" showErrorMessage="1" sqref="F1" xr:uid="{00000000-0002-0000-2200-00000F000000}">
      <formula1>"售价,租金"</formula1>
    </dataValidation>
    <dataValidation type="list" allowBlank="1" showInputMessage="1" showErrorMessage="1" sqref="C2" xr:uid="{00000000-0002-0000-2200-000010000000}">
      <formula1>"需扣减承租人权益,——"</formula1>
    </dataValidation>
    <dataValidation type="list" allowBlank="1" showInputMessage="1" showErrorMessage="1" sqref="F2" xr:uid="{00000000-0002-0000-2200-000011000000}">
      <formula1>估价方法</formula1>
    </dataValidation>
    <dataValidation type="list" allowBlank="1" showInputMessage="1" showErrorMessage="1" sqref="D42" xr:uid="{00000000-0002-0000-2200-000012000000}">
      <formula1>"简单平均,加权平均"</formula1>
    </dataValidation>
    <dataValidation type="list" allowBlank="1" showInputMessage="1" showErrorMessage="1" sqref="E1" xr:uid="{00000000-0002-0000-22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rgb="FF92D050"/>
    <pageSetUpPr fitToPage="1"/>
  </sheetPr>
  <dimension ref="A1:AC103"/>
  <sheetViews>
    <sheetView view="pageBreakPreview" zoomScale="60" zoomScaleNormal="60" workbookViewId="0">
      <selection activeCell="H43" sqref="H43"/>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1829</v>
      </c>
      <c r="B1" s="1139" t="s">
        <v>3324</v>
      </c>
      <c r="C1" s="1140" t="s">
        <v>1660</v>
      </c>
      <c r="D1" s="1141"/>
      <c r="E1" s="3128"/>
      <c r="F1" s="1734"/>
      <c r="G1" s="1143" t="s">
        <v>1765</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1460</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1461</v>
      </c>
      <c r="F2" s="1738"/>
      <c r="G2" s="854"/>
      <c r="H2" s="854"/>
      <c r="I2" s="854"/>
      <c r="J2" s="854"/>
      <c r="K2" s="856"/>
      <c r="L2" s="2500"/>
      <c r="M2" s="2501"/>
      <c r="N2" s="2501"/>
      <c r="O2" s="2501"/>
      <c r="P2" s="1085"/>
      <c r="Q2" s="340"/>
      <c r="R2" s="340"/>
      <c r="S2" s="340"/>
      <c r="T2" s="340"/>
      <c r="U2" s="340"/>
      <c r="V2" s="340"/>
      <c r="W2" s="340"/>
      <c r="X2" s="340"/>
      <c r="Y2" s="340"/>
      <c r="Z2" s="340"/>
      <c r="AA2" s="340"/>
      <c r="AB2" s="340"/>
      <c r="AC2" s="662"/>
    </row>
    <row r="3" spans="1:29" s="341" customFormat="1" ht="28.5" customHeight="1" thickBot="1">
      <c r="A3" s="194" t="s">
        <v>1462</v>
      </c>
      <c r="B3" s="535" t="e">
        <f>IF(AND(C2="——",B37="元/平方米"),C39,ROUND(B2*10000/D3,0))</f>
        <v>#DIV/0!</v>
      </c>
      <c r="C3" s="343" t="s">
        <v>1766</v>
      </c>
      <c r="D3" s="342">
        <f>SUMIF('数据-汇总表'!$C19:$C33,D1,'数据-汇总表'!$E19:$E33)</f>
        <v>0</v>
      </c>
      <c r="E3" s="343" t="s">
        <v>1830</v>
      </c>
      <c r="F3" s="342">
        <f>SUMIF('数据-取费表'!A5:A15,D1,'数据-取费表'!AH5:AH15)</f>
        <v>0</v>
      </c>
      <c r="G3" s="854"/>
      <c r="H3" s="854"/>
      <c r="I3" s="854"/>
      <c r="J3" s="854"/>
      <c r="K3" s="856"/>
      <c r="L3" s="2500"/>
      <c r="M3" s="2501" t="e">
        <f ca="1">IF(C2="——",IF(B37="元/平方米",ROUND(C39*D3/10000,0),ROUND(F3*C39/10000,0)),IF(B37="元/平方米",ROUND(C39*D3/10000,0),ROUND(F3*C39/10000,0))-D2)</f>
        <v>#DIV/0!</v>
      </c>
      <c r="N3" s="2501"/>
      <c r="O3" s="2501"/>
      <c r="P3" s="1085"/>
      <c r="Q3" s="340"/>
      <c r="R3" s="340"/>
      <c r="S3" s="340"/>
      <c r="T3" s="340"/>
      <c r="U3" s="340"/>
      <c r="V3" s="340"/>
      <c r="W3" s="340"/>
      <c r="X3" s="340"/>
      <c r="Y3" s="340"/>
      <c r="Z3" s="340"/>
      <c r="AA3" s="340"/>
      <c r="AB3" s="675"/>
      <c r="AC3" s="662"/>
    </row>
    <row r="4" spans="1:29" ht="15">
      <c r="A4" s="344" t="s">
        <v>1767</v>
      </c>
      <c r="B4" s="345"/>
      <c r="C4" s="3392" t="s">
        <v>1768</v>
      </c>
      <c r="D4" s="3393"/>
      <c r="E4" s="3394" t="s">
        <v>1769</v>
      </c>
      <c r="F4" s="3395"/>
      <c r="G4" s="3392" t="s">
        <v>1770</v>
      </c>
      <c r="H4" s="3393"/>
      <c r="I4" s="3392" t="s">
        <v>1771</v>
      </c>
      <c r="J4" s="3393"/>
      <c r="K4" s="536" t="s">
        <v>1772</v>
      </c>
      <c r="L4" s="2483"/>
      <c r="M4" s="2484"/>
      <c r="N4" s="2484"/>
      <c r="O4" s="2484"/>
      <c r="P4" s="3396" t="s">
        <v>1773</v>
      </c>
      <c r="Q4" s="3397"/>
      <c r="R4" s="3402" t="s">
        <v>1769</v>
      </c>
      <c r="S4" s="3403"/>
      <c r="T4" s="3402" t="s">
        <v>1770</v>
      </c>
      <c r="U4" s="3403"/>
      <c r="V4" s="3375" t="s">
        <v>1771</v>
      </c>
      <c r="W4" s="3375"/>
      <c r="X4" s="1264"/>
      <c r="Y4" s="3402" t="s">
        <v>1773</v>
      </c>
      <c r="Z4" s="3403"/>
      <c r="AA4" s="3389" t="s">
        <v>1769</v>
      </c>
      <c r="AB4" s="3390" t="s">
        <v>1770</v>
      </c>
      <c r="AC4" s="3389" t="s">
        <v>1771</v>
      </c>
    </row>
    <row r="5" spans="1:29" ht="15">
      <c r="A5" s="347"/>
      <c r="B5" s="348"/>
      <c r="C5" s="3415" t="s">
        <v>1671</v>
      </c>
      <c r="D5" s="3411"/>
      <c r="E5" s="3468" t="s">
        <v>1672</v>
      </c>
      <c r="F5" s="3419"/>
      <c r="G5" s="3415" t="s">
        <v>1673</v>
      </c>
      <c r="H5" s="3411"/>
      <c r="I5" s="3415" t="s">
        <v>1674</v>
      </c>
      <c r="J5" s="3411"/>
      <c r="K5" s="536"/>
      <c r="L5" s="2483"/>
      <c r="M5" s="2484"/>
      <c r="N5" s="2484"/>
      <c r="O5" s="2484"/>
      <c r="P5" s="3398"/>
      <c r="Q5" s="3399"/>
      <c r="R5" s="3404"/>
      <c r="S5" s="3405"/>
      <c r="T5" s="3404"/>
      <c r="U5" s="3405"/>
      <c r="V5" s="3375"/>
      <c r="W5" s="3375"/>
      <c r="X5" s="1264"/>
      <c r="Y5" s="3404"/>
      <c r="Z5" s="3405"/>
      <c r="AA5" s="3390"/>
      <c r="AB5" s="3390"/>
      <c r="AC5" s="3390"/>
    </row>
    <row r="6" spans="1:29" ht="15.75" thickBot="1">
      <c r="A6" s="349"/>
      <c r="B6" s="350"/>
      <c r="C6" s="3408" t="s">
        <v>1675</v>
      </c>
      <c r="D6" s="3409"/>
      <c r="E6" s="3416" t="s">
        <v>1675</v>
      </c>
      <c r="F6" s="3417"/>
      <c r="G6" s="3408" t="s">
        <v>1675</v>
      </c>
      <c r="H6" s="3409"/>
      <c r="I6" s="3408" t="s">
        <v>1675</v>
      </c>
      <c r="J6" s="3409"/>
      <c r="K6" s="536" t="s">
        <v>1676</v>
      </c>
      <c r="L6" s="2483"/>
      <c r="M6" s="2484"/>
      <c r="N6" s="2484"/>
      <c r="O6" s="2484"/>
      <c r="P6" s="3400"/>
      <c r="Q6" s="3401"/>
      <c r="R6" s="3404"/>
      <c r="S6" s="3405"/>
      <c r="T6" s="3406"/>
      <c r="U6" s="3407"/>
      <c r="V6" s="3375"/>
      <c r="W6" s="3375"/>
      <c r="X6" s="1264"/>
      <c r="Y6" s="3406"/>
      <c r="Z6" s="3407"/>
      <c r="AA6" s="3391"/>
      <c r="AB6" s="3391"/>
      <c r="AC6" s="3391"/>
    </row>
    <row r="7" spans="1:29" s="102" customFormat="1" ht="15.75" thickBot="1">
      <c r="A7" s="351" t="s">
        <v>1677</v>
      </c>
      <c r="B7" s="352"/>
      <c r="C7" s="353">
        <f>'数据-取费表'!B2</f>
        <v>45022</v>
      </c>
      <c r="D7" s="354">
        <v>100</v>
      </c>
      <c r="E7" s="355"/>
      <c r="F7" s="356">
        <f>SUMIF(48:48,YEAR(E7)&amp;"-"&amp;MONTH(E7),49:49)</f>
        <v>0</v>
      </c>
      <c r="G7" s="355"/>
      <c r="H7" s="354">
        <f>SUMIF(48:48,YEAR(G7)&amp;"-"&amp;MONTH(G7),49:49)</f>
        <v>0</v>
      </c>
      <c r="I7" s="355"/>
      <c r="J7" s="354">
        <f>SUMIF(48:48,YEAR(I7)&amp;"-"&amp;MONTH(I7),49:49)</f>
        <v>0</v>
      </c>
      <c r="K7" s="38"/>
      <c r="L7" s="2485"/>
      <c r="M7" s="2436"/>
      <c r="N7" s="2436"/>
      <c r="O7" s="2436"/>
      <c r="P7" s="3412" t="s">
        <v>1678</v>
      </c>
      <c r="Q7" s="3414"/>
      <c r="R7" s="663" t="s">
        <v>14</v>
      </c>
      <c r="S7" s="664">
        <f t="shared" ref="S7:S14" si="0">F7</f>
        <v>0</v>
      </c>
      <c r="T7" s="663" t="s">
        <v>14</v>
      </c>
      <c r="U7" s="664">
        <f t="shared" ref="U7:U14" si="1">H7</f>
        <v>0</v>
      </c>
      <c r="V7" s="663" t="s">
        <v>14</v>
      </c>
      <c r="W7" s="664">
        <f t="shared" ref="W7:W14" si="2">J7</f>
        <v>0</v>
      </c>
      <c r="X7" s="665"/>
      <c r="Y7" s="3412" t="s">
        <v>1678</v>
      </c>
      <c r="Z7" s="3413"/>
      <c r="AA7" s="50" t="e">
        <f>D7/F7</f>
        <v>#DIV/0!</v>
      </c>
      <c r="AB7" s="50" t="e">
        <f>D7/H7</f>
        <v>#DIV/0!</v>
      </c>
      <c r="AC7" s="50" t="e">
        <f>D7/J7</f>
        <v>#DIV/0!</v>
      </c>
    </row>
    <row r="8" spans="1:29" s="102" customFormat="1" ht="15.75" thickBot="1">
      <c r="A8" s="351" t="s">
        <v>1679</v>
      </c>
      <c r="B8" s="352"/>
      <c r="C8" s="357"/>
      <c r="D8" s="354">
        <v>100</v>
      </c>
      <c r="E8" s="357"/>
      <c r="F8" s="356">
        <f>SUMIF(51:51,E8,52:52)-SUMIF(51:51,C8,52:52)+100</f>
        <v>100</v>
      </c>
      <c r="G8" s="357"/>
      <c r="H8" s="354">
        <f>SUMIF(51:51,G8,52:52)-SUMIF(51:51,C8,52:52)+100</f>
        <v>100</v>
      </c>
      <c r="I8" s="357"/>
      <c r="J8" s="354">
        <f>SUMIF(51:51,I8,52:52)-SUMIF(51:51,C8,52:52)+100</f>
        <v>100</v>
      </c>
      <c r="K8" s="38"/>
      <c r="L8" s="2485"/>
      <c r="M8" s="2436"/>
      <c r="N8" s="2436"/>
      <c r="O8" s="2436"/>
      <c r="P8" s="3412" t="s">
        <v>1681</v>
      </c>
      <c r="Q8" s="3413"/>
      <c r="R8" s="663" t="s">
        <v>14</v>
      </c>
      <c r="S8" s="664">
        <f t="shared" si="0"/>
        <v>100</v>
      </c>
      <c r="T8" s="663" t="s">
        <v>14</v>
      </c>
      <c r="U8" s="664">
        <f t="shared" si="1"/>
        <v>100</v>
      </c>
      <c r="V8" s="663" t="s">
        <v>14</v>
      </c>
      <c r="W8" s="664">
        <f t="shared" si="2"/>
        <v>100</v>
      </c>
      <c r="X8" s="665"/>
      <c r="Y8" s="3412" t="s">
        <v>1681</v>
      </c>
      <c r="Z8" s="3413"/>
      <c r="AA8" s="50">
        <f t="shared" ref="AA8:AA36" si="3">D8/F8</f>
        <v>1</v>
      </c>
      <c r="AB8" s="50">
        <f t="shared" ref="AB8:AB36" si="4">D8/H8</f>
        <v>1</v>
      </c>
      <c r="AC8" s="50">
        <f t="shared" ref="AC8:AC36" si="5">D8/J8</f>
        <v>1</v>
      </c>
    </row>
    <row r="9" spans="1:29" s="102" customFormat="1">
      <c r="A9" s="57" t="s">
        <v>1682</v>
      </c>
      <c r="B9" s="563" t="s">
        <v>1683</v>
      </c>
      <c r="C9" s="359"/>
      <c r="D9" s="59">
        <v>100</v>
      </c>
      <c r="E9" s="361"/>
      <c r="F9" s="59">
        <f>SUMIF(53:53,E9,54:54)-SUMIF(53:53,C9,54:54)+100</f>
        <v>100</v>
      </c>
      <c r="G9" s="360"/>
      <c r="H9" s="59">
        <f>SUMIF(53:53,G9,54:54)-SUMIF(53:53,C9,54:54)+100</f>
        <v>100</v>
      </c>
      <c r="I9" s="360"/>
      <c r="J9" s="59">
        <f>SUMIF(53:53,I9,54:54)-SUMIF(53:53,C9,54:54)+100</f>
        <v>100</v>
      </c>
      <c r="K9" s="38"/>
      <c r="L9" s="2485"/>
      <c r="M9" s="2436"/>
      <c r="N9" s="2436"/>
      <c r="O9" s="2436"/>
      <c r="P9" s="3374" t="s">
        <v>1684</v>
      </c>
      <c r="Q9" s="529" t="str">
        <f t="shared" ref="Q9:Q14" si="6">B9</f>
        <v>用途</v>
      </c>
      <c r="R9" s="663" t="s">
        <v>14</v>
      </c>
      <c r="S9" s="664">
        <f t="shared" si="0"/>
        <v>100</v>
      </c>
      <c r="T9" s="663" t="s">
        <v>14</v>
      </c>
      <c r="U9" s="664">
        <f t="shared" si="1"/>
        <v>100</v>
      </c>
      <c r="V9" s="663" t="s">
        <v>14</v>
      </c>
      <c r="W9" s="664">
        <f t="shared" si="2"/>
        <v>100</v>
      </c>
      <c r="X9" s="665"/>
      <c r="Y9" s="3281" t="s">
        <v>1685</v>
      </c>
      <c r="Z9" s="50" t="str">
        <f t="shared" ref="Z9:Z14" si="7">Q9</f>
        <v>用途</v>
      </c>
      <c r="AA9" s="50">
        <f t="shared" si="3"/>
        <v>1</v>
      </c>
      <c r="AB9" s="50">
        <f t="shared" si="4"/>
        <v>1</v>
      </c>
      <c r="AC9" s="50">
        <f t="shared" si="5"/>
        <v>1</v>
      </c>
    </row>
    <row r="10" spans="1:29" s="365" customFormat="1" ht="27">
      <c r="A10" s="564"/>
      <c r="B10" s="565" t="s">
        <v>1686</v>
      </c>
      <c r="C10" s="3129"/>
      <c r="D10" s="119">
        <v>100</v>
      </c>
      <c r="E10" s="3129"/>
      <c r="F10" s="119">
        <f>SUMIF(55:55,E10,56:56)-SUMIF(55:55,C10,56:56)+100</f>
        <v>100</v>
      </c>
      <c r="G10" s="3130"/>
      <c r="H10" s="119">
        <f>SUMIF(55:55,G10,56:56)-SUMIF(55:55,C10,56:56)+100</f>
        <v>100</v>
      </c>
      <c r="I10" s="3129"/>
      <c r="J10" s="119">
        <f>SUMIF(55:55,I10,56:56)-SUMIF(55:55,C10,56:56)+100</f>
        <v>100</v>
      </c>
      <c r="K10" s="38"/>
      <c r="L10" s="2486"/>
      <c r="M10" s="2487"/>
      <c r="N10" s="2487"/>
      <c r="O10" s="2487"/>
      <c r="P10" s="3374"/>
      <c r="Q10" s="529" t="str">
        <f t="shared" si="6"/>
        <v>土地使用年限（年）</v>
      </c>
      <c r="R10" s="663" t="s">
        <v>14</v>
      </c>
      <c r="S10" s="664">
        <f t="shared" si="0"/>
        <v>100</v>
      </c>
      <c r="T10" s="663" t="s">
        <v>14</v>
      </c>
      <c r="U10" s="664">
        <f t="shared" si="1"/>
        <v>100</v>
      </c>
      <c r="V10" s="663" t="s">
        <v>14</v>
      </c>
      <c r="W10" s="664">
        <f t="shared" si="2"/>
        <v>100</v>
      </c>
      <c r="X10" s="665"/>
      <c r="Y10" s="3281"/>
      <c r="Z10" s="50" t="str">
        <f t="shared" si="7"/>
        <v>土地使用年限（年）</v>
      </c>
      <c r="AA10" s="50">
        <f t="shared" si="3"/>
        <v>1</v>
      </c>
      <c r="AB10" s="50">
        <f t="shared" si="4"/>
        <v>1</v>
      </c>
      <c r="AC10" s="50">
        <f t="shared" si="5"/>
        <v>1</v>
      </c>
    </row>
    <row r="11" spans="1:29" ht="15">
      <c r="A11" s="566"/>
      <c r="B11" s="567">
        <v>111</v>
      </c>
      <c r="C11" s="370"/>
      <c r="D11" s="119">
        <v>100</v>
      </c>
      <c r="E11" s="370"/>
      <c r="F11" s="119">
        <f>SUMIF(57:57,E11,58:58)-SUMIF(57:57,C11,58:58)+100</f>
        <v>100</v>
      </c>
      <c r="G11" s="370"/>
      <c r="H11" s="119">
        <f>SUMIF(57:57,G11,58:58)-SUMIF(57:57,C11,58:58)+100</f>
        <v>100</v>
      </c>
      <c r="I11" s="370"/>
      <c r="J11" s="119">
        <f>SUMIF(57:57,I11,58:58)-SUMIF(57:57,C11,58:58)+100</f>
        <v>100</v>
      </c>
      <c r="K11" s="538"/>
      <c r="L11" s="2488"/>
      <c r="M11" s="2484"/>
      <c r="N11" s="2484"/>
      <c r="O11" s="2484"/>
      <c r="P11" s="3374"/>
      <c r="Q11" s="529">
        <f t="shared" si="6"/>
        <v>111</v>
      </c>
      <c r="R11" s="663" t="s">
        <v>14</v>
      </c>
      <c r="S11" s="664">
        <f t="shared" si="0"/>
        <v>100</v>
      </c>
      <c r="T11" s="663" t="s">
        <v>14</v>
      </c>
      <c r="U11" s="664">
        <f t="shared" si="1"/>
        <v>100</v>
      </c>
      <c r="V11" s="663" t="s">
        <v>14</v>
      </c>
      <c r="W11" s="664">
        <f t="shared" si="2"/>
        <v>100</v>
      </c>
      <c r="X11" s="665"/>
      <c r="Y11" s="3281"/>
      <c r="Z11" s="50">
        <f t="shared" si="7"/>
        <v>111</v>
      </c>
      <c r="AA11" s="50">
        <f t="shared" si="3"/>
        <v>1</v>
      </c>
      <c r="AB11" s="50">
        <f t="shared" si="4"/>
        <v>1</v>
      </c>
      <c r="AC11" s="50">
        <f t="shared" si="5"/>
        <v>1</v>
      </c>
    </row>
    <row r="12" spans="1:29" s="102" customFormat="1" ht="15">
      <c r="A12" s="568"/>
      <c r="B12" s="567">
        <v>111</v>
      </c>
      <c r="C12" s="370"/>
      <c r="D12" s="371">
        <v>100</v>
      </c>
      <c r="E12" s="370"/>
      <c r="F12" s="119">
        <f>SUMIF(59:59,E12,60:60)-SUMIF(59:59,C12,60:60)+100</f>
        <v>100</v>
      </c>
      <c r="G12" s="370"/>
      <c r="H12" s="119">
        <f>SUMIF(59:59,G12,60:60)-SUMIF(59:59,C12,60:60)+100</f>
        <v>100</v>
      </c>
      <c r="I12" s="370"/>
      <c r="J12" s="119">
        <f>SUMIF(59:59,I12,60:60)-SUMIF(59:59,C12,60:60)+100</f>
        <v>100</v>
      </c>
      <c r="K12" s="538"/>
      <c r="L12" s="2485"/>
      <c r="M12" s="2436"/>
      <c r="N12" s="2436"/>
      <c r="O12" s="2436"/>
      <c r="P12" s="3374"/>
      <c r="Q12" s="529">
        <f t="shared" si="6"/>
        <v>111</v>
      </c>
      <c r="R12" s="663" t="s">
        <v>14</v>
      </c>
      <c r="S12" s="664">
        <f t="shared" si="0"/>
        <v>100</v>
      </c>
      <c r="T12" s="663" t="s">
        <v>14</v>
      </c>
      <c r="U12" s="664">
        <f t="shared" si="1"/>
        <v>100</v>
      </c>
      <c r="V12" s="663" t="s">
        <v>14</v>
      </c>
      <c r="W12" s="664">
        <f t="shared" si="2"/>
        <v>100</v>
      </c>
      <c r="X12" s="665"/>
      <c r="Y12" s="3281"/>
      <c r="Z12" s="50">
        <f t="shared" si="7"/>
        <v>111</v>
      </c>
      <c r="AA12" s="50">
        <f>D12/F12</f>
        <v>1</v>
      </c>
      <c r="AB12" s="50">
        <f>D12/H12</f>
        <v>1</v>
      </c>
      <c r="AC12" s="50">
        <f>D12/J12</f>
        <v>1</v>
      </c>
    </row>
    <row r="13" spans="1:29" ht="15.75" thickBot="1">
      <c r="A13" s="569"/>
      <c r="B13" s="567">
        <v>111</v>
      </c>
      <c r="C13" s="372"/>
      <c r="D13" s="373">
        <v>100</v>
      </c>
      <c r="E13" s="370"/>
      <c r="F13" s="119">
        <f>SUMIF(61:61,E13,62:62)-SUMIF(61:61,C13,62:62)+100</f>
        <v>100</v>
      </c>
      <c r="G13" s="370"/>
      <c r="H13" s="373">
        <f>SUMIF(61:61,G13,62:62)-SUMIF(61:61,C13,62:62)+100</f>
        <v>100</v>
      </c>
      <c r="I13" s="370"/>
      <c r="J13" s="373">
        <f>SUMIF(61:61,I13,62:62)-SUMIF(61:61,C13,62:62)+100</f>
        <v>100</v>
      </c>
      <c r="K13" s="538"/>
      <c r="L13" s="2489"/>
      <c r="M13" s="2484"/>
      <c r="N13" s="2484"/>
      <c r="O13" s="2484"/>
      <c r="P13" s="3374"/>
      <c r="Q13" s="529">
        <f t="shared" si="6"/>
        <v>111</v>
      </c>
      <c r="R13" s="663" t="s">
        <v>14</v>
      </c>
      <c r="S13" s="664">
        <f t="shared" si="0"/>
        <v>100</v>
      </c>
      <c r="T13" s="663" t="s">
        <v>14</v>
      </c>
      <c r="U13" s="664">
        <f t="shared" si="1"/>
        <v>100</v>
      </c>
      <c r="V13" s="663" t="s">
        <v>14</v>
      </c>
      <c r="W13" s="664">
        <f t="shared" si="2"/>
        <v>100</v>
      </c>
      <c r="X13" s="665"/>
      <c r="Y13" s="3281"/>
      <c r="Z13" s="50">
        <f t="shared" si="7"/>
        <v>111</v>
      </c>
      <c r="AA13" s="50">
        <f t="shared" si="3"/>
        <v>1</v>
      </c>
      <c r="AB13" s="50">
        <f t="shared" si="4"/>
        <v>1</v>
      </c>
      <c r="AC13" s="50">
        <f t="shared" si="5"/>
        <v>1</v>
      </c>
    </row>
    <row r="14" spans="1:29" ht="15">
      <c r="A14" s="344" t="s">
        <v>1688</v>
      </c>
      <c r="B14" s="553" t="s">
        <v>1831</v>
      </c>
      <c r="C14" s="1818" t="str">
        <f>IF(B1="工业",估价对象房地状况!G4,估价对象房地状况!C6)</f>
        <v>较好</v>
      </c>
      <c r="D14" s="379">
        <v>100</v>
      </c>
      <c r="E14" s="380"/>
      <c r="F14" s="381">
        <f>SUMIF(63:63,E15,64:64)-SUMIF(63:63,C15,64:64)+100</f>
        <v>100</v>
      </c>
      <c r="G14" s="382"/>
      <c r="H14" s="379">
        <f>SUMIF(63:63,G15,64:64)-SUMIF(63:63,C15,64:64)+100</f>
        <v>100</v>
      </c>
      <c r="I14" s="380"/>
      <c r="J14" s="379">
        <f>SUMIF(63:63,I15,64:64)-SUMIF(63:63,C15,64:64)+100</f>
        <v>100</v>
      </c>
      <c r="K14" s="539"/>
      <c r="L14" s="2489"/>
      <c r="M14" s="2484"/>
      <c r="N14" s="2484"/>
      <c r="O14" s="2484"/>
      <c r="P14" s="3381" t="s">
        <v>1689</v>
      </c>
      <c r="Q14" s="1262" t="str">
        <f t="shared" si="6"/>
        <v>交通便捷度</v>
      </c>
      <c r="R14" s="666" t="s">
        <v>14</v>
      </c>
      <c r="S14" s="667">
        <f t="shared" si="0"/>
        <v>100</v>
      </c>
      <c r="T14" s="666" t="s">
        <v>14</v>
      </c>
      <c r="U14" s="667">
        <f t="shared" si="1"/>
        <v>100</v>
      </c>
      <c r="V14" s="666" t="s">
        <v>14</v>
      </c>
      <c r="W14" s="667">
        <f t="shared" si="2"/>
        <v>100</v>
      </c>
      <c r="X14" s="1264"/>
      <c r="Y14" s="3381" t="s">
        <v>1689</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89"/>
      <c r="M15" s="2484"/>
      <c r="N15" s="2484"/>
      <c r="O15" s="2484"/>
      <c r="P15" s="3382"/>
      <c r="Q15" s="1262"/>
      <c r="R15" s="666"/>
      <c r="S15" s="667"/>
      <c r="T15" s="666"/>
      <c r="U15" s="667"/>
      <c r="V15" s="666"/>
      <c r="W15" s="667"/>
      <c r="X15" s="1264"/>
      <c r="Y15" s="3382"/>
      <c r="Z15" s="1263"/>
      <c r="AA15" s="1263">
        <v>1</v>
      </c>
      <c r="AB15" s="1263">
        <v>1</v>
      </c>
      <c r="AC15" s="1263">
        <v>1</v>
      </c>
    </row>
    <row r="16" spans="1:29" ht="15">
      <c r="A16" s="347"/>
      <c r="B16" s="555" t="s">
        <v>1810</v>
      </c>
      <c r="C16" s="1753" t="str">
        <f>IF(B1="工业",估价对象房地状况!G5,估价对象房地状况!C7)</f>
        <v>好</v>
      </c>
      <c r="D16" s="393">
        <v>100</v>
      </c>
      <c r="E16" s="395"/>
      <c r="F16" s="396">
        <f>SUMIF(65:65,E17,66:66)-SUMIF(65:65,C17,66:66)+100</f>
        <v>100</v>
      </c>
      <c r="G16" s="397"/>
      <c r="H16" s="393">
        <f>SUMIF(65:65,G17,66:66)-SUMIF(65:65,C17,66:66)+100</f>
        <v>100</v>
      </c>
      <c r="I16" s="395"/>
      <c r="J16" s="393">
        <f>SUMIF(65:65,I17,66:66)-SUMIF(65:65,C17,66:66)+100</f>
        <v>100</v>
      </c>
      <c r="K16" s="539"/>
      <c r="L16" s="2489"/>
      <c r="M16" s="2484"/>
      <c r="N16" s="2484"/>
      <c r="O16" s="2484"/>
      <c r="P16" s="3382"/>
      <c r="Q16" s="1262" t="str">
        <f>B16</f>
        <v>公共配套设施</v>
      </c>
      <c r="R16" s="666" t="s">
        <v>14</v>
      </c>
      <c r="S16" s="667">
        <f>F16</f>
        <v>100</v>
      </c>
      <c r="T16" s="666" t="s">
        <v>14</v>
      </c>
      <c r="U16" s="667">
        <f>H16</f>
        <v>100</v>
      </c>
      <c r="V16" s="666" t="s">
        <v>14</v>
      </c>
      <c r="W16" s="667">
        <f>J16</f>
        <v>100</v>
      </c>
      <c r="X16" s="1264"/>
      <c r="Y16" s="3382"/>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89"/>
      <c r="M17" s="2484"/>
      <c r="N17" s="2484"/>
      <c r="O17" s="2484"/>
      <c r="P17" s="3382"/>
      <c r="Q17" s="1262"/>
      <c r="R17" s="666"/>
      <c r="S17" s="667"/>
      <c r="T17" s="666"/>
      <c r="U17" s="667"/>
      <c r="V17" s="666"/>
      <c r="W17" s="667"/>
      <c r="X17" s="1264"/>
      <c r="Y17" s="3382"/>
      <c r="Z17" s="1263"/>
      <c r="AA17" s="1263">
        <v>1</v>
      </c>
      <c r="AB17" s="1263">
        <v>1</v>
      </c>
      <c r="AC17" s="1263">
        <v>1</v>
      </c>
    </row>
    <row r="18" spans="1:29" ht="15">
      <c r="A18" s="347"/>
      <c r="B18" s="556" t="s">
        <v>1811</v>
      </c>
      <c r="C18" s="1753" t="str">
        <f>IF(B1="工业",估价对象房地状况!G6,估价对象房地状况!C8)</f>
        <v>七通</v>
      </c>
      <c r="D18" s="388">
        <v>100</v>
      </c>
      <c r="E18" s="390"/>
      <c r="F18" s="396">
        <f>SUMIF(67:67,E19,68:68)-SUMIF(67:67,C19,68:68)+100</f>
        <v>100</v>
      </c>
      <c r="G18" s="392"/>
      <c r="H18" s="393">
        <f>SUMIF(67:67,G19,68:68)-SUMIF(67:67,C19,68:68)+100</f>
        <v>100</v>
      </c>
      <c r="I18" s="390"/>
      <c r="J18" s="393">
        <f>SUMIF(67:67,I19,68:68)-SUMIF(67:67,C19,68:68)+100</f>
        <v>100</v>
      </c>
      <c r="K18" s="539"/>
      <c r="L18" s="2489"/>
      <c r="M18" s="2484"/>
      <c r="N18" s="2484"/>
      <c r="O18" s="2484"/>
      <c r="P18" s="3382"/>
      <c r="Q18" s="1262" t="str">
        <f>B18</f>
        <v>基础设施水平</v>
      </c>
      <c r="R18" s="666" t="s">
        <v>14</v>
      </c>
      <c r="S18" s="667">
        <f>F18</f>
        <v>100</v>
      </c>
      <c r="T18" s="666" t="s">
        <v>14</v>
      </c>
      <c r="U18" s="667">
        <f>H18</f>
        <v>100</v>
      </c>
      <c r="V18" s="666" t="s">
        <v>14</v>
      </c>
      <c r="W18" s="667">
        <f>J18</f>
        <v>100</v>
      </c>
      <c r="X18" s="1264"/>
      <c r="Y18" s="3382"/>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89"/>
      <c r="M19" s="2484"/>
      <c r="N19" s="2484"/>
      <c r="O19" s="2484"/>
      <c r="P19" s="3382"/>
      <c r="Q19" s="1262"/>
      <c r="R19" s="666"/>
      <c r="S19" s="667"/>
      <c r="T19" s="666"/>
      <c r="U19" s="667"/>
      <c r="V19" s="666"/>
      <c r="W19" s="667"/>
      <c r="X19" s="1264"/>
      <c r="Y19" s="3382"/>
      <c r="Z19" s="1263"/>
      <c r="AA19" s="1263">
        <v>1</v>
      </c>
      <c r="AB19" s="1263">
        <v>1</v>
      </c>
      <c r="AC19" s="1263">
        <v>1</v>
      </c>
    </row>
    <row r="20" spans="1:29" ht="15">
      <c r="A20" s="347"/>
      <c r="B20" s="555" t="s">
        <v>1832</v>
      </c>
      <c r="C20" s="1753" t="str">
        <f>IF(B1="工业",估价对象房地状况!G7,估价对象房地状况!C9)</f>
        <v>较好</v>
      </c>
      <c r="D20" s="393">
        <v>100</v>
      </c>
      <c r="E20" s="395"/>
      <c r="F20" s="396">
        <f>SUMIF(69:69,E21,70:70)-SUMIF(69:69,C21,70:70)+100</f>
        <v>100</v>
      </c>
      <c r="G20" s="397"/>
      <c r="H20" s="388">
        <f>SUMIF(69:69,G21,70:70)-SUMIF(69:69,C21,70:70)+100</f>
        <v>100</v>
      </c>
      <c r="I20" s="390"/>
      <c r="J20" s="388">
        <f>SUMIF(69:69,I21,70:70)-SUMIF(69:69,C21,70:70)+100</f>
        <v>100</v>
      </c>
      <c r="K20" s="539"/>
      <c r="L20" s="2489"/>
      <c r="M20" s="2484"/>
      <c r="N20" s="2484"/>
      <c r="O20" s="2484"/>
      <c r="P20" s="3382"/>
      <c r="Q20" s="1262" t="str">
        <f>B20</f>
        <v>自然及人文环境</v>
      </c>
      <c r="R20" s="666" t="s">
        <v>14</v>
      </c>
      <c r="S20" s="667">
        <f>F20</f>
        <v>100</v>
      </c>
      <c r="T20" s="666" t="s">
        <v>14</v>
      </c>
      <c r="U20" s="667">
        <f>H20</f>
        <v>100</v>
      </c>
      <c r="V20" s="666" t="s">
        <v>14</v>
      </c>
      <c r="W20" s="667">
        <f>J20</f>
        <v>100</v>
      </c>
      <c r="X20" s="1264"/>
      <c r="Y20" s="3382"/>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89"/>
      <c r="M21" s="2484"/>
      <c r="N21" s="2484"/>
      <c r="O21" s="2484"/>
      <c r="P21" s="3382"/>
      <c r="Q21" s="1262"/>
      <c r="R21" s="666"/>
      <c r="S21" s="667"/>
      <c r="T21" s="666"/>
      <c r="U21" s="667"/>
      <c r="V21" s="666"/>
      <c r="W21" s="667"/>
      <c r="X21" s="1264"/>
      <c r="Y21" s="3382"/>
      <c r="Z21" s="1263"/>
      <c r="AA21" s="1263">
        <v>1</v>
      </c>
      <c r="AB21" s="1263">
        <v>1</v>
      </c>
      <c r="AC21" s="1263">
        <v>1</v>
      </c>
    </row>
    <row r="22" spans="1:29" ht="15">
      <c r="A22" s="347"/>
      <c r="B22" s="555" t="s">
        <v>1833</v>
      </c>
      <c r="C22" s="541"/>
      <c r="D22" s="388">
        <v>100</v>
      </c>
      <c r="E22" s="541"/>
      <c r="F22" s="399">
        <f>SUMIF(71:71,E22,72:72)-SUMIF(71:71,C22,72:72)+100</f>
        <v>100</v>
      </c>
      <c r="G22" s="541"/>
      <c r="H22" s="373">
        <f>SUMIF(71:71,G22,72:72)-SUMIF(71:71,C22,72:72)+100</f>
        <v>100</v>
      </c>
      <c r="I22" s="541"/>
      <c r="J22" s="373">
        <f>SUMIF(71:71,I22,72:72)-SUMIF(71:71,C22,72:72)+100</f>
        <v>100</v>
      </c>
      <c r="K22" s="537"/>
      <c r="L22" s="2489"/>
      <c r="M22" s="2484"/>
      <c r="N22" s="2484"/>
      <c r="O22" s="2484"/>
      <c r="P22" s="3382"/>
      <c r="Q22" s="1262" t="str">
        <f>B22</f>
        <v>楼层</v>
      </c>
      <c r="R22" s="666" t="s">
        <v>14</v>
      </c>
      <c r="S22" s="667">
        <f>F22</f>
        <v>100</v>
      </c>
      <c r="T22" s="666" t="s">
        <v>14</v>
      </c>
      <c r="U22" s="667">
        <f>H22</f>
        <v>100</v>
      </c>
      <c r="V22" s="666" t="s">
        <v>14</v>
      </c>
      <c r="W22" s="667">
        <f>J22</f>
        <v>100</v>
      </c>
      <c r="X22" s="1264"/>
      <c r="Y22" s="3382"/>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9"/>
      <c r="M23" s="2484"/>
      <c r="N23" s="2484"/>
      <c r="O23" s="2484"/>
      <c r="P23" s="3382"/>
      <c r="Q23" s="1262">
        <f>B23</f>
        <v>111</v>
      </c>
      <c r="R23" s="666" t="s">
        <v>14</v>
      </c>
      <c r="S23" s="667">
        <f>F23</f>
        <v>100</v>
      </c>
      <c r="T23" s="666" t="s">
        <v>14</v>
      </c>
      <c r="U23" s="667">
        <f>H23</f>
        <v>100</v>
      </c>
      <c r="V23" s="666" t="s">
        <v>14</v>
      </c>
      <c r="W23" s="667">
        <f>J23</f>
        <v>100</v>
      </c>
      <c r="X23" s="1264"/>
      <c r="Y23" s="3382"/>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9"/>
      <c r="M24" s="2484"/>
      <c r="N24" s="2484"/>
      <c r="O24" s="2484"/>
      <c r="P24" s="3382"/>
      <c r="Q24" s="1262">
        <f t="shared" ref="Q24:Q36" si="11">B24</f>
        <v>111</v>
      </c>
      <c r="R24" s="666" t="s">
        <v>14</v>
      </c>
      <c r="S24" s="667">
        <f>F24</f>
        <v>100</v>
      </c>
      <c r="T24" s="666" t="s">
        <v>14</v>
      </c>
      <c r="U24" s="667">
        <f>H24</f>
        <v>100</v>
      </c>
      <c r="V24" s="666" t="s">
        <v>14</v>
      </c>
      <c r="W24" s="667">
        <f>J24</f>
        <v>100</v>
      </c>
      <c r="X24" s="1264"/>
      <c r="Y24" s="3382"/>
      <c r="Z24" s="1263">
        <f>Q24</f>
        <v>111</v>
      </c>
      <c r="AA24" s="1263">
        <f t="shared" si="3"/>
        <v>1</v>
      </c>
      <c r="AB24" s="1263">
        <f t="shared" si="4"/>
        <v>1</v>
      </c>
      <c r="AC24" s="1263">
        <f t="shared" si="5"/>
        <v>1</v>
      </c>
    </row>
    <row r="25" spans="1:29" s="102"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5"/>
      <c r="M25" s="2436"/>
      <c r="N25" s="2436"/>
      <c r="O25" s="2436"/>
      <c r="P25" s="3382"/>
      <c r="Q25" s="529">
        <f t="shared" si="11"/>
        <v>111</v>
      </c>
      <c r="R25" s="663" t="s">
        <v>14</v>
      </c>
      <c r="S25" s="664">
        <f>F25</f>
        <v>100</v>
      </c>
      <c r="T25" s="663" t="s">
        <v>14</v>
      </c>
      <c r="U25" s="664">
        <f>H25</f>
        <v>100</v>
      </c>
      <c r="V25" s="663" t="s">
        <v>14</v>
      </c>
      <c r="W25" s="664">
        <f>J25</f>
        <v>100</v>
      </c>
      <c r="X25" s="665"/>
      <c r="Y25" s="3382"/>
      <c r="Z25" s="50">
        <f>Q25</f>
        <v>111</v>
      </c>
      <c r="AA25" s="1263">
        <f>D25/F25</f>
        <v>1</v>
      </c>
      <c r="AB25" s="1263">
        <f>D25/H25</f>
        <v>1</v>
      </c>
      <c r="AC25" s="1263">
        <f>D25/J25</f>
        <v>1</v>
      </c>
    </row>
    <row r="26" spans="1:29" ht="28.5">
      <c r="A26" s="573" t="s">
        <v>1692</v>
      </c>
      <c r="B26" s="59" t="s">
        <v>1834</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89"/>
      <c r="M26" s="2484"/>
      <c r="N26" s="2484"/>
      <c r="O26" s="2484"/>
      <c r="P26" s="3484" t="s">
        <v>1694</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86" t="s">
        <v>1694</v>
      </c>
      <c r="Z26" s="1263" t="str">
        <f t="shared" ref="Z26:Z36" si="15">Q26</f>
        <v>配套类型</v>
      </c>
      <c r="AA26" s="1263" t="e">
        <f t="shared" si="3"/>
        <v>#DIV/0!</v>
      </c>
      <c r="AB26" s="1263" t="e">
        <f t="shared" si="4"/>
        <v>#DIV/0!</v>
      </c>
      <c r="AC26" s="1263" t="e">
        <f t="shared" si="5"/>
        <v>#DIV/0!</v>
      </c>
    </row>
    <row r="27" spans="1:29" s="407" customFormat="1" ht="15">
      <c r="A27" s="574"/>
      <c r="B27" s="119" t="s">
        <v>1835</v>
      </c>
      <c r="C27" s="575"/>
      <c r="D27" s="119">
        <v>100</v>
      </c>
      <c r="E27" s="575"/>
      <c r="F27" s="399">
        <f>SUMIF(81:81,E27,82:82)-SUMIF(81:81,C27,82:82)+100</f>
        <v>100</v>
      </c>
      <c r="G27" s="575"/>
      <c r="H27" s="373">
        <f>SUMIF(81:81,G27,82:82)-SUMIF(81:81,C27,82:82)+100</f>
        <v>100</v>
      </c>
      <c r="I27" s="575"/>
      <c r="J27" s="373">
        <f>SUMIF(81:81,I27,82:82)-SUMIF(81:81,C27,82:82)+100</f>
        <v>100</v>
      </c>
      <c r="K27" s="538"/>
      <c r="L27" s="2488"/>
      <c r="M27" s="2490"/>
      <c r="N27" s="2490"/>
      <c r="O27" s="2490"/>
      <c r="P27" s="3386"/>
      <c r="Q27" s="530" t="str">
        <f t="shared" si="11"/>
        <v>项目停车位配比</v>
      </c>
      <c r="R27" s="668" t="s">
        <v>14</v>
      </c>
      <c r="S27" s="669">
        <f t="shared" si="12"/>
        <v>100</v>
      </c>
      <c r="T27" s="668" t="s">
        <v>14</v>
      </c>
      <c r="U27" s="669">
        <f t="shared" si="13"/>
        <v>100</v>
      </c>
      <c r="V27" s="668" t="s">
        <v>14</v>
      </c>
      <c r="W27" s="669">
        <f t="shared" si="14"/>
        <v>100</v>
      </c>
      <c r="X27" s="670"/>
      <c r="Y27" s="3386"/>
      <c r="Z27" s="671" t="str">
        <f t="shared" si="15"/>
        <v>项目停车位配比</v>
      </c>
      <c r="AA27" s="1263">
        <f t="shared" si="3"/>
        <v>1</v>
      </c>
      <c r="AB27" s="1263">
        <f t="shared" si="4"/>
        <v>1</v>
      </c>
      <c r="AC27" s="1263">
        <f t="shared" si="5"/>
        <v>1</v>
      </c>
    </row>
    <row r="28" spans="1:29" ht="15">
      <c r="A28" s="576"/>
      <c r="B28" s="119" t="s">
        <v>1836</v>
      </c>
      <c r="C28" s="398"/>
      <c r="D28" s="373">
        <v>100</v>
      </c>
      <c r="E28" s="398"/>
      <c r="F28" s="399">
        <f>SUMIF(83:83,E28,84:84)-SUMIF(83:83,C28,84:84)+100</f>
        <v>100</v>
      </c>
      <c r="G28" s="398"/>
      <c r="H28" s="373">
        <f>SUMIF(83:83,G28,84:84)-SUMIF(83:83,C28,84:84)+100</f>
        <v>100</v>
      </c>
      <c r="I28" s="398"/>
      <c r="J28" s="373">
        <f>SUMIF(83:83,I28,84:84)-SUMIF(83:83,C28,84:84)+100</f>
        <v>100</v>
      </c>
      <c r="K28" s="537"/>
      <c r="L28" s="2489"/>
      <c r="M28" s="2484"/>
      <c r="N28" s="2484"/>
      <c r="O28" s="2484"/>
      <c r="P28" s="3386"/>
      <c r="Q28" s="1262" t="str">
        <f t="shared" si="11"/>
        <v>公共部分装修</v>
      </c>
      <c r="R28" s="666" t="s">
        <v>14</v>
      </c>
      <c r="S28" s="667">
        <f t="shared" si="12"/>
        <v>100</v>
      </c>
      <c r="T28" s="666" t="s">
        <v>14</v>
      </c>
      <c r="U28" s="667">
        <f t="shared" si="13"/>
        <v>100</v>
      </c>
      <c r="V28" s="666" t="s">
        <v>14</v>
      </c>
      <c r="W28" s="667">
        <f t="shared" si="14"/>
        <v>100</v>
      </c>
      <c r="X28" s="1264"/>
      <c r="Y28" s="3386"/>
      <c r="Z28" s="1263" t="str">
        <f t="shared" si="15"/>
        <v>公共部分装修</v>
      </c>
      <c r="AA28" s="1263">
        <f t="shared" si="3"/>
        <v>1</v>
      </c>
      <c r="AB28" s="1263">
        <f t="shared" si="4"/>
        <v>1</v>
      </c>
      <c r="AC28" s="1263">
        <f t="shared" si="5"/>
        <v>1</v>
      </c>
    </row>
    <row r="29" spans="1:29" ht="15">
      <c r="A29" s="576"/>
      <c r="B29" s="119" t="s">
        <v>1837</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9"/>
      <c r="M29" s="2484"/>
      <c r="N29" s="2484"/>
      <c r="O29" s="2484"/>
      <c r="P29" s="3386"/>
      <c r="Q29" s="1262" t="str">
        <f t="shared" si="11"/>
        <v>成新率</v>
      </c>
      <c r="R29" s="666" t="s">
        <v>14</v>
      </c>
      <c r="S29" s="667" t="e">
        <f t="shared" si="12"/>
        <v>#N/A</v>
      </c>
      <c r="T29" s="666" t="s">
        <v>14</v>
      </c>
      <c r="U29" s="667" t="e">
        <f t="shared" si="13"/>
        <v>#N/A</v>
      </c>
      <c r="V29" s="666" t="s">
        <v>14</v>
      </c>
      <c r="W29" s="667" t="e">
        <f t="shared" si="14"/>
        <v>#N/A</v>
      </c>
      <c r="X29" s="1264"/>
      <c r="Y29" s="3386"/>
      <c r="Z29" s="1263" t="str">
        <f t="shared" si="15"/>
        <v>成新率</v>
      </c>
      <c r="AA29" s="1263" t="e">
        <f t="shared" si="3"/>
        <v>#N/A</v>
      </c>
      <c r="AB29" s="1263" t="e">
        <f t="shared" si="4"/>
        <v>#N/A</v>
      </c>
      <c r="AC29" s="1263" t="e">
        <f t="shared" si="5"/>
        <v>#N/A</v>
      </c>
    </row>
    <row r="30" spans="1:29" ht="15">
      <c r="A30" s="576"/>
      <c r="B30" s="119" t="s">
        <v>1838</v>
      </c>
      <c r="C30" s="577"/>
      <c r="D30" s="373">
        <v>100</v>
      </c>
      <c r="E30" s="577"/>
      <c r="F30" s="399">
        <f>SUMIF(88:88,E30,89:89)-SUMIF(88:88,C30,89:89)+100</f>
        <v>100</v>
      </c>
      <c r="G30" s="577"/>
      <c r="H30" s="373">
        <f>SUMIF(88:88,E30,89:89)-SUMIF(88:88,C30,89:89)+100</f>
        <v>100</v>
      </c>
      <c r="I30" s="577"/>
      <c r="J30" s="373">
        <f>SUMIF(88:88,E30,89:89)-SUMIF(88:88,C30,89:89)+100</f>
        <v>100</v>
      </c>
      <c r="K30" s="537"/>
      <c r="L30" s="2489"/>
      <c r="M30" s="2484"/>
      <c r="N30" s="2484"/>
      <c r="O30" s="2484"/>
      <c r="P30" s="3386"/>
      <c r="Q30" s="1262" t="str">
        <f t="shared" si="11"/>
        <v>物业等级</v>
      </c>
      <c r="R30" s="666" t="s">
        <v>14</v>
      </c>
      <c r="S30" s="667">
        <f t="shared" si="12"/>
        <v>100</v>
      </c>
      <c r="T30" s="666" t="s">
        <v>14</v>
      </c>
      <c r="U30" s="667">
        <f t="shared" si="13"/>
        <v>100</v>
      </c>
      <c r="V30" s="666" t="s">
        <v>14</v>
      </c>
      <c r="W30" s="667">
        <f t="shared" si="14"/>
        <v>100</v>
      </c>
      <c r="X30" s="1264"/>
      <c r="Y30" s="3386"/>
      <c r="Z30" s="1263" t="str">
        <f t="shared" si="15"/>
        <v>物业等级</v>
      </c>
      <c r="AA30" s="1263">
        <f t="shared" si="3"/>
        <v>1</v>
      </c>
      <c r="AB30" s="1263">
        <f t="shared" si="4"/>
        <v>1</v>
      </c>
      <c r="AC30" s="1263">
        <f t="shared" si="5"/>
        <v>1</v>
      </c>
    </row>
    <row r="31" spans="1:29" s="102" customFormat="1" ht="15">
      <c r="A31" s="578"/>
      <c r="B31" s="119" t="s">
        <v>1839</v>
      </c>
      <c r="C31" s="406"/>
      <c r="D31" s="119">
        <v>100</v>
      </c>
      <c r="E31" s="406"/>
      <c r="F31" s="399" t="e">
        <f>LOOKUP(E31,91:91,92:92)-LOOKUP(C31,91:91,92:92)+100</f>
        <v>#N/A</v>
      </c>
      <c r="G31" s="406"/>
      <c r="H31" s="373" t="e">
        <f>LOOKUP(G31,91:91,92:92)-LOOKUP(C31,91:91,92:92)+100</f>
        <v>#N/A</v>
      </c>
      <c r="I31" s="406"/>
      <c r="J31" s="373" t="e">
        <f>LOOKUP(I31,91:91,92:92)-LOOKUP(C31,91:91,92:92)+100</f>
        <v>#N/A</v>
      </c>
      <c r="K31" s="537"/>
      <c r="L31" s="2485"/>
      <c r="M31" s="2436"/>
      <c r="N31" s="2436"/>
      <c r="O31" s="2436"/>
      <c r="P31" s="3386"/>
      <c r="Q31" s="529" t="str">
        <f t="shared" si="11"/>
        <v>停车位面积</v>
      </c>
      <c r="R31" s="663" t="s">
        <v>14</v>
      </c>
      <c r="S31" s="664" t="e">
        <f t="shared" si="12"/>
        <v>#N/A</v>
      </c>
      <c r="T31" s="663" t="s">
        <v>14</v>
      </c>
      <c r="U31" s="664" t="e">
        <f t="shared" si="13"/>
        <v>#N/A</v>
      </c>
      <c r="V31" s="663" t="s">
        <v>14</v>
      </c>
      <c r="W31" s="664" t="e">
        <f t="shared" si="14"/>
        <v>#N/A</v>
      </c>
      <c r="X31" s="665"/>
      <c r="Y31" s="3386"/>
      <c r="Z31" s="50" t="str">
        <f t="shared" si="15"/>
        <v>停车位面积</v>
      </c>
      <c r="AA31" s="50" t="e">
        <f t="shared" si="3"/>
        <v>#N/A</v>
      </c>
      <c r="AB31" s="50" t="e">
        <f t="shared" si="4"/>
        <v>#N/A</v>
      </c>
      <c r="AC31" s="50" t="e">
        <f t="shared" si="5"/>
        <v>#N/A</v>
      </c>
    </row>
    <row r="32" spans="1:29" ht="15">
      <c r="A32" s="576"/>
      <c r="B32" s="119" t="s">
        <v>1840</v>
      </c>
      <c r="C32" s="398"/>
      <c r="D32" s="373">
        <v>100</v>
      </c>
      <c r="E32" s="398"/>
      <c r="F32" s="399">
        <f>SUMIF(93:93,E32,94:94)-SUMIF(93:93,C32,94:94)+100</f>
        <v>100</v>
      </c>
      <c r="G32" s="398"/>
      <c r="H32" s="373">
        <f>SUMIF(93:93,G32,94:94)-SUMIF(93:93,C32,94:94)+100</f>
        <v>100</v>
      </c>
      <c r="I32" s="398"/>
      <c r="J32" s="373">
        <f>SUMIF(93:93,I32,94:94)-SUMIF(93:93,C32,94:94)+100</f>
        <v>100</v>
      </c>
      <c r="K32" s="537"/>
      <c r="L32" s="2489"/>
      <c r="M32" s="2484"/>
      <c r="N32" s="2484"/>
      <c r="O32" s="2484"/>
      <c r="P32" s="3386" t="s">
        <v>1694</v>
      </c>
      <c r="Q32" s="1262" t="str">
        <f t="shared" si="11"/>
        <v>车位类型</v>
      </c>
      <c r="R32" s="666" t="s">
        <v>14</v>
      </c>
      <c r="S32" s="667">
        <f t="shared" si="12"/>
        <v>100</v>
      </c>
      <c r="T32" s="666" t="s">
        <v>14</v>
      </c>
      <c r="U32" s="667">
        <f t="shared" si="13"/>
        <v>100</v>
      </c>
      <c r="V32" s="666" t="s">
        <v>14</v>
      </c>
      <c r="W32" s="667">
        <f t="shared" si="14"/>
        <v>100</v>
      </c>
      <c r="X32" s="1264"/>
      <c r="Y32" s="3386" t="s">
        <v>1694</v>
      </c>
      <c r="Z32" s="1263" t="str">
        <f t="shared" si="15"/>
        <v>车位类型</v>
      </c>
      <c r="AA32" s="1263">
        <f t="shared" si="3"/>
        <v>1</v>
      </c>
      <c r="AB32" s="1263">
        <f t="shared" si="4"/>
        <v>1</v>
      </c>
      <c r="AC32" s="1263">
        <f t="shared" si="5"/>
        <v>1</v>
      </c>
    </row>
    <row r="33" spans="1:29" ht="15">
      <c r="A33" s="576"/>
      <c r="B33" s="119" t="s">
        <v>1841</v>
      </c>
      <c r="C33" s="398"/>
      <c r="D33" s="373">
        <v>100</v>
      </c>
      <c r="E33" s="398"/>
      <c r="F33" s="399">
        <f>SUMIF(95:95,E33,96:96)-SUMIF(95:95,C33,96:96)+100</f>
        <v>100</v>
      </c>
      <c r="G33" s="398"/>
      <c r="H33" s="373">
        <f>SUMIF(95:95,G33,96:96)-SUMIF(95:95,C33,96:96)+100</f>
        <v>100</v>
      </c>
      <c r="I33" s="398"/>
      <c r="J33" s="373">
        <f>SUMIF(95:95,I33,96:96)-SUMIF(95:95,C33,96:96)+100</f>
        <v>100</v>
      </c>
      <c r="K33" s="537"/>
      <c r="L33" s="2489"/>
      <c r="M33" s="2484"/>
      <c r="N33" s="2484"/>
      <c r="O33" s="2484"/>
      <c r="P33" s="3386"/>
      <c r="Q33" s="1262" t="str">
        <f t="shared" si="11"/>
        <v>是否直接入户</v>
      </c>
      <c r="R33" s="666" t="s">
        <v>14</v>
      </c>
      <c r="S33" s="667">
        <f t="shared" si="12"/>
        <v>100</v>
      </c>
      <c r="T33" s="666" t="s">
        <v>14</v>
      </c>
      <c r="U33" s="667">
        <f t="shared" si="13"/>
        <v>100</v>
      </c>
      <c r="V33" s="666" t="s">
        <v>14</v>
      </c>
      <c r="W33" s="667">
        <f t="shared" si="14"/>
        <v>100</v>
      </c>
      <c r="X33" s="1264"/>
      <c r="Y33" s="3386"/>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9"/>
      <c r="M34" s="2484"/>
      <c r="N34" s="2484"/>
      <c r="O34" s="2484"/>
      <c r="P34" s="3386"/>
      <c r="Q34" s="1262">
        <f t="shared" si="11"/>
        <v>111</v>
      </c>
      <c r="R34" s="666" t="s">
        <v>14</v>
      </c>
      <c r="S34" s="667">
        <f t="shared" si="12"/>
        <v>100</v>
      </c>
      <c r="T34" s="666" t="s">
        <v>14</v>
      </c>
      <c r="U34" s="667">
        <f t="shared" si="13"/>
        <v>100</v>
      </c>
      <c r="V34" s="666" t="s">
        <v>14</v>
      </c>
      <c r="W34" s="667">
        <f t="shared" si="14"/>
        <v>100</v>
      </c>
      <c r="X34" s="1264"/>
      <c r="Y34" s="3386"/>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8"/>
      <c r="M35" s="2490"/>
      <c r="N35" s="2490"/>
      <c r="O35" s="2490"/>
      <c r="P35" s="3386"/>
      <c r="Q35" s="530">
        <f t="shared" si="11"/>
        <v>111</v>
      </c>
      <c r="R35" s="668" t="s">
        <v>14</v>
      </c>
      <c r="S35" s="669">
        <f t="shared" si="12"/>
        <v>100</v>
      </c>
      <c r="T35" s="668" t="s">
        <v>14</v>
      </c>
      <c r="U35" s="669">
        <f t="shared" si="13"/>
        <v>100</v>
      </c>
      <c r="V35" s="668" t="s">
        <v>14</v>
      </c>
      <c r="W35" s="669">
        <f t="shared" si="14"/>
        <v>100</v>
      </c>
      <c r="X35" s="670"/>
      <c r="Y35" s="3386"/>
      <c r="Z35" s="671">
        <f t="shared" si="15"/>
        <v>111</v>
      </c>
      <c r="AA35" s="1263">
        <f t="shared" si="3"/>
        <v>1</v>
      </c>
      <c r="AB35" s="1263">
        <f t="shared" si="4"/>
        <v>1</v>
      </c>
      <c r="AC35" s="126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9"/>
      <c r="M36" s="2484"/>
      <c r="N36" s="2484"/>
      <c r="O36" s="2484"/>
      <c r="P36" s="3386"/>
      <c r="Q36" s="1262">
        <f t="shared" si="11"/>
        <v>111</v>
      </c>
      <c r="R36" s="666" t="s">
        <v>14</v>
      </c>
      <c r="S36" s="667">
        <f t="shared" si="12"/>
        <v>100</v>
      </c>
      <c r="T36" s="666" t="s">
        <v>14</v>
      </c>
      <c r="U36" s="667">
        <f t="shared" si="13"/>
        <v>100</v>
      </c>
      <c r="V36" s="666" t="s">
        <v>14</v>
      </c>
      <c r="W36" s="667">
        <f t="shared" si="14"/>
        <v>100</v>
      </c>
      <c r="X36" s="1264"/>
      <c r="Y36" s="3386"/>
      <c r="Z36" s="1263">
        <f t="shared" si="15"/>
        <v>111</v>
      </c>
      <c r="AA36" s="1263">
        <f t="shared" si="3"/>
        <v>1</v>
      </c>
      <c r="AB36" s="1263">
        <f t="shared" si="4"/>
        <v>1</v>
      </c>
      <c r="AC36" s="1263">
        <f t="shared" si="5"/>
        <v>1</v>
      </c>
    </row>
    <row r="37" spans="1:29" ht="15">
      <c r="A37" s="415" t="s">
        <v>1842</v>
      </c>
      <c r="B37" s="1820" t="s">
        <v>3344</v>
      </c>
      <c r="C37" s="1080" t="s">
        <v>0</v>
      </c>
      <c r="D37" s="417"/>
      <c r="E37" s="418"/>
      <c r="F37" s="419"/>
      <c r="G37" s="420"/>
      <c r="H37" s="421"/>
      <c r="I37" s="418"/>
      <c r="J37" s="421"/>
      <c r="K37" s="544"/>
      <c r="L37" s="2491"/>
      <c r="M37" s="2484"/>
      <c r="N37" s="2484"/>
      <c r="O37" s="2484"/>
      <c r="P37" s="3374" t="str">
        <f>A37</f>
        <v>成交单价</v>
      </c>
      <c r="Q37" s="3374"/>
      <c r="R37" s="3375">
        <f>E37</f>
        <v>0</v>
      </c>
      <c r="S37" s="3375"/>
      <c r="T37" s="3375">
        <f>G37</f>
        <v>0</v>
      </c>
      <c r="U37" s="3375"/>
      <c r="V37" s="3375">
        <f>I37</f>
        <v>0</v>
      </c>
      <c r="W37" s="3375"/>
      <c r="X37" s="384"/>
      <c r="Y37" s="672"/>
      <c r="Z37" s="384"/>
      <c r="AA37" s="384"/>
      <c r="AB37" s="384"/>
      <c r="AC37" s="384"/>
    </row>
    <row r="38" spans="1:29" ht="15.75" thickBot="1">
      <c r="A38" s="422" t="s">
        <v>1843</v>
      </c>
      <c r="B38" s="423" t="str">
        <f>B37</f>
        <v>元/平方米</v>
      </c>
      <c r="C38" s="1081" t="e">
        <f>R39</f>
        <v>#DIV/0!</v>
      </c>
      <c r="D38" s="2139" t="s">
        <v>2134</v>
      </c>
      <c r="E38" s="1082" t="e">
        <f>R38</f>
        <v>#DIV/0!</v>
      </c>
      <c r="F38" s="2140"/>
      <c r="G38" s="1081" t="e">
        <f>T38</f>
        <v>#DIV/0!</v>
      </c>
      <c r="H38" s="2140"/>
      <c r="I38" s="1082" t="e">
        <f>V38</f>
        <v>#DIV/0!</v>
      </c>
      <c r="J38" s="2140"/>
      <c r="K38" s="2142">
        <f>F38+H38+J38</f>
        <v>0</v>
      </c>
      <c r="L38" s="2491"/>
      <c r="M38" s="2484"/>
      <c r="N38" s="2484"/>
      <c r="O38" s="2484"/>
      <c r="P38" s="3374" t="str">
        <f>A38</f>
        <v>比较价值（元/平方米）</v>
      </c>
      <c r="Q38" s="3374"/>
      <c r="R38" s="3375" t="e">
        <f>IF(F1="售价",ROUND(PRODUCT(R37,AA7:AA36),0),ROUND(PRODUCT(R37,AA7:AA36),1))</f>
        <v>#DIV/0!</v>
      </c>
      <c r="S38" s="3375"/>
      <c r="T38" s="3375" t="e">
        <f>IF(F1="售价",ROUND(PRODUCT(T37,AB7:AB36),0),ROUND(PRODUCT(T37,AB7:AB36),1))</f>
        <v>#DIV/0!</v>
      </c>
      <c r="U38" s="3375"/>
      <c r="V38" s="3375" t="e">
        <f>IF(F1="售价",ROUND(PRODUCT(V37,AC7:AC36),0),ROUND(PRODUCT(V37,AC7:AC36),1))</f>
        <v>#DIV/0!</v>
      </c>
      <c r="W38" s="3375"/>
      <c r="X38" s="384"/>
      <c r="Y38" s="384"/>
      <c r="Z38" s="384"/>
      <c r="AA38" s="384"/>
      <c r="AB38" s="384"/>
      <c r="AC38" s="384"/>
    </row>
    <row r="39" spans="1:29" ht="15.75" thickBot="1">
      <c r="A39" s="426" t="s">
        <v>1844</v>
      </c>
      <c r="B39" s="427"/>
      <c r="C39" s="350" t="e">
        <f>R39</f>
        <v>#DIV/0!</v>
      </c>
      <c r="D39" s="350"/>
      <c r="E39" s="350"/>
      <c r="F39" s="350"/>
      <c r="G39" s="350"/>
      <c r="H39" s="350"/>
      <c r="I39" s="350"/>
      <c r="J39" s="350"/>
      <c r="K39" s="545"/>
      <c r="L39" s="2491"/>
      <c r="M39" s="2484"/>
      <c r="N39" s="2484"/>
      <c r="O39" s="2484"/>
      <c r="P39" s="3376" t="str">
        <f>A39</f>
        <v>估价对象XX用房的比较价值（楼面单价，元/平方米）</v>
      </c>
      <c r="Q39" s="3377"/>
      <c r="R39" s="3485" t="e">
        <f>IF(F1="售价",ROUND(IF(D38="简单平均",AVERAGE(R38:W38),R38*F38+T38*H38+V38*J38),0),ROUND(IF(D38="简单平均",AVERAGE(R38:V38),R38*F38+T38*H38+V38*J38),1))</f>
        <v>#DIV/0!</v>
      </c>
      <c r="S39" s="3485"/>
      <c r="T39" s="3485"/>
      <c r="U39" s="3485"/>
      <c r="V39" s="3485"/>
      <c r="W39" s="3485"/>
      <c r="X39" s="384"/>
      <c r="Y39" s="384"/>
      <c r="Z39" s="384"/>
      <c r="AA39" s="384"/>
      <c r="AB39" s="384"/>
      <c r="AC39" s="384"/>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1" t="s">
        <v>1845</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1" t="s">
        <v>1846</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6" customFormat="1" ht="13.5" customHeight="1">
      <c r="A44" s="2494"/>
      <c r="B44" s="2494"/>
      <c r="C44" s="431" t="s">
        <v>1847</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6"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1.75" thickBot="1">
      <c r="A47" s="1086" t="s">
        <v>1848</v>
      </c>
      <c r="B47" s="860"/>
      <c r="C47" s="885"/>
      <c r="D47" s="885"/>
      <c r="E47" s="885"/>
      <c r="F47" s="1087"/>
      <c r="G47" s="1087"/>
      <c r="H47" s="885"/>
      <c r="I47" s="885"/>
      <c r="J47" s="885"/>
      <c r="K47" s="886"/>
      <c r="L47" s="887"/>
      <c r="M47" s="885"/>
      <c r="N47" s="2534"/>
      <c r="O47" s="2534"/>
      <c r="P47" s="2523"/>
      <c r="Q47" s="2505"/>
      <c r="R47" s="2484"/>
      <c r="S47" s="2484"/>
      <c r="T47" s="2484"/>
      <c r="U47" s="2484"/>
      <c r="V47" s="2484"/>
      <c r="W47" s="2484"/>
      <c r="X47" s="2484"/>
      <c r="Y47" s="2484"/>
      <c r="Z47" s="2484"/>
      <c r="AA47" s="2484"/>
      <c r="AB47" s="2484"/>
      <c r="AC47" s="2484"/>
    </row>
    <row r="48" spans="1:29" s="441" customFormat="1" ht="15">
      <c r="A48" s="439" t="s">
        <v>1849</v>
      </c>
      <c r="B48" s="440"/>
      <c r="C48" s="1102" t="str">
        <f>YEAR(C7)&amp;"-"&amp;MONTH(C7)</f>
        <v>2023-4</v>
      </c>
      <c r="D48" s="1103">
        <f>EDATE(C48,-1)</f>
        <v>44986</v>
      </c>
      <c r="E48" s="1103">
        <f t="shared" ref="E48:O48" si="16">EDATE(D48,-1)</f>
        <v>44958</v>
      </c>
      <c r="F48" s="1103">
        <f t="shared" si="16"/>
        <v>44927</v>
      </c>
      <c r="G48" s="1103">
        <f t="shared" si="16"/>
        <v>44896</v>
      </c>
      <c r="H48" s="1103">
        <f t="shared" si="16"/>
        <v>44866</v>
      </c>
      <c r="I48" s="1103">
        <f t="shared" si="16"/>
        <v>44835</v>
      </c>
      <c r="J48" s="1103">
        <f t="shared" si="16"/>
        <v>44805</v>
      </c>
      <c r="K48" s="1103">
        <f t="shared" si="16"/>
        <v>44774</v>
      </c>
      <c r="L48" s="1103">
        <f t="shared" si="16"/>
        <v>44743</v>
      </c>
      <c r="M48" s="1103">
        <f t="shared" si="16"/>
        <v>44713</v>
      </c>
      <c r="N48" s="1103">
        <f t="shared" si="16"/>
        <v>44682</v>
      </c>
      <c r="O48" s="1103">
        <f t="shared" si="16"/>
        <v>44652</v>
      </c>
      <c r="P48" s="2524"/>
      <c r="Q48" s="2507"/>
      <c r="R48" s="2507"/>
      <c r="S48" s="2507"/>
      <c r="T48" s="2507"/>
      <c r="U48" s="2507"/>
      <c r="V48" s="2507"/>
      <c r="W48" s="2507"/>
      <c r="X48" s="2507"/>
      <c r="Y48" s="2507"/>
      <c r="Z48" s="2507"/>
      <c r="AA48" s="2507"/>
      <c r="AB48" s="2507"/>
      <c r="AC48" s="2507"/>
    </row>
    <row r="49" spans="1:29" s="102" customFormat="1" ht="15">
      <c r="A49" s="442"/>
      <c r="B49" s="443"/>
      <c r="C49" s="1096">
        <v>100</v>
      </c>
      <c r="D49" s="445"/>
      <c r="E49" s="445"/>
      <c r="F49" s="445"/>
      <c r="G49" s="445"/>
      <c r="H49" s="445"/>
      <c r="I49" s="445"/>
      <c r="J49" s="445"/>
      <c r="K49" s="445"/>
      <c r="L49" s="445"/>
      <c r="M49" s="446"/>
      <c r="N49" s="445"/>
      <c r="O49" s="446"/>
      <c r="P49" s="2525"/>
      <c r="Q49" s="2436"/>
      <c r="R49" s="2436"/>
      <c r="S49" s="2436"/>
      <c r="T49" s="2436"/>
      <c r="U49" s="2436"/>
      <c r="V49" s="2436"/>
      <c r="W49" s="2436"/>
      <c r="X49" s="2436"/>
      <c r="Y49" s="2436"/>
      <c r="Z49" s="2436"/>
      <c r="AA49" s="2436"/>
      <c r="AB49" s="2436"/>
      <c r="AC49" s="2436"/>
    </row>
    <row r="50" spans="1:29" s="102" customFormat="1" ht="15.75" thickBot="1">
      <c r="A50" s="448" t="s">
        <v>1714</v>
      </c>
      <c r="B50" s="449"/>
      <c r="C50" s="450"/>
      <c r="D50" s="451"/>
      <c r="E50" s="451"/>
      <c r="F50" s="451"/>
      <c r="G50" s="451"/>
      <c r="H50" s="451"/>
      <c r="I50" s="451"/>
      <c r="J50" s="451"/>
      <c r="K50" s="451"/>
      <c r="L50" s="451"/>
      <c r="M50" s="452"/>
      <c r="N50" s="451"/>
      <c r="O50" s="452"/>
      <c r="P50" s="2525"/>
      <c r="Q50" s="2505"/>
      <c r="R50" s="2436"/>
      <c r="S50" s="2436"/>
      <c r="T50" s="2436"/>
      <c r="U50" s="2436"/>
      <c r="V50" s="2436"/>
      <c r="W50" s="2436"/>
      <c r="X50" s="2436"/>
      <c r="Y50" s="2436"/>
      <c r="Z50" s="2436"/>
      <c r="AA50" s="2436"/>
      <c r="AB50" s="2436"/>
      <c r="AC50" s="2436"/>
    </row>
    <row r="51" spans="1:29" s="102" customFormat="1" ht="15">
      <c r="A51" s="454" t="s">
        <v>1679</v>
      </c>
      <c r="B51" s="443"/>
      <c r="C51" s="455" t="s">
        <v>1774</v>
      </c>
      <c r="D51" s="31"/>
      <c r="E51" s="31"/>
      <c r="F51" s="31"/>
      <c r="G51" s="31"/>
      <c r="H51" s="31"/>
      <c r="I51" s="31"/>
      <c r="J51" s="31"/>
      <c r="K51" s="31"/>
      <c r="L51" s="456"/>
      <c r="M51" s="457"/>
      <c r="N51" s="2517"/>
      <c r="O51" s="2517"/>
      <c r="P51" s="2526"/>
      <c r="Q51" s="2505"/>
      <c r="R51" s="2436"/>
      <c r="S51" s="2436"/>
      <c r="T51" s="2436"/>
      <c r="U51" s="2436"/>
      <c r="V51" s="2436"/>
      <c r="W51" s="2436"/>
      <c r="X51" s="2436"/>
      <c r="Y51" s="2436"/>
      <c r="Z51" s="2436"/>
      <c r="AA51" s="2436"/>
      <c r="AB51" s="2436"/>
      <c r="AC51" s="2436"/>
    </row>
    <row r="52" spans="1:29" s="102" customFormat="1" ht="15.75" thickBot="1">
      <c r="A52" s="454"/>
      <c r="B52" s="443"/>
      <c r="C52" s="562">
        <v>100</v>
      </c>
      <c r="D52" s="445"/>
      <c r="E52" s="445"/>
      <c r="F52" s="445"/>
      <c r="G52" s="445"/>
      <c r="H52" s="445"/>
      <c r="I52" s="445"/>
      <c r="J52" s="445"/>
      <c r="K52" s="445"/>
      <c r="L52" s="445"/>
      <c r="M52" s="447"/>
      <c r="N52" s="2517"/>
      <c r="O52" s="2517"/>
      <c r="P52" s="2525"/>
      <c r="Q52" s="2505"/>
      <c r="R52" s="2436"/>
      <c r="S52" s="2436"/>
      <c r="T52" s="2436"/>
      <c r="U52" s="2436"/>
      <c r="V52" s="2436"/>
      <c r="W52" s="2436"/>
      <c r="X52" s="2436"/>
      <c r="Y52" s="2436"/>
      <c r="Z52" s="2436"/>
      <c r="AA52" s="2436"/>
      <c r="AB52" s="2436"/>
      <c r="AC52" s="2436"/>
    </row>
    <row r="53" spans="1:29">
      <c r="A53" s="378" t="s">
        <v>1717</v>
      </c>
      <c r="B53" s="459" t="s">
        <v>1683</v>
      </c>
      <c r="C53" s="460">
        <f>C9</f>
        <v>0</v>
      </c>
      <c r="D53" s="461"/>
      <c r="E53" s="461"/>
      <c r="F53" s="461"/>
      <c r="G53" s="461"/>
      <c r="H53" s="461"/>
      <c r="I53" s="461"/>
      <c r="J53" s="461"/>
      <c r="K53" s="462"/>
      <c r="L53" s="463"/>
      <c r="M53" s="464"/>
      <c r="N53" s="2518"/>
      <c r="O53" s="2518"/>
      <c r="P53" s="2527"/>
      <c r="Q53" s="2505"/>
      <c r="R53" s="2484"/>
      <c r="S53" s="2484"/>
      <c r="T53" s="2484"/>
      <c r="U53" s="2484"/>
      <c r="V53" s="2484"/>
      <c r="W53" s="2484"/>
      <c r="X53" s="2484"/>
      <c r="Y53" s="2484"/>
      <c r="Z53" s="2484"/>
      <c r="AA53" s="2484"/>
      <c r="AB53" s="2484"/>
      <c r="AC53" s="2484"/>
    </row>
    <row r="54" spans="1:29" ht="15.75" thickBot="1">
      <c r="A54" s="366"/>
      <c r="B54" s="465"/>
      <c r="C54" s="466">
        <v>100</v>
      </c>
      <c r="D54" s="466"/>
      <c r="E54" s="466"/>
      <c r="F54" s="466"/>
      <c r="G54" s="466"/>
      <c r="H54" s="466"/>
      <c r="I54" s="466"/>
      <c r="J54" s="466"/>
      <c r="K54" s="466"/>
      <c r="L54" s="466"/>
      <c r="M54" s="467"/>
      <c r="N54" s="2519"/>
      <c r="O54" s="2519"/>
      <c r="P54" s="2527"/>
      <c r="Q54" s="2505"/>
      <c r="R54" s="2484"/>
      <c r="S54" s="2484"/>
      <c r="T54" s="2484"/>
      <c r="U54" s="2484"/>
      <c r="V54" s="2484"/>
      <c r="W54" s="2484"/>
      <c r="X54" s="2484"/>
      <c r="Y54" s="2484"/>
      <c r="Z54" s="2484"/>
      <c r="AA54" s="2484"/>
      <c r="AB54" s="2484"/>
      <c r="AC54" s="2484"/>
    </row>
    <row r="55" spans="1:29" ht="27.75" thickTop="1">
      <c r="A55" s="366"/>
      <c r="B55" s="468" t="s">
        <v>1686</v>
      </c>
      <c r="C55" s="512"/>
      <c r="D55" s="512"/>
      <c r="E55" s="512"/>
      <c r="F55" s="512"/>
      <c r="G55" s="512"/>
      <c r="H55" s="512"/>
      <c r="I55" s="512"/>
      <c r="J55" s="512"/>
      <c r="K55" s="513"/>
      <c r="L55" s="514"/>
      <c r="M55" s="515"/>
      <c r="N55" s="2518"/>
      <c r="O55" s="2518"/>
      <c r="P55" s="2527"/>
      <c r="Q55" s="2505"/>
      <c r="R55" s="2484"/>
      <c r="S55" s="2484"/>
      <c r="T55" s="2484"/>
      <c r="U55" s="2484"/>
      <c r="V55" s="2484"/>
      <c r="W55" s="2484"/>
      <c r="X55" s="2484"/>
      <c r="Y55" s="2484"/>
      <c r="Z55" s="2484"/>
      <c r="AA55" s="2484"/>
      <c r="AB55" s="2484"/>
      <c r="AC55" s="2484"/>
    </row>
    <row r="56" spans="1:29" ht="15.75" thickBot="1">
      <c r="A56" s="366"/>
      <c r="B56" s="473"/>
      <c r="C56" s="466"/>
      <c r="D56" s="466"/>
      <c r="E56" s="466"/>
      <c r="F56" s="466"/>
      <c r="G56" s="466"/>
      <c r="H56" s="466"/>
      <c r="I56" s="466"/>
      <c r="J56" s="466"/>
      <c r="K56" s="466"/>
      <c r="L56" s="466"/>
      <c r="M56" s="467"/>
      <c r="N56" s="2519"/>
      <c r="O56" s="2519"/>
      <c r="P56" s="2527"/>
      <c r="Q56" s="2505"/>
      <c r="R56" s="2484"/>
      <c r="S56" s="2484"/>
      <c r="T56" s="2484"/>
      <c r="U56" s="2484"/>
      <c r="V56" s="2484"/>
      <c r="W56" s="2484"/>
      <c r="X56" s="2484"/>
      <c r="Y56" s="2484"/>
      <c r="Z56" s="2484"/>
      <c r="AA56" s="2484"/>
      <c r="AB56" s="2484"/>
      <c r="AC56" s="2484"/>
    </row>
    <row r="57" spans="1:29" ht="15.75" thickTop="1">
      <c r="A57" s="366"/>
      <c r="B57" s="580">
        <f>B11</f>
        <v>111</v>
      </c>
      <c r="C57" s="479"/>
      <c r="D57" s="479"/>
      <c r="E57" s="479"/>
      <c r="F57" s="479"/>
      <c r="G57" s="479"/>
      <c r="H57" s="479"/>
      <c r="I57" s="479"/>
      <c r="J57" s="479"/>
      <c r="K57" s="480"/>
      <c r="L57" s="481"/>
      <c r="M57" s="482"/>
      <c r="N57" s="2518"/>
      <c r="O57" s="2518"/>
      <c r="P57" s="2527"/>
      <c r="Q57" s="2505"/>
      <c r="R57" s="2484"/>
      <c r="S57" s="2484"/>
      <c r="T57" s="2484"/>
      <c r="U57" s="2484"/>
      <c r="V57" s="2484"/>
      <c r="W57" s="2484"/>
      <c r="X57" s="2484"/>
      <c r="Y57" s="2484"/>
      <c r="Z57" s="2484"/>
      <c r="AA57" s="2484"/>
      <c r="AB57" s="2484"/>
      <c r="AC57" s="2484"/>
    </row>
    <row r="58" spans="1:29" ht="15.75" thickBot="1">
      <c r="A58" s="366"/>
      <c r="B58" s="465"/>
      <c r="C58" s="490"/>
      <c r="D58" s="466"/>
      <c r="E58" s="466"/>
      <c r="F58" s="466"/>
      <c r="G58" s="466"/>
      <c r="H58" s="466"/>
      <c r="I58" s="466"/>
      <c r="J58" s="466"/>
      <c r="K58" s="466"/>
      <c r="L58" s="466"/>
      <c r="M58" s="467"/>
      <c r="N58" s="2519"/>
      <c r="O58" s="2519"/>
      <c r="P58" s="2527"/>
      <c r="Q58" s="2505"/>
      <c r="R58" s="2484"/>
      <c r="S58" s="2484"/>
      <c r="T58" s="2484"/>
      <c r="U58" s="2484"/>
      <c r="V58" s="2484"/>
      <c r="W58" s="2484"/>
      <c r="X58" s="2484"/>
      <c r="Y58" s="2484"/>
      <c r="Z58" s="2484"/>
      <c r="AA58" s="2484"/>
      <c r="AB58" s="2484"/>
      <c r="AC58" s="2484"/>
    </row>
    <row r="59" spans="1:29" s="407" customFormat="1" ht="15.75" thickTop="1">
      <c r="A59" s="483"/>
      <c r="B59" s="468">
        <f>B12</f>
        <v>111</v>
      </c>
      <c r="C59" s="479"/>
      <c r="D59" s="479"/>
      <c r="E59" s="479"/>
      <c r="F59" s="479"/>
      <c r="G59" s="484"/>
      <c r="H59" s="485"/>
      <c r="I59" s="485"/>
      <c r="J59" s="485"/>
      <c r="K59" s="485"/>
      <c r="L59" s="486"/>
      <c r="M59" s="487"/>
      <c r="N59" s="2520"/>
      <c r="O59" s="2520"/>
      <c r="P59" s="2528"/>
      <c r="Q59" s="2512"/>
      <c r="R59" s="2490"/>
      <c r="S59" s="2490"/>
      <c r="T59" s="2490"/>
      <c r="U59" s="2490"/>
      <c r="V59" s="2490"/>
      <c r="W59" s="2490"/>
      <c r="X59" s="2490"/>
      <c r="Y59" s="2490"/>
      <c r="Z59" s="2490"/>
      <c r="AA59" s="2490"/>
      <c r="AB59" s="2490"/>
      <c r="AC59" s="2490"/>
    </row>
    <row r="60" spans="1:29" s="407" customFormat="1" ht="15.75" thickBot="1">
      <c r="A60" s="483"/>
      <c r="B60" s="473"/>
      <c r="C60" s="490"/>
      <c r="D60" s="466"/>
      <c r="E60" s="466"/>
      <c r="F60" s="466"/>
      <c r="G60" s="466"/>
      <c r="H60" s="466"/>
      <c r="I60" s="466"/>
      <c r="J60" s="466"/>
      <c r="K60" s="466"/>
      <c r="L60" s="466"/>
      <c r="M60" s="467"/>
      <c r="N60" s="2519"/>
      <c r="O60" s="2519"/>
      <c r="P60" s="2528"/>
      <c r="Q60" s="2512"/>
      <c r="R60" s="2490"/>
      <c r="S60" s="2490"/>
      <c r="T60" s="2490"/>
      <c r="U60" s="2490"/>
      <c r="V60" s="2490"/>
      <c r="W60" s="2490"/>
      <c r="X60" s="2490"/>
      <c r="Y60" s="2490"/>
      <c r="Z60" s="2490"/>
      <c r="AA60" s="2490"/>
      <c r="AB60" s="2490"/>
      <c r="AC60" s="2490"/>
    </row>
    <row r="61" spans="1:29" s="407" customFormat="1" ht="15.75" thickTop="1">
      <c r="A61" s="483"/>
      <c r="B61" s="468">
        <f>B13</f>
        <v>111</v>
      </c>
      <c r="C61" s="484"/>
      <c r="D61" s="484"/>
      <c r="E61" s="484"/>
      <c r="F61" s="484"/>
      <c r="G61" s="484"/>
      <c r="H61" s="485"/>
      <c r="I61" s="485"/>
      <c r="J61" s="485"/>
      <c r="K61" s="485"/>
      <c r="L61" s="486"/>
      <c r="M61" s="487"/>
      <c r="N61" s="2520"/>
      <c r="O61" s="2520"/>
      <c r="P61" s="2529"/>
      <c r="Q61" s="2514"/>
      <c r="R61" s="2490"/>
      <c r="S61" s="2490"/>
      <c r="T61" s="2490"/>
      <c r="U61" s="2490"/>
      <c r="V61" s="2490"/>
      <c r="W61" s="2490"/>
      <c r="X61" s="2490"/>
      <c r="Y61" s="2490"/>
      <c r="Z61" s="2490"/>
      <c r="AA61" s="2490"/>
      <c r="AB61" s="2490"/>
      <c r="AC61" s="2490"/>
    </row>
    <row r="62" spans="1:29" s="407" customFormat="1" ht="15.75" thickBot="1">
      <c r="A62" s="483"/>
      <c r="B62" s="473"/>
      <c r="C62" s="490"/>
      <c r="D62" s="490"/>
      <c r="E62" s="490"/>
      <c r="F62" s="490"/>
      <c r="G62" s="490"/>
      <c r="H62" s="492"/>
      <c r="I62" s="492"/>
      <c r="J62" s="492"/>
      <c r="K62" s="492"/>
      <c r="L62" s="492"/>
      <c r="M62" s="493"/>
      <c r="N62" s="2520"/>
      <c r="O62" s="2520"/>
      <c r="P62" s="2528"/>
      <c r="Q62" s="2512"/>
      <c r="R62" s="2490"/>
      <c r="S62" s="2490"/>
      <c r="T62" s="2490"/>
      <c r="U62" s="2490"/>
      <c r="V62" s="2490"/>
      <c r="W62" s="2490"/>
      <c r="X62" s="2490"/>
      <c r="Y62" s="2490"/>
      <c r="Z62" s="2490"/>
      <c r="AA62" s="2490"/>
      <c r="AB62" s="2490"/>
      <c r="AC62" s="2490"/>
    </row>
    <row r="63" spans="1:29" ht="15" thickTop="1">
      <c r="A63" s="378" t="s">
        <v>1688</v>
      </c>
      <c r="B63" s="459" t="s">
        <v>1724</v>
      </c>
      <c r="C63" s="503" t="s">
        <v>1719</v>
      </c>
      <c r="D63" s="503" t="s">
        <v>1720</v>
      </c>
      <c r="E63" s="503" t="s">
        <v>1721</v>
      </c>
      <c r="F63" s="503" t="s">
        <v>1722</v>
      </c>
      <c r="G63" s="503" t="s">
        <v>1723</v>
      </c>
      <c r="H63" s="460"/>
      <c r="I63" s="460"/>
      <c r="J63" s="460"/>
      <c r="K63" s="504"/>
      <c r="L63" s="505"/>
      <c r="M63" s="506"/>
      <c r="N63" s="2518"/>
      <c r="O63" s="2518"/>
      <c r="P63" s="2531"/>
      <c r="Q63" s="2505"/>
      <c r="R63" s="2484"/>
      <c r="S63" s="2484"/>
      <c r="T63" s="2484"/>
      <c r="U63" s="2484"/>
      <c r="V63" s="2484"/>
      <c r="W63" s="2484"/>
      <c r="X63" s="2484"/>
      <c r="Y63" s="2484"/>
      <c r="Z63" s="2484"/>
      <c r="AA63" s="2484"/>
      <c r="AB63" s="2484"/>
      <c r="AC63" s="2484"/>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9"/>
      <c r="O64" s="2519"/>
      <c r="P64" s="2527"/>
      <c r="Q64" s="2505"/>
      <c r="R64" s="2484"/>
      <c r="S64" s="2484"/>
      <c r="T64" s="2484"/>
      <c r="U64" s="2484"/>
      <c r="V64" s="2484"/>
      <c r="W64" s="2484"/>
      <c r="X64" s="2484"/>
      <c r="Y64" s="2484"/>
      <c r="Z64" s="2484"/>
      <c r="AA64" s="2484"/>
      <c r="AB64" s="2484"/>
      <c r="AC64" s="2484"/>
    </row>
    <row r="65" spans="1:29" ht="15.75" thickTop="1">
      <c r="A65" s="366"/>
      <c r="B65" s="468" t="s">
        <v>1725</v>
      </c>
      <c r="C65" s="508" t="s">
        <v>1719</v>
      </c>
      <c r="D65" s="508" t="s">
        <v>1720</v>
      </c>
      <c r="E65" s="508" t="s">
        <v>1721</v>
      </c>
      <c r="F65" s="508" t="s">
        <v>1722</v>
      </c>
      <c r="G65" s="508" t="s">
        <v>1723</v>
      </c>
      <c r="H65" s="469"/>
      <c r="I65" s="469"/>
      <c r="J65" s="469"/>
      <c r="K65" s="470"/>
      <c r="L65" s="471"/>
      <c r="M65" s="472"/>
      <c r="N65" s="2518"/>
      <c r="O65" s="2518"/>
      <c r="P65" s="2527"/>
      <c r="Q65" s="2505"/>
      <c r="R65" s="2484"/>
      <c r="S65" s="2484"/>
      <c r="T65" s="2484"/>
      <c r="U65" s="2484"/>
      <c r="V65" s="2484"/>
      <c r="W65" s="2484"/>
      <c r="X65" s="2484"/>
      <c r="Y65" s="2484"/>
      <c r="Z65" s="2484"/>
      <c r="AA65" s="2484"/>
      <c r="AB65" s="2484"/>
      <c r="AC65" s="2484"/>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9"/>
      <c r="O66" s="2519"/>
      <c r="P66" s="2527"/>
      <c r="Q66" s="2505"/>
      <c r="R66" s="2484"/>
      <c r="S66" s="2484"/>
      <c r="T66" s="2484"/>
      <c r="U66" s="2484"/>
      <c r="V66" s="2484"/>
      <c r="W66" s="2484"/>
      <c r="X66" s="2484"/>
      <c r="Y66" s="2484"/>
      <c r="Z66" s="2484"/>
      <c r="AA66" s="2484"/>
      <c r="AB66" s="2484"/>
      <c r="AC66" s="2484"/>
    </row>
    <row r="67" spans="1:29" ht="15.75" thickTop="1">
      <c r="A67" s="366"/>
      <c r="B67" s="476" t="s">
        <v>1811</v>
      </c>
      <c r="C67" s="580" t="s">
        <v>1797</v>
      </c>
      <c r="D67" s="580" t="s">
        <v>1798</v>
      </c>
      <c r="E67" s="580" t="s">
        <v>1799</v>
      </c>
      <c r="F67" s="580" t="s">
        <v>1800</v>
      </c>
      <c r="G67" s="580" t="s">
        <v>1801</v>
      </c>
      <c r="H67" s="469"/>
      <c r="I67" s="469"/>
      <c r="J67" s="469"/>
      <c r="K67" s="469"/>
      <c r="L67" s="469"/>
      <c r="M67" s="1062"/>
      <c r="N67" s="2519"/>
      <c r="O67" s="2519"/>
      <c r="P67" s="2527"/>
      <c r="Q67" s="2505"/>
      <c r="R67" s="2484"/>
      <c r="S67" s="2484"/>
      <c r="T67" s="2484"/>
      <c r="U67" s="2484"/>
      <c r="V67" s="2484"/>
      <c r="W67" s="2484"/>
      <c r="X67" s="2484"/>
      <c r="Y67" s="2484"/>
      <c r="Z67" s="2484"/>
      <c r="AA67" s="2484"/>
      <c r="AB67" s="2484"/>
      <c r="AC67" s="2484"/>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9"/>
      <c r="O68" s="2519"/>
      <c r="P68" s="2527"/>
      <c r="Q68" s="2505"/>
      <c r="R68" s="2484"/>
      <c r="S68" s="2484"/>
      <c r="T68" s="2484"/>
      <c r="U68" s="2484"/>
      <c r="V68" s="2484"/>
      <c r="W68" s="2484"/>
      <c r="X68" s="2484"/>
      <c r="Y68" s="2484"/>
      <c r="Z68" s="2484"/>
      <c r="AA68" s="2484"/>
      <c r="AB68" s="2484"/>
      <c r="AC68" s="2484"/>
    </row>
    <row r="69" spans="1:29" ht="15.75" thickTop="1">
      <c r="A69" s="366"/>
      <c r="B69" s="468" t="s">
        <v>1731</v>
      </c>
      <c r="C69" s="508" t="s">
        <v>1719</v>
      </c>
      <c r="D69" s="508" t="s">
        <v>1720</v>
      </c>
      <c r="E69" s="508" t="s">
        <v>1721</v>
      </c>
      <c r="F69" s="508" t="s">
        <v>1722</v>
      </c>
      <c r="G69" s="508" t="s">
        <v>1723</v>
      </c>
      <c r="H69" s="469"/>
      <c r="I69" s="469"/>
      <c r="J69" s="469"/>
      <c r="K69" s="470"/>
      <c r="L69" s="471"/>
      <c r="M69" s="472"/>
      <c r="N69" s="2518"/>
      <c r="O69" s="2518"/>
      <c r="P69" s="2527"/>
      <c r="Q69" s="2505"/>
      <c r="R69" s="2484"/>
      <c r="S69" s="2484"/>
      <c r="T69" s="2484"/>
      <c r="U69" s="2484"/>
      <c r="V69" s="2484"/>
      <c r="W69" s="2484"/>
      <c r="X69" s="2484"/>
      <c r="Y69" s="2484"/>
      <c r="Z69" s="2484"/>
      <c r="AA69" s="2484"/>
      <c r="AB69" s="2484"/>
      <c r="AC69" s="2484"/>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9"/>
      <c r="O70" s="2519"/>
      <c r="P70" s="2527"/>
      <c r="Q70" s="2505"/>
      <c r="R70" s="2484"/>
      <c r="S70" s="2484"/>
      <c r="T70" s="2484"/>
      <c r="U70" s="2484"/>
      <c r="V70" s="2484"/>
      <c r="W70" s="2484"/>
      <c r="X70" s="2484"/>
      <c r="Y70" s="2484"/>
      <c r="Z70" s="2484"/>
      <c r="AA70" s="2484"/>
      <c r="AB70" s="2484"/>
      <c r="AC70" s="2484"/>
    </row>
    <row r="71" spans="1:29" ht="15.75" thickTop="1">
      <c r="A71" s="366"/>
      <c r="B71" s="468" t="s">
        <v>1850</v>
      </c>
      <c r="C71" s="484"/>
      <c r="D71" s="484"/>
      <c r="E71" s="484"/>
      <c r="F71" s="484"/>
      <c r="G71" s="484"/>
      <c r="H71" s="512"/>
      <c r="I71" s="512"/>
      <c r="J71" s="512"/>
      <c r="K71" s="513"/>
      <c r="L71" s="514"/>
      <c r="M71" s="515"/>
      <c r="N71" s="2518"/>
      <c r="O71" s="2518"/>
      <c r="P71" s="2527"/>
      <c r="Q71" s="2505"/>
      <c r="R71" s="2484"/>
      <c r="S71" s="2484"/>
      <c r="T71" s="2484"/>
      <c r="U71" s="2484"/>
      <c r="V71" s="2484"/>
      <c r="W71" s="2484"/>
      <c r="X71" s="2484"/>
      <c r="Y71" s="2484"/>
      <c r="Z71" s="2484"/>
      <c r="AA71" s="2484"/>
      <c r="AB71" s="2484"/>
      <c r="AC71" s="2484"/>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9"/>
      <c r="O72" s="2519"/>
      <c r="P72" s="2527"/>
      <c r="Q72" s="2505"/>
      <c r="R72" s="2484"/>
      <c r="S72" s="2484"/>
      <c r="T72" s="2484"/>
      <c r="U72" s="2484"/>
      <c r="V72" s="2484"/>
      <c r="W72" s="2484"/>
      <c r="X72" s="2484"/>
      <c r="Y72" s="2484"/>
      <c r="Z72" s="2484"/>
      <c r="AA72" s="2484"/>
      <c r="AB72" s="2484"/>
      <c r="AC72" s="2484"/>
    </row>
    <row r="73" spans="1:29" s="102" customFormat="1" ht="15.75" thickTop="1">
      <c r="A73" s="369"/>
      <c r="B73" s="468">
        <f>B23</f>
        <v>111</v>
      </c>
      <c r="C73" s="479"/>
      <c r="D73" s="479"/>
      <c r="E73" s="479"/>
      <c r="F73" s="479"/>
      <c r="G73" s="484"/>
      <c r="H73" s="484"/>
      <c r="I73" s="484"/>
      <c r="J73" s="484"/>
      <c r="K73" s="484"/>
      <c r="L73" s="509"/>
      <c r="M73" s="510"/>
      <c r="N73" s="2517"/>
      <c r="O73" s="2517"/>
      <c r="P73" s="2527"/>
      <c r="Q73" s="2505"/>
      <c r="R73" s="2436"/>
      <c r="S73" s="2436"/>
      <c r="T73" s="2436"/>
      <c r="U73" s="2436"/>
      <c r="V73" s="2436"/>
      <c r="W73" s="2436"/>
      <c r="X73" s="2436"/>
      <c r="Y73" s="2436"/>
      <c r="Z73" s="2436"/>
      <c r="AA73" s="2436"/>
      <c r="AB73" s="2436"/>
      <c r="AC73" s="2436"/>
    </row>
    <row r="74" spans="1:29" s="102" customFormat="1" ht="15.75" thickBot="1">
      <c r="A74" s="369"/>
      <c r="B74" s="473"/>
      <c r="C74" s="490"/>
      <c r="D74" s="466"/>
      <c r="E74" s="466"/>
      <c r="F74" s="466"/>
      <c r="G74" s="466"/>
      <c r="H74" s="466"/>
      <c r="I74" s="466"/>
      <c r="J74" s="466"/>
      <c r="K74" s="466"/>
      <c r="L74" s="466"/>
      <c r="M74" s="467"/>
      <c r="N74" s="2519"/>
      <c r="O74" s="2519"/>
      <c r="P74" s="2527"/>
      <c r="Q74" s="2505"/>
      <c r="R74" s="2436"/>
      <c r="S74" s="2436"/>
      <c r="T74" s="2436"/>
      <c r="U74" s="2436"/>
      <c r="V74" s="2436"/>
      <c r="W74" s="2436"/>
      <c r="X74" s="2436"/>
      <c r="Y74" s="2436"/>
      <c r="Z74" s="2436"/>
      <c r="AA74" s="2436"/>
      <c r="AB74" s="2436"/>
      <c r="AC74" s="2436"/>
    </row>
    <row r="75" spans="1:29" s="102" customFormat="1" ht="15.75" thickTop="1">
      <c r="A75" s="369"/>
      <c r="B75" s="468">
        <f>B24</f>
        <v>111</v>
      </c>
      <c r="C75" s="479"/>
      <c r="D75" s="479"/>
      <c r="E75" s="479"/>
      <c r="F75" s="479"/>
      <c r="G75" s="484"/>
      <c r="H75" s="484"/>
      <c r="I75" s="484"/>
      <c r="J75" s="484"/>
      <c r="K75" s="484"/>
      <c r="L75" s="484"/>
      <c r="M75" s="510"/>
      <c r="N75" s="2517"/>
      <c r="O75" s="2517"/>
      <c r="P75" s="2527"/>
      <c r="Q75" s="2505"/>
      <c r="R75" s="2436"/>
      <c r="S75" s="2436"/>
      <c r="T75" s="2436"/>
      <c r="U75" s="2436"/>
      <c r="V75" s="2436"/>
      <c r="W75" s="2436"/>
      <c r="X75" s="2436"/>
      <c r="Y75" s="2436"/>
      <c r="Z75" s="2436"/>
      <c r="AA75" s="2436"/>
      <c r="AB75" s="2436"/>
      <c r="AC75" s="2436"/>
    </row>
    <row r="76" spans="1:29" s="102" customFormat="1" ht="15.75" thickBot="1">
      <c r="A76" s="369"/>
      <c r="B76" s="473"/>
      <c r="C76" s="490"/>
      <c r="D76" s="466"/>
      <c r="E76" s="466"/>
      <c r="F76" s="466"/>
      <c r="G76" s="466"/>
      <c r="H76" s="466"/>
      <c r="I76" s="466"/>
      <c r="J76" s="466"/>
      <c r="K76" s="466"/>
      <c r="L76" s="466"/>
      <c r="M76" s="467"/>
      <c r="N76" s="2519"/>
      <c r="O76" s="2519"/>
      <c r="P76" s="2527"/>
      <c r="Q76" s="2505"/>
      <c r="R76" s="2436"/>
      <c r="S76" s="2436"/>
      <c r="T76" s="2436"/>
      <c r="U76" s="2436"/>
      <c r="V76" s="2436"/>
      <c r="W76" s="2436"/>
      <c r="X76" s="2436"/>
      <c r="Y76" s="2436"/>
      <c r="Z76" s="2436"/>
      <c r="AA76" s="2436"/>
      <c r="AB76" s="2436"/>
      <c r="AC76" s="2436"/>
    </row>
    <row r="77" spans="1:29" s="407" customFormat="1" ht="15.75" thickTop="1">
      <c r="A77" s="483"/>
      <c r="B77" s="468">
        <f>B25</f>
        <v>111</v>
      </c>
      <c r="C77" s="484"/>
      <c r="D77" s="484"/>
      <c r="E77" s="484"/>
      <c r="F77" s="484"/>
      <c r="G77" s="484"/>
      <c r="H77" s="485"/>
      <c r="I77" s="485"/>
      <c r="J77" s="485"/>
      <c r="K77" s="485"/>
      <c r="L77" s="486"/>
      <c r="M77" s="487"/>
      <c r="N77" s="2520"/>
      <c r="O77" s="2520"/>
      <c r="P77" s="2528"/>
      <c r="Q77" s="2512"/>
      <c r="R77" s="2490"/>
      <c r="S77" s="2490"/>
      <c r="T77" s="2490"/>
      <c r="U77" s="2490"/>
      <c r="V77" s="2490"/>
      <c r="W77" s="2490"/>
      <c r="X77" s="2490"/>
      <c r="Y77" s="2490"/>
      <c r="Z77" s="2490"/>
      <c r="AA77" s="2490"/>
      <c r="AB77" s="2490"/>
      <c r="AC77" s="2490"/>
    </row>
    <row r="78" spans="1:29" s="407" customFormat="1" ht="15.75" thickBot="1">
      <c r="A78" s="483"/>
      <c r="B78" s="473"/>
      <c r="C78" s="490"/>
      <c r="D78" s="490"/>
      <c r="E78" s="490"/>
      <c r="F78" s="490"/>
      <c r="G78" s="466"/>
      <c r="H78" s="466"/>
      <c r="I78" s="466"/>
      <c r="J78" s="466"/>
      <c r="K78" s="466"/>
      <c r="L78" s="466"/>
      <c r="M78" s="467"/>
      <c r="N78" s="2520"/>
      <c r="O78" s="2520"/>
      <c r="P78" s="2528"/>
      <c r="Q78" s="2512"/>
      <c r="R78" s="2490"/>
      <c r="S78" s="2490"/>
      <c r="T78" s="2490"/>
      <c r="U78" s="2490"/>
      <c r="V78" s="2490"/>
      <c r="W78" s="2490"/>
      <c r="X78" s="2490"/>
      <c r="Y78" s="2490"/>
      <c r="Z78" s="2490"/>
      <c r="AA78" s="2490"/>
      <c r="AB78" s="2490"/>
      <c r="AC78" s="2490"/>
    </row>
    <row r="79" spans="1:29" ht="27.75" thickTop="1">
      <c r="A79" s="378" t="s">
        <v>1692</v>
      </c>
      <c r="B79" s="459" t="s">
        <v>1851</v>
      </c>
      <c r="C79" s="460" t="str">
        <f>C26</f>
        <v>车库</v>
      </c>
      <c r="D79" s="461"/>
      <c r="E79" s="461"/>
      <c r="F79" s="461"/>
      <c r="G79" s="461"/>
      <c r="H79" s="461"/>
      <c r="I79" s="461"/>
      <c r="J79" s="461"/>
      <c r="K79" s="462"/>
      <c r="L79" s="463"/>
      <c r="M79" s="464"/>
      <c r="N79" s="2518"/>
      <c r="O79" s="2518"/>
      <c r="P79" s="2527"/>
      <c r="Q79" s="2505"/>
      <c r="R79" s="2484"/>
      <c r="S79" s="2484"/>
      <c r="T79" s="2484"/>
      <c r="U79" s="2484"/>
      <c r="V79" s="2484"/>
      <c r="W79" s="2484"/>
      <c r="X79" s="2484"/>
      <c r="Y79" s="2484"/>
      <c r="Z79" s="2484"/>
      <c r="AA79" s="2484"/>
      <c r="AB79" s="2484"/>
      <c r="AC79" s="2484"/>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9"/>
      <c r="O80" s="2519"/>
      <c r="P80" s="2527"/>
      <c r="Q80" s="2505"/>
      <c r="R80" s="2484"/>
      <c r="S80" s="2484"/>
      <c r="T80" s="2484"/>
      <c r="U80" s="2484"/>
      <c r="V80" s="2484"/>
      <c r="W80" s="2484"/>
      <c r="X80" s="2484"/>
      <c r="Y80" s="2484"/>
      <c r="Z80" s="2484"/>
      <c r="AA80" s="2484"/>
      <c r="AB80" s="2484"/>
      <c r="AC80" s="2484"/>
    </row>
    <row r="81" spans="1:29" ht="15.75" thickTop="1">
      <c r="A81" s="366"/>
      <c r="B81" s="468" t="s">
        <v>1852</v>
      </c>
      <c r="C81" s="581"/>
      <c r="D81" s="581"/>
      <c r="E81" s="581"/>
      <c r="F81" s="581"/>
      <c r="G81" s="581"/>
      <c r="H81" s="581"/>
      <c r="I81" s="581"/>
      <c r="J81" s="581"/>
      <c r="K81" s="582"/>
      <c r="L81" s="583"/>
      <c r="M81" s="584"/>
      <c r="N81" s="2517"/>
      <c r="O81" s="2517"/>
      <c r="P81" s="2527"/>
      <c r="Q81" s="2505"/>
      <c r="R81" s="2484"/>
      <c r="S81" s="2484"/>
      <c r="T81" s="2484"/>
      <c r="U81" s="2484"/>
      <c r="V81" s="2484"/>
      <c r="W81" s="2484"/>
      <c r="X81" s="2484"/>
      <c r="Y81" s="2484"/>
      <c r="Z81" s="2484"/>
      <c r="AA81" s="2484"/>
      <c r="AB81" s="2484"/>
      <c r="AC81" s="2484"/>
    </row>
    <row r="82" spans="1:29" s="407" customFormat="1" ht="15.75" thickBot="1">
      <c r="A82" s="483"/>
      <c r="B82" s="473"/>
      <c r="C82" s="490"/>
      <c r="D82" s="466"/>
      <c r="E82" s="466"/>
      <c r="F82" s="466"/>
      <c r="G82" s="466"/>
      <c r="H82" s="466"/>
      <c r="I82" s="466"/>
      <c r="J82" s="466"/>
      <c r="K82" s="466"/>
      <c r="L82" s="466"/>
      <c r="M82" s="467"/>
      <c r="N82" s="2519"/>
      <c r="O82" s="2519"/>
      <c r="P82" s="2528"/>
      <c r="Q82" s="2512"/>
      <c r="R82" s="2490"/>
      <c r="S82" s="2490"/>
      <c r="T82" s="2490"/>
      <c r="U82" s="2490"/>
      <c r="V82" s="2490"/>
      <c r="W82" s="2490"/>
      <c r="X82" s="2490"/>
      <c r="Y82" s="2490"/>
      <c r="Z82" s="2490"/>
      <c r="AA82" s="2490"/>
      <c r="AB82" s="2490"/>
      <c r="AC82" s="2490"/>
    </row>
    <row r="83" spans="1:29" ht="15" thickTop="1">
      <c r="A83" s="408"/>
      <c r="B83" s="468" t="s">
        <v>1738</v>
      </c>
      <c r="C83" s="484"/>
      <c r="D83" s="484"/>
      <c r="E83" s="512"/>
      <c r="F83" s="512"/>
      <c r="G83" s="512"/>
      <c r="H83" s="512"/>
      <c r="I83" s="512"/>
      <c r="J83" s="512"/>
      <c r="K83" s="513"/>
      <c r="L83" s="514"/>
      <c r="M83" s="515"/>
      <c r="N83" s="2518"/>
      <c r="O83" s="2518"/>
      <c r="P83" s="2527"/>
      <c r="Q83" s="2505"/>
      <c r="R83" s="2484"/>
      <c r="S83" s="2484"/>
      <c r="T83" s="2484"/>
      <c r="U83" s="2484"/>
      <c r="V83" s="2484"/>
      <c r="W83" s="2484"/>
      <c r="X83" s="2484"/>
      <c r="Y83" s="2484"/>
      <c r="Z83" s="2484"/>
      <c r="AA83" s="2484"/>
      <c r="AB83" s="2484"/>
      <c r="AC83" s="2484"/>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8"/>
      <c r="B85" s="468" t="s">
        <v>1853</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8"/>
      <c r="O85" s="2518"/>
      <c r="P85" s="2527"/>
      <c r="Q85" s="2505"/>
      <c r="R85" s="2484"/>
      <c r="S85" s="2484"/>
      <c r="T85" s="2484"/>
      <c r="U85" s="2484"/>
      <c r="V85" s="2484"/>
      <c r="W85" s="2484"/>
      <c r="X85" s="2484"/>
      <c r="Y85" s="2484"/>
      <c r="Z85" s="2484"/>
      <c r="AA85" s="2484"/>
      <c r="AB85" s="2484"/>
      <c r="AC85" s="2484"/>
    </row>
    <row r="86" spans="1:29">
      <c r="A86" s="408"/>
      <c r="B86" s="476"/>
      <c r="C86" s="529">
        <v>0.5</v>
      </c>
      <c r="D86" s="529">
        <v>0.6</v>
      </c>
      <c r="E86" s="529">
        <v>0.7</v>
      </c>
      <c r="F86" s="529">
        <v>0.8</v>
      </c>
      <c r="G86" s="529">
        <v>0.9</v>
      </c>
      <c r="H86" s="529">
        <v>1.0001</v>
      </c>
      <c r="I86" s="547"/>
      <c r="J86" s="547"/>
      <c r="K86" s="548"/>
      <c r="L86" s="549"/>
      <c r="M86" s="550"/>
      <c r="N86" s="2518"/>
      <c r="O86" s="2518"/>
      <c r="P86" s="2527"/>
      <c r="Q86" s="2505"/>
      <c r="R86" s="2484"/>
      <c r="S86" s="2484"/>
      <c r="T86" s="2484"/>
      <c r="U86" s="2484"/>
      <c r="V86" s="2484"/>
      <c r="W86" s="2484"/>
      <c r="X86" s="2484"/>
      <c r="Y86" s="2484"/>
      <c r="Z86" s="2484"/>
      <c r="AA86" s="2484"/>
      <c r="AB86" s="2484"/>
      <c r="AC86" s="2484"/>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8"/>
      <c r="B88" s="476" t="s">
        <v>1854</v>
      </c>
      <c r="C88" s="461"/>
      <c r="D88" s="461"/>
      <c r="E88" s="461"/>
      <c r="F88" s="461"/>
      <c r="G88" s="461"/>
      <c r="H88" s="461"/>
      <c r="I88" s="461"/>
      <c r="J88" s="461"/>
      <c r="K88" s="462"/>
      <c r="L88" s="463"/>
      <c r="M88" s="464"/>
      <c r="N88" s="2518"/>
      <c r="O88" s="2518"/>
      <c r="P88" s="2527"/>
      <c r="Q88" s="2505"/>
      <c r="R88" s="2484"/>
      <c r="S88" s="2484"/>
      <c r="T88" s="2484"/>
      <c r="U88" s="2484"/>
      <c r="V88" s="2484"/>
      <c r="W88" s="2484"/>
      <c r="X88" s="2484"/>
      <c r="Y88" s="2484"/>
      <c r="Z88" s="2484"/>
      <c r="AA88" s="2484"/>
      <c r="AB88" s="2484"/>
      <c r="AC88" s="2484"/>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9"/>
      <c r="O89" s="2519"/>
      <c r="P89" s="2527"/>
      <c r="Q89" s="2505"/>
      <c r="R89" s="2484"/>
      <c r="S89" s="2484"/>
      <c r="T89" s="2484"/>
      <c r="U89" s="2484"/>
      <c r="V89" s="2484"/>
      <c r="W89" s="2484"/>
      <c r="X89" s="2484"/>
      <c r="Y89" s="2484"/>
      <c r="Z89" s="2484"/>
      <c r="AA89" s="2484"/>
      <c r="AB89" s="2484"/>
      <c r="AC89" s="2484"/>
    </row>
    <row r="90" spans="1:29" s="407" customFormat="1" ht="15" thickTop="1">
      <c r="A90" s="405"/>
      <c r="B90" s="468" t="s">
        <v>1855</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0"/>
      <c r="O90" s="2520"/>
      <c r="P90" s="2528"/>
      <c r="Q90" s="2512"/>
      <c r="R90" s="2490"/>
      <c r="S90" s="2490"/>
      <c r="T90" s="2490"/>
      <c r="U90" s="2490"/>
      <c r="V90" s="2490"/>
      <c r="W90" s="2490"/>
      <c r="X90" s="2490"/>
      <c r="Y90" s="2490"/>
      <c r="Z90" s="2490"/>
      <c r="AA90" s="2490"/>
      <c r="AB90" s="2490"/>
      <c r="AC90" s="2490"/>
    </row>
    <row r="91" spans="1:29" s="407" customFormat="1">
      <c r="A91" s="405"/>
      <c r="B91" s="476"/>
      <c r="C91" s="6"/>
      <c r="D91" s="6"/>
      <c r="E91" s="6"/>
      <c r="F91" s="6"/>
      <c r="G91" s="6"/>
      <c r="H91" s="6"/>
      <c r="I91" s="6"/>
      <c r="J91" s="523"/>
      <c r="K91" s="523"/>
      <c r="L91" s="524"/>
      <c r="M91" s="525"/>
      <c r="N91" s="2520"/>
      <c r="O91" s="2520"/>
      <c r="P91" s="2528"/>
      <c r="Q91" s="2512"/>
      <c r="R91" s="2490"/>
      <c r="S91" s="2490"/>
      <c r="T91" s="2490"/>
      <c r="U91" s="2490"/>
      <c r="V91" s="2490"/>
      <c r="W91" s="2490"/>
      <c r="X91" s="2490"/>
      <c r="Y91" s="2490"/>
      <c r="Z91" s="2490"/>
      <c r="AA91" s="2490"/>
      <c r="AB91" s="2490"/>
      <c r="AC91" s="2490"/>
    </row>
    <row r="92" spans="1:29" s="407" customFormat="1" ht="15.75" thickBot="1">
      <c r="A92" s="483"/>
      <c r="B92" s="473"/>
      <c r="C92" s="490"/>
      <c r="D92" s="466"/>
      <c r="E92" s="466"/>
      <c r="F92" s="466"/>
      <c r="G92" s="466"/>
      <c r="H92" s="466"/>
      <c r="I92" s="466"/>
      <c r="J92" s="466"/>
      <c r="K92" s="466"/>
      <c r="L92" s="466"/>
      <c r="M92" s="467"/>
      <c r="N92" s="2520"/>
      <c r="O92" s="2520"/>
      <c r="P92" s="2528"/>
      <c r="Q92" s="2512"/>
      <c r="R92" s="2490"/>
      <c r="S92" s="2490"/>
      <c r="T92" s="2490"/>
      <c r="U92" s="2490"/>
      <c r="V92" s="2490"/>
      <c r="W92" s="2490"/>
      <c r="X92" s="2490"/>
      <c r="Y92" s="2490"/>
      <c r="Z92" s="2490"/>
      <c r="AA92" s="2490"/>
      <c r="AB92" s="2490"/>
      <c r="AC92" s="2490"/>
    </row>
    <row r="93" spans="1:29" ht="15" thickTop="1">
      <c r="A93" s="408"/>
      <c r="B93" s="468" t="s">
        <v>1856</v>
      </c>
      <c r="C93" s="484"/>
      <c r="D93" s="484"/>
      <c r="E93" s="512"/>
      <c r="F93" s="512"/>
      <c r="G93" s="512"/>
      <c r="H93" s="512"/>
      <c r="I93" s="512"/>
      <c r="J93" s="512"/>
      <c r="K93" s="513"/>
      <c r="L93" s="514"/>
      <c r="M93" s="515"/>
      <c r="N93" s="2518"/>
      <c r="O93" s="2518"/>
      <c r="P93" s="2527"/>
      <c r="Q93" s="2505"/>
      <c r="R93" s="2484"/>
      <c r="S93" s="2484"/>
      <c r="T93" s="2484"/>
      <c r="U93" s="2484"/>
      <c r="V93" s="2484"/>
      <c r="W93" s="2484"/>
      <c r="X93" s="2484"/>
      <c r="Y93" s="2484"/>
      <c r="Z93" s="2484"/>
      <c r="AA93" s="2484"/>
      <c r="AB93" s="2484"/>
      <c r="AC93" s="2484"/>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8"/>
      <c r="B95" s="468" t="s">
        <v>1857</v>
      </c>
      <c r="C95" s="461"/>
      <c r="D95" s="461"/>
      <c r="E95" s="461"/>
      <c r="F95" s="461"/>
      <c r="G95" s="461"/>
      <c r="H95" s="461"/>
      <c r="I95" s="461"/>
      <c r="J95" s="461"/>
      <c r="K95" s="462"/>
      <c r="L95" s="463"/>
      <c r="M95" s="464"/>
      <c r="N95" s="2518"/>
      <c r="O95" s="2518"/>
      <c r="P95" s="2527"/>
      <c r="Q95" s="2505"/>
      <c r="R95" s="2484"/>
      <c r="S95" s="2484"/>
      <c r="T95" s="2484"/>
      <c r="U95" s="2484"/>
      <c r="V95" s="2484"/>
      <c r="W95" s="2484"/>
      <c r="X95" s="2484"/>
      <c r="Y95" s="2484"/>
      <c r="Z95" s="2484"/>
      <c r="AA95" s="2484"/>
      <c r="AB95" s="2484"/>
      <c r="AC95" s="2484"/>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9"/>
      <c r="O96" s="2519"/>
      <c r="P96" s="2527"/>
      <c r="Q96" s="2505"/>
      <c r="R96" s="2484"/>
      <c r="S96" s="2484"/>
      <c r="T96" s="2484"/>
      <c r="U96" s="2484"/>
      <c r="V96" s="2484"/>
      <c r="W96" s="2484"/>
      <c r="X96" s="2484"/>
      <c r="Y96" s="2484"/>
      <c r="Z96" s="2484"/>
      <c r="AA96" s="2484"/>
      <c r="AB96" s="2484"/>
      <c r="AC96" s="2484"/>
    </row>
    <row r="97" spans="1:29" ht="15" thickTop="1">
      <c r="A97" s="408"/>
      <c r="B97" s="559">
        <f>B34</f>
        <v>111</v>
      </c>
      <c r="C97" s="479"/>
      <c r="D97" s="479"/>
      <c r="E97" s="479"/>
      <c r="F97" s="479"/>
      <c r="G97" s="484"/>
      <c r="H97" s="485"/>
      <c r="I97" s="485"/>
      <c r="J97" s="485"/>
      <c r="K97" s="485"/>
      <c r="L97" s="486"/>
      <c r="M97" s="487"/>
      <c r="N97" s="2519"/>
      <c r="O97" s="2519"/>
      <c r="P97" s="2532"/>
      <c r="Q97" s="2533"/>
      <c r="R97" s="2484"/>
      <c r="S97" s="2484"/>
      <c r="T97" s="2484"/>
      <c r="U97" s="2484"/>
      <c r="V97" s="2484"/>
      <c r="W97" s="2484"/>
      <c r="X97" s="2484"/>
      <c r="Y97" s="2484"/>
      <c r="Z97" s="2484"/>
      <c r="AA97" s="2484"/>
      <c r="AB97" s="2484"/>
      <c r="AC97" s="2484"/>
    </row>
    <row r="98" spans="1:29" ht="15.75" thickBot="1">
      <c r="A98" s="366"/>
      <c r="B98" s="473"/>
      <c r="C98" s="490"/>
      <c r="D98" s="466"/>
      <c r="E98" s="466"/>
      <c r="F98" s="466"/>
      <c r="G98" s="490"/>
      <c r="H98" s="492"/>
      <c r="I98" s="492"/>
      <c r="J98" s="492"/>
      <c r="K98" s="492"/>
      <c r="L98" s="492"/>
      <c r="M98" s="493"/>
      <c r="N98" s="2519"/>
      <c r="O98" s="2519"/>
      <c r="P98" s="2527"/>
      <c r="Q98" s="2505"/>
      <c r="R98" s="2484"/>
      <c r="S98" s="2484"/>
      <c r="T98" s="2484"/>
      <c r="U98" s="2484"/>
      <c r="V98" s="2484"/>
      <c r="W98" s="2484"/>
      <c r="X98" s="2484"/>
      <c r="Y98" s="2484"/>
      <c r="Z98" s="2484"/>
      <c r="AA98" s="2484"/>
      <c r="AB98" s="2484"/>
      <c r="AC98" s="2484"/>
    </row>
    <row r="99" spans="1:29" s="407" customFormat="1" ht="15" thickTop="1">
      <c r="A99" s="405"/>
      <c r="B99" s="468">
        <f>B35</f>
        <v>111</v>
      </c>
      <c r="C99" s="479"/>
      <c r="D99" s="479"/>
      <c r="E99" s="479"/>
      <c r="F99" s="479"/>
      <c r="G99" s="484"/>
      <c r="H99" s="485"/>
      <c r="I99" s="485"/>
      <c r="J99" s="485"/>
      <c r="K99" s="485"/>
      <c r="L99" s="486"/>
      <c r="M99" s="487"/>
      <c r="N99" s="2520"/>
      <c r="O99" s="2520"/>
      <c r="P99" s="2528"/>
      <c r="Q99" s="2512"/>
      <c r="R99" s="2490"/>
      <c r="S99" s="2490"/>
      <c r="T99" s="2490"/>
      <c r="U99" s="2490"/>
      <c r="V99" s="2490"/>
      <c r="W99" s="2490"/>
      <c r="X99" s="2490"/>
      <c r="Y99" s="2490"/>
      <c r="Z99" s="2490"/>
      <c r="AA99" s="2490"/>
      <c r="AB99" s="2490"/>
      <c r="AC99" s="2490"/>
    </row>
    <row r="100" spans="1:29" s="407" customFormat="1" ht="15.75" thickBot="1">
      <c r="A100" s="483"/>
      <c r="B100" s="465"/>
      <c r="C100" s="490"/>
      <c r="D100" s="466"/>
      <c r="E100" s="466"/>
      <c r="F100" s="466"/>
      <c r="G100" s="490"/>
      <c r="H100" s="492"/>
      <c r="I100" s="492"/>
      <c r="J100" s="492"/>
      <c r="K100" s="492"/>
      <c r="L100" s="492"/>
      <c r="M100" s="493"/>
      <c r="N100" s="2520"/>
      <c r="O100" s="2520"/>
      <c r="P100" s="2528"/>
      <c r="Q100" s="2512"/>
      <c r="R100" s="2490"/>
      <c r="S100" s="2490"/>
      <c r="T100" s="2490"/>
      <c r="U100" s="2490"/>
      <c r="V100" s="2490"/>
      <c r="W100" s="2490"/>
      <c r="X100" s="2490"/>
      <c r="Y100" s="2490"/>
      <c r="Z100" s="2490"/>
      <c r="AA100" s="2490"/>
      <c r="AB100" s="2490"/>
      <c r="AC100" s="2490"/>
    </row>
    <row r="101" spans="1:29" ht="15" thickTop="1">
      <c r="A101" s="408"/>
      <c r="B101" s="468">
        <f>B36</f>
        <v>111</v>
      </c>
      <c r="C101" s="484"/>
      <c r="D101" s="484"/>
      <c r="E101" s="484"/>
      <c r="F101" s="484"/>
      <c r="G101" s="484"/>
      <c r="H101" s="485"/>
      <c r="I101" s="485"/>
      <c r="J101" s="485"/>
      <c r="K101" s="485"/>
      <c r="L101" s="486"/>
      <c r="M101" s="487"/>
      <c r="N101" s="2518"/>
      <c r="O101" s="2518"/>
      <c r="P101" s="2527"/>
      <c r="Q101" s="2505"/>
      <c r="R101" s="2484"/>
      <c r="S101" s="2484"/>
      <c r="T101" s="2484"/>
      <c r="U101" s="2484"/>
      <c r="V101" s="2484"/>
      <c r="W101" s="2484"/>
      <c r="X101" s="2484"/>
      <c r="Y101" s="2484"/>
      <c r="Z101" s="2484"/>
      <c r="AA101" s="2484"/>
      <c r="AB101" s="2484"/>
      <c r="AC101" s="2484"/>
    </row>
    <row r="102" spans="1:29" ht="15.75" thickBot="1">
      <c r="A102" s="366"/>
      <c r="B102" s="473"/>
      <c r="C102" s="490"/>
      <c r="D102" s="490"/>
      <c r="E102" s="490"/>
      <c r="F102" s="490"/>
      <c r="G102" s="490"/>
      <c r="H102" s="492"/>
      <c r="I102" s="492"/>
      <c r="J102" s="492"/>
      <c r="K102" s="492"/>
      <c r="L102" s="492"/>
      <c r="M102" s="493"/>
      <c r="N102" s="2519"/>
      <c r="O102" s="2519"/>
      <c r="P102" s="2527"/>
      <c r="Q102" s="2505"/>
      <c r="R102" s="2484"/>
      <c r="S102" s="2484"/>
      <c r="T102" s="2484"/>
      <c r="U102" s="2484"/>
      <c r="V102" s="2484"/>
      <c r="W102" s="2484"/>
      <c r="X102" s="2484"/>
      <c r="Y102" s="2484"/>
      <c r="Z102" s="2484"/>
      <c r="AA102" s="2484"/>
      <c r="AB102" s="2484"/>
      <c r="AC102" s="2484"/>
    </row>
    <row r="103" spans="1:29" ht="15"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xr:uid="{00000000-0002-0000-2300-000000000000}">
      <formula1>项目类型</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G15 E15 C15 I15" xr:uid="{00000000-0002-0000-2300-000002000000}">
      <formula1>交通便捷度</formula1>
    </dataValidation>
    <dataValidation type="list" allowBlank="1" showInputMessage="1" showErrorMessage="1" sqref="C8 E8 G8 I8" xr:uid="{00000000-0002-0000-2300-000003000000}">
      <formula1>车位交易情况</formula1>
    </dataValidation>
    <dataValidation type="list" allowBlank="1" showInputMessage="1" showErrorMessage="1" sqref="E9 G9 I9" xr:uid="{00000000-0002-0000-2300-000004000000}">
      <formula1>车位用途</formula1>
    </dataValidation>
    <dataValidation type="list" allowBlank="1" showInputMessage="1" showErrorMessage="1" sqref="C22 E22 G22 I22" xr:uid="{00000000-0002-0000-2300-000005000000}">
      <formula1>车位楼层</formula1>
    </dataValidation>
    <dataValidation type="list" allowBlank="1" showInputMessage="1" showErrorMessage="1" sqref="C30 E30 G30 I30" xr:uid="{00000000-0002-0000-2300-000006000000}">
      <formula1>车位物业等级</formula1>
    </dataValidation>
    <dataValidation type="list" allowBlank="1" showInputMessage="1" showErrorMessage="1" sqref="C32 E32 G32 I32" xr:uid="{00000000-0002-0000-2300-000007000000}">
      <formula1>车位类型</formula1>
    </dataValidation>
    <dataValidation type="list" allowBlank="1" showInputMessage="1" showErrorMessage="1" sqref="C33 E33 G33 I33" xr:uid="{00000000-0002-0000-2300-000008000000}">
      <formula1>是否直接入户</formula1>
    </dataValidation>
    <dataValidation type="list" allowBlank="1" showInputMessage="1" showErrorMessage="1" sqref="B1" xr:uid="{00000000-0002-0000-2300-000009000000}">
      <formula1>地类判定</formula1>
    </dataValidation>
    <dataValidation type="list" allowBlank="1" showInputMessage="1" showErrorMessage="1" sqref="I26 E26 G26" xr:uid="{00000000-0002-0000-2300-00000A000000}">
      <formula1>车位配套类型</formula1>
    </dataValidation>
    <dataValidation type="list" allowBlank="1" showInputMessage="1" showErrorMessage="1" sqref="C28 E28 G28 I28" xr:uid="{00000000-0002-0000-2300-00000B000000}">
      <formula1>车位公共部分装修</formula1>
    </dataValidation>
    <dataValidation type="list" allowBlank="1" showInputMessage="1" showErrorMessage="1" sqref="B37" xr:uid="{00000000-0002-0000-2300-00000C000000}">
      <formula1>"元/平方米,元/车位"</formula1>
    </dataValidation>
    <dataValidation type="list" allowBlank="1" showInputMessage="1" showErrorMessage="1" sqref="C21 E21 G21 I21" xr:uid="{00000000-0002-0000-2300-00000D000000}">
      <formula1>环境</formula1>
    </dataValidation>
    <dataValidation type="list" allowBlank="1" showInputMessage="1" showErrorMessage="1" sqref="C19 E19 G19 I19" xr:uid="{00000000-0002-0000-2300-00000E000000}">
      <formula1>基础设施水平</formula1>
    </dataValidation>
    <dataValidation type="list" allowBlank="1" showInputMessage="1" showErrorMessage="1" sqref="F1" xr:uid="{00000000-0002-0000-2300-00000F000000}">
      <formula1>"售价,租金"</formula1>
    </dataValidation>
    <dataValidation type="list" allowBlank="1" showInputMessage="1" showErrorMessage="1" sqref="C2" xr:uid="{00000000-0002-0000-2300-000010000000}">
      <formula1>"需扣减承租人权益,——"</formula1>
    </dataValidation>
    <dataValidation type="list" allowBlank="1" showInputMessage="1" showErrorMessage="1" sqref="F2" xr:uid="{00000000-0002-0000-2300-000011000000}">
      <formula1>估价方法</formula1>
    </dataValidation>
    <dataValidation type="list" allowBlank="1" showInputMessage="1" showErrorMessage="1" sqref="D38" xr:uid="{00000000-0002-0000-2300-000012000000}">
      <formula1>"简单平均,加权平均"</formula1>
    </dataValidation>
    <dataValidation type="list" allowBlank="1" showInputMessage="1" showErrorMessage="1" sqref="E1" xr:uid="{00000000-0002-0000-23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rgb="FF92D050"/>
    <pageSetUpPr fitToPage="1"/>
  </sheetPr>
  <dimension ref="A1:AD241"/>
  <sheetViews>
    <sheetView view="pageBreakPreview" zoomScale="60" zoomScaleNormal="70" workbookViewId="0">
      <selection activeCell="H43" sqref="H43"/>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1829</v>
      </c>
      <c r="B1" s="1139" t="s">
        <v>3325</v>
      </c>
      <c r="C1" s="1140" t="s">
        <v>1660</v>
      </c>
      <c r="D1" s="1141"/>
      <c r="E1" s="3128"/>
      <c r="F1" s="1734"/>
      <c r="G1" s="1151" t="s">
        <v>1765</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1460</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1461</v>
      </c>
      <c r="F2" s="1738"/>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1462</v>
      </c>
      <c r="B3" s="535" t="e">
        <f>IF(C2="——",C37,ROUND(B2*10000/D3,0))</f>
        <v>#DIV/0!</v>
      </c>
      <c r="C3" s="343" t="s">
        <v>1766</v>
      </c>
      <c r="D3" s="342">
        <f>SUMIF('数据-汇总表'!$C19:$C33,D1,'数据-汇总表'!$E19:$E33)</f>
        <v>0</v>
      </c>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5">
      <c r="A4" s="344" t="s">
        <v>1767</v>
      </c>
      <c r="B4" s="345"/>
      <c r="C4" s="3392" t="s">
        <v>1768</v>
      </c>
      <c r="D4" s="3393"/>
      <c r="E4" s="3394" t="s">
        <v>1769</v>
      </c>
      <c r="F4" s="3395"/>
      <c r="G4" s="3392" t="s">
        <v>1770</v>
      </c>
      <c r="H4" s="3393"/>
      <c r="I4" s="3392" t="s">
        <v>1771</v>
      </c>
      <c r="J4" s="3393"/>
      <c r="K4" s="536" t="s">
        <v>1772</v>
      </c>
      <c r="L4" s="2483"/>
      <c r="M4" s="2484"/>
      <c r="N4" s="2484"/>
      <c r="O4" s="2484"/>
      <c r="P4" s="3396" t="s">
        <v>1773</v>
      </c>
      <c r="Q4" s="3397"/>
      <c r="R4" s="3402" t="s">
        <v>1769</v>
      </c>
      <c r="S4" s="3403"/>
      <c r="T4" s="3402" t="s">
        <v>1770</v>
      </c>
      <c r="U4" s="3403"/>
      <c r="V4" s="3375" t="s">
        <v>1771</v>
      </c>
      <c r="W4" s="3375"/>
      <c r="X4" s="1264"/>
      <c r="Y4" s="3402" t="s">
        <v>1773</v>
      </c>
      <c r="Z4" s="3403"/>
      <c r="AA4" s="3389" t="s">
        <v>1769</v>
      </c>
      <c r="AB4" s="3390" t="s">
        <v>1770</v>
      </c>
      <c r="AC4" s="3389" t="s">
        <v>1771</v>
      </c>
    </row>
    <row r="5" spans="1:29" ht="15">
      <c r="A5" s="347"/>
      <c r="B5" s="348"/>
      <c r="C5" s="3415" t="s">
        <v>1671</v>
      </c>
      <c r="D5" s="3411"/>
      <c r="E5" s="3468" t="s">
        <v>1672</v>
      </c>
      <c r="F5" s="3419"/>
      <c r="G5" s="3415" t="s">
        <v>1673</v>
      </c>
      <c r="H5" s="3411"/>
      <c r="I5" s="3415" t="s">
        <v>1674</v>
      </c>
      <c r="J5" s="3411"/>
      <c r="K5" s="536"/>
      <c r="L5" s="2483"/>
      <c r="M5" s="2484"/>
      <c r="N5" s="2484"/>
      <c r="O5" s="2484"/>
      <c r="P5" s="3398"/>
      <c r="Q5" s="3399"/>
      <c r="R5" s="3404"/>
      <c r="S5" s="3405"/>
      <c r="T5" s="3404"/>
      <c r="U5" s="3405"/>
      <c r="V5" s="3375"/>
      <c r="W5" s="3375"/>
      <c r="X5" s="1264"/>
      <c r="Y5" s="3404"/>
      <c r="Z5" s="3405"/>
      <c r="AA5" s="3390"/>
      <c r="AB5" s="3390"/>
      <c r="AC5" s="3390"/>
    </row>
    <row r="6" spans="1:29" ht="15.75" thickBot="1">
      <c r="A6" s="349"/>
      <c r="B6" s="350"/>
      <c r="C6" s="3408" t="s">
        <v>1675</v>
      </c>
      <c r="D6" s="3409"/>
      <c r="E6" s="3416" t="s">
        <v>1675</v>
      </c>
      <c r="F6" s="3417"/>
      <c r="G6" s="3408" t="s">
        <v>1675</v>
      </c>
      <c r="H6" s="3409"/>
      <c r="I6" s="3408" t="s">
        <v>1675</v>
      </c>
      <c r="J6" s="3409"/>
      <c r="K6" s="536" t="s">
        <v>1676</v>
      </c>
      <c r="L6" s="2483"/>
      <c r="M6" s="2484"/>
      <c r="N6" s="2484"/>
      <c r="O6" s="2484"/>
      <c r="P6" s="3400"/>
      <c r="Q6" s="3401"/>
      <c r="R6" s="3404"/>
      <c r="S6" s="3405"/>
      <c r="T6" s="3406"/>
      <c r="U6" s="3407"/>
      <c r="V6" s="3375"/>
      <c r="W6" s="3375"/>
      <c r="X6" s="1264"/>
      <c r="Y6" s="3406"/>
      <c r="Z6" s="3407"/>
      <c r="AA6" s="3391"/>
      <c r="AB6" s="3391"/>
      <c r="AC6" s="3391"/>
    </row>
    <row r="7" spans="1:29" s="102" customFormat="1" ht="15.75" thickBot="1">
      <c r="A7" s="351" t="s">
        <v>1677</v>
      </c>
      <c r="B7" s="352"/>
      <c r="C7" s="353">
        <f>'数据-取费表'!B2</f>
        <v>45022</v>
      </c>
      <c r="D7" s="354">
        <v>100</v>
      </c>
      <c r="E7" s="355"/>
      <c r="F7" s="356">
        <f>SUMIF(46:46,YEAR(E7)&amp;"-"&amp;MONTH(E7),47:47)</f>
        <v>0</v>
      </c>
      <c r="G7" s="1821"/>
      <c r="H7" s="354">
        <f>SUMIF(46:46,YEAR(G7)&amp;"-"&amp;MONTH(G7),47:47)</f>
        <v>0</v>
      </c>
      <c r="I7" s="355"/>
      <c r="J7" s="354">
        <f>SUMIF(46:46,YEAR(I7)&amp;"-"&amp;MONTH(I7),47:47)</f>
        <v>0</v>
      </c>
      <c r="K7" s="38"/>
      <c r="L7" s="2485"/>
      <c r="M7" s="2436"/>
      <c r="N7" s="2436"/>
      <c r="O7" s="2436"/>
      <c r="P7" s="3412" t="s">
        <v>1678</v>
      </c>
      <c r="Q7" s="3414"/>
      <c r="R7" s="663" t="s">
        <v>14</v>
      </c>
      <c r="S7" s="664">
        <f t="shared" ref="S7:S14" si="0">F7</f>
        <v>0</v>
      </c>
      <c r="T7" s="663" t="s">
        <v>14</v>
      </c>
      <c r="U7" s="664">
        <f t="shared" ref="U7:U14" si="1">H7</f>
        <v>0</v>
      </c>
      <c r="V7" s="663" t="s">
        <v>14</v>
      </c>
      <c r="W7" s="664">
        <f t="shared" ref="W7:W14" si="2">J7</f>
        <v>0</v>
      </c>
      <c r="X7" s="665"/>
      <c r="Y7" s="3412" t="s">
        <v>1678</v>
      </c>
      <c r="Z7" s="3413"/>
      <c r="AA7" s="50" t="e">
        <f>D7/F7</f>
        <v>#DIV/0!</v>
      </c>
      <c r="AB7" s="50" t="e">
        <f>D7/H7</f>
        <v>#DIV/0!</v>
      </c>
      <c r="AC7" s="50" t="e">
        <f>D7/J7</f>
        <v>#DIV/0!</v>
      </c>
    </row>
    <row r="8" spans="1:29" s="102" customFormat="1" ht="15.75" thickBot="1">
      <c r="A8" s="351" t="s">
        <v>1679</v>
      </c>
      <c r="B8" s="352"/>
      <c r="C8" s="357"/>
      <c r="D8" s="354">
        <v>100</v>
      </c>
      <c r="E8" s="357"/>
      <c r="F8" s="356">
        <f>SUMIF(49:49,E8,50:50)-SUMIF(49:49,C8,50:50)+100</f>
        <v>100</v>
      </c>
      <c r="G8" s="357"/>
      <c r="H8" s="354">
        <f>SUMIF(49:49,G8,50:50)-SUMIF(49:49,C8,50:50)+100</f>
        <v>100</v>
      </c>
      <c r="I8" s="357"/>
      <c r="J8" s="354">
        <f>SUMIF(49:49,I8,50:50)-SUMIF(49:49,C8,50:50)+100</f>
        <v>100</v>
      </c>
      <c r="K8" s="38"/>
      <c r="L8" s="2485"/>
      <c r="M8" s="2436"/>
      <c r="N8" s="2436"/>
      <c r="O8" s="2436"/>
      <c r="P8" s="3412" t="s">
        <v>1681</v>
      </c>
      <c r="Q8" s="3413"/>
      <c r="R8" s="663" t="s">
        <v>14</v>
      </c>
      <c r="S8" s="664">
        <f t="shared" si="0"/>
        <v>100</v>
      </c>
      <c r="T8" s="663" t="s">
        <v>14</v>
      </c>
      <c r="U8" s="664">
        <f t="shared" si="1"/>
        <v>100</v>
      </c>
      <c r="V8" s="663" t="s">
        <v>14</v>
      </c>
      <c r="W8" s="664">
        <f t="shared" si="2"/>
        <v>100</v>
      </c>
      <c r="X8" s="665"/>
      <c r="Y8" s="3412" t="s">
        <v>1681</v>
      </c>
      <c r="Z8" s="3413"/>
      <c r="AA8" s="50">
        <f t="shared" ref="AA8:AA34" si="3">D8/F8</f>
        <v>1</v>
      </c>
      <c r="AB8" s="50">
        <f t="shared" ref="AB8:AB34" si="4">D8/H8</f>
        <v>1</v>
      </c>
      <c r="AC8" s="50">
        <f t="shared" ref="AC8:AC34" si="5">D8/J8</f>
        <v>1</v>
      </c>
    </row>
    <row r="9" spans="1:29" s="102" customFormat="1">
      <c r="A9" s="358" t="s">
        <v>1682</v>
      </c>
      <c r="B9" s="60" t="s">
        <v>1683</v>
      </c>
      <c r="C9" s="359"/>
      <c r="D9" s="59">
        <v>100</v>
      </c>
      <c r="E9" s="361"/>
      <c r="F9" s="60">
        <f>SUMIF(51:51,E9,52:52)-SUMIF(51:51,C9,52:52)+100</f>
        <v>100</v>
      </c>
      <c r="G9" s="361"/>
      <c r="H9" s="59">
        <f>SUMIF(51:51,G9,52:52)-SUMIF(51:51,C9,52:52)+100</f>
        <v>100</v>
      </c>
      <c r="I9" s="361"/>
      <c r="J9" s="59">
        <f>SUMIF(51:51,I9,52:52)-SUMIF(51:51,C9,52:52)+100</f>
        <v>100</v>
      </c>
      <c r="K9" s="38"/>
      <c r="L9" s="2485"/>
      <c r="M9" s="2436"/>
      <c r="N9" s="2436"/>
      <c r="O9" s="2537"/>
      <c r="P9" s="3374" t="s">
        <v>1684</v>
      </c>
      <c r="Q9" s="529" t="str">
        <f t="shared" ref="Q9:Q14" si="6">B9</f>
        <v>用途</v>
      </c>
      <c r="R9" s="663" t="s">
        <v>14</v>
      </c>
      <c r="S9" s="664">
        <f t="shared" si="0"/>
        <v>100</v>
      </c>
      <c r="T9" s="663" t="s">
        <v>14</v>
      </c>
      <c r="U9" s="664">
        <f t="shared" si="1"/>
        <v>100</v>
      </c>
      <c r="V9" s="663" t="s">
        <v>14</v>
      </c>
      <c r="W9" s="664">
        <f t="shared" si="2"/>
        <v>100</v>
      </c>
      <c r="X9" s="665"/>
      <c r="Y9" s="3281" t="s">
        <v>1685</v>
      </c>
      <c r="Z9" s="50" t="str">
        <f t="shared" ref="Z9:Z14" si="7">Q9</f>
        <v>用途</v>
      </c>
      <c r="AA9" s="50">
        <f t="shared" si="3"/>
        <v>1</v>
      </c>
      <c r="AB9" s="50">
        <f t="shared" si="4"/>
        <v>1</v>
      </c>
      <c r="AC9" s="50">
        <f t="shared" si="5"/>
        <v>1</v>
      </c>
    </row>
    <row r="10" spans="1:29" s="365" customFormat="1" ht="27">
      <c r="A10" s="362"/>
      <c r="B10" s="363" t="s">
        <v>1686</v>
      </c>
      <c r="C10" s="3129"/>
      <c r="D10" s="119">
        <v>100</v>
      </c>
      <c r="E10" s="3129"/>
      <c r="F10" s="363">
        <f>SUMIF(53:53,E10,54:54)-SUMIF(53:53,C10,54:54)+100</f>
        <v>100</v>
      </c>
      <c r="G10" s="3129"/>
      <c r="H10" s="119">
        <f>SUMIF(53:53,G10,54:54)-SUMIF(53:53,C10,54:54)+100</f>
        <v>100</v>
      </c>
      <c r="I10" s="3129"/>
      <c r="J10" s="119">
        <f>SUMIF(53:53,I10,54:54)-SUMIF(53:53,C10,54:54)+100</f>
        <v>100</v>
      </c>
      <c r="K10" s="38"/>
      <c r="L10" s="2486"/>
      <c r="M10" s="2487"/>
      <c r="N10" s="2487"/>
      <c r="O10" s="2538"/>
      <c r="P10" s="3374"/>
      <c r="Q10" s="529" t="str">
        <f t="shared" si="6"/>
        <v>土地使用年限（年）</v>
      </c>
      <c r="R10" s="663" t="s">
        <v>14</v>
      </c>
      <c r="S10" s="664">
        <f t="shared" si="0"/>
        <v>100</v>
      </c>
      <c r="T10" s="663" t="s">
        <v>14</v>
      </c>
      <c r="U10" s="664">
        <f t="shared" si="1"/>
        <v>100</v>
      </c>
      <c r="V10" s="663" t="s">
        <v>14</v>
      </c>
      <c r="W10" s="664">
        <f t="shared" si="2"/>
        <v>100</v>
      </c>
      <c r="X10" s="665"/>
      <c r="Y10" s="3281"/>
      <c r="Z10" s="50" t="str">
        <f t="shared" si="7"/>
        <v>土地使用年限（年）</v>
      </c>
      <c r="AA10" s="50">
        <f t="shared" si="3"/>
        <v>1</v>
      </c>
      <c r="AB10" s="50">
        <f t="shared" si="4"/>
        <v>1</v>
      </c>
      <c r="AC10" s="50">
        <f t="shared" si="5"/>
        <v>1</v>
      </c>
    </row>
    <row r="11" spans="1:29" ht="15">
      <c r="A11" s="366"/>
      <c r="B11" s="446">
        <v>111</v>
      </c>
      <c r="C11" s="370"/>
      <c r="D11" s="119">
        <v>100</v>
      </c>
      <c r="E11" s="406"/>
      <c r="F11" s="363">
        <f>SUMIF(55:55,E11,56:56)-SUMIF(55:55,C11,56:56)+100</f>
        <v>100</v>
      </c>
      <c r="G11" s="406"/>
      <c r="H11" s="119">
        <f>SUMIF(55:55,G11,56:56)-SUMIF(55:55,C11,56:56)+100</f>
        <v>100</v>
      </c>
      <c r="I11" s="406"/>
      <c r="J11" s="119">
        <f>SUMIF(55:55,I11,56:56)-SUMIF(55:55,C11,56:56)+100</f>
        <v>100</v>
      </c>
      <c r="K11" s="538"/>
      <c r="L11" s="2488"/>
      <c r="M11" s="2484"/>
      <c r="N11" s="2484"/>
      <c r="O11" s="2539"/>
      <c r="P11" s="3374"/>
      <c r="Q11" s="529">
        <f t="shared" si="6"/>
        <v>111</v>
      </c>
      <c r="R11" s="663" t="s">
        <v>14</v>
      </c>
      <c r="S11" s="664">
        <f t="shared" si="0"/>
        <v>100</v>
      </c>
      <c r="T11" s="663" t="s">
        <v>14</v>
      </c>
      <c r="U11" s="664">
        <f t="shared" si="1"/>
        <v>100</v>
      </c>
      <c r="V11" s="663" t="s">
        <v>14</v>
      </c>
      <c r="W11" s="664">
        <f t="shared" si="2"/>
        <v>100</v>
      </c>
      <c r="X11" s="665"/>
      <c r="Y11" s="3281"/>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9">
        <f>SUMIF(57:57,G12,58:58)-SUMIF(57:57,C12,58:58)+100</f>
        <v>100</v>
      </c>
      <c r="I12" s="406"/>
      <c r="J12" s="119">
        <f>SUMIF(57:57,I12,58:58)-SUMIF(57:57,C12,58:58)+100</f>
        <v>100</v>
      </c>
      <c r="K12" s="538"/>
      <c r="L12" s="2485"/>
      <c r="M12" s="2436"/>
      <c r="N12" s="2436"/>
      <c r="O12" s="2537"/>
      <c r="P12" s="3374"/>
      <c r="Q12" s="529">
        <f t="shared" si="6"/>
        <v>111</v>
      </c>
      <c r="R12" s="663" t="s">
        <v>14</v>
      </c>
      <c r="S12" s="664">
        <f t="shared" si="0"/>
        <v>100</v>
      </c>
      <c r="T12" s="663" t="s">
        <v>14</v>
      </c>
      <c r="U12" s="664">
        <f t="shared" si="1"/>
        <v>100</v>
      </c>
      <c r="V12" s="663" t="s">
        <v>14</v>
      </c>
      <c r="W12" s="664">
        <f t="shared" si="2"/>
        <v>100</v>
      </c>
      <c r="X12" s="665"/>
      <c r="Y12" s="3281"/>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89"/>
      <c r="M13" s="2484"/>
      <c r="N13" s="2484"/>
      <c r="O13" s="2539"/>
      <c r="P13" s="3374"/>
      <c r="Q13" s="529">
        <f t="shared" si="6"/>
        <v>111</v>
      </c>
      <c r="R13" s="663" t="s">
        <v>14</v>
      </c>
      <c r="S13" s="664">
        <f t="shared" si="0"/>
        <v>100</v>
      </c>
      <c r="T13" s="663" t="s">
        <v>14</v>
      </c>
      <c r="U13" s="664">
        <f t="shared" si="1"/>
        <v>100</v>
      </c>
      <c r="V13" s="663" t="s">
        <v>14</v>
      </c>
      <c r="W13" s="664">
        <f t="shared" si="2"/>
        <v>100</v>
      </c>
      <c r="X13" s="665"/>
      <c r="Y13" s="3281"/>
      <c r="Z13" s="50">
        <f t="shared" si="7"/>
        <v>111</v>
      </c>
      <c r="AA13" s="50">
        <f t="shared" si="3"/>
        <v>1</v>
      </c>
      <c r="AB13" s="50">
        <f t="shared" si="4"/>
        <v>1</v>
      </c>
      <c r="AC13" s="50">
        <f t="shared" si="5"/>
        <v>1</v>
      </c>
    </row>
    <row r="14" spans="1:29" ht="15">
      <c r="A14" s="378" t="s">
        <v>1688</v>
      </c>
      <c r="B14" s="58" t="s">
        <v>1831</v>
      </c>
      <c r="C14" s="1818" t="str">
        <f>IF(B1="工业",估价对象房地状况!G4,估价对象房地状况!C6)</f>
        <v>较好</v>
      </c>
      <c r="D14" s="379">
        <v>100</v>
      </c>
      <c r="E14" s="380"/>
      <c r="F14" s="381">
        <f>SUMIF(61:61,E15,62:62)-SUMIF(61:61,C15,62:62)+100</f>
        <v>100</v>
      </c>
      <c r="G14" s="382"/>
      <c r="H14" s="379">
        <f>SUMIF(61:61,G15,62:62)-SUMIF(61:61,C15,62:62)+100</f>
        <v>100</v>
      </c>
      <c r="I14" s="380"/>
      <c r="J14" s="379">
        <f>SUMIF(61:61,I15,62:62)-SUMIF(61:61,C15,62:62)+100</f>
        <v>100</v>
      </c>
      <c r="K14" s="539"/>
      <c r="L14" s="2489"/>
      <c r="M14" s="2484"/>
      <c r="N14" s="2484"/>
      <c r="O14" s="2539"/>
      <c r="P14" s="3381" t="s">
        <v>1689</v>
      </c>
      <c r="Q14" s="1262" t="str">
        <f t="shared" si="6"/>
        <v>交通便捷度</v>
      </c>
      <c r="R14" s="666" t="s">
        <v>14</v>
      </c>
      <c r="S14" s="667">
        <f t="shared" si="0"/>
        <v>100</v>
      </c>
      <c r="T14" s="666" t="s">
        <v>14</v>
      </c>
      <c r="U14" s="667">
        <f t="shared" si="1"/>
        <v>100</v>
      </c>
      <c r="V14" s="666" t="s">
        <v>14</v>
      </c>
      <c r="W14" s="667">
        <f t="shared" si="2"/>
        <v>100</v>
      </c>
      <c r="X14" s="1264"/>
      <c r="Y14" s="3381" t="s">
        <v>1689</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89"/>
      <c r="M15" s="2484"/>
      <c r="N15" s="2484"/>
      <c r="O15" s="2539"/>
      <c r="P15" s="3382"/>
      <c r="Q15" s="1262"/>
      <c r="R15" s="666"/>
      <c r="S15" s="667"/>
      <c r="T15" s="666"/>
      <c r="U15" s="667"/>
      <c r="V15" s="666"/>
      <c r="W15" s="667"/>
      <c r="X15" s="1264"/>
      <c r="Y15" s="3382"/>
      <c r="Z15" s="1263"/>
      <c r="AA15" s="1263">
        <v>1</v>
      </c>
      <c r="AB15" s="1263">
        <v>1</v>
      </c>
      <c r="AC15" s="1263">
        <v>1</v>
      </c>
    </row>
    <row r="16" spans="1:29" ht="15">
      <c r="A16" s="366"/>
      <c r="B16" s="389" t="s">
        <v>1810</v>
      </c>
      <c r="C16" s="1753" t="str">
        <f>IF(B1="工业",估价对象房地状况!G5,估价对象房地状况!C7)</f>
        <v>好</v>
      </c>
      <c r="D16" s="393">
        <v>100</v>
      </c>
      <c r="E16" s="395"/>
      <c r="F16" s="396">
        <f>SUMIF(63:63,E17,64:64)-SUMIF(63:63,C17,64:64)+100</f>
        <v>100</v>
      </c>
      <c r="G16" s="397"/>
      <c r="H16" s="393">
        <f>SUMIF(63:63,G17,64:64)-SUMIF(63:63,C17,64:64)+100</f>
        <v>100</v>
      </c>
      <c r="I16" s="395"/>
      <c r="J16" s="393">
        <f>SUMIF(63:63,I17,64:64)-SUMIF(63:63,C17,64:64)+100</f>
        <v>100</v>
      </c>
      <c r="K16" s="539"/>
      <c r="L16" s="2489"/>
      <c r="M16" s="2484"/>
      <c r="N16" s="2484"/>
      <c r="O16" s="2539"/>
      <c r="P16" s="3382"/>
      <c r="Q16" s="1262" t="str">
        <f>B16</f>
        <v>公共配套设施</v>
      </c>
      <c r="R16" s="666" t="s">
        <v>14</v>
      </c>
      <c r="S16" s="667">
        <f>F16</f>
        <v>100</v>
      </c>
      <c r="T16" s="666" t="s">
        <v>14</v>
      </c>
      <c r="U16" s="667">
        <f>H16</f>
        <v>100</v>
      </c>
      <c r="V16" s="666" t="s">
        <v>14</v>
      </c>
      <c r="W16" s="667">
        <f>J16</f>
        <v>100</v>
      </c>
      <c r="X16" s="1264"/>
      <c r="Y16" s="3382"/>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89"/>
      <c r="M17" s="2484"/>
      <c r="N17" s="2484"/>
      <c r="O17" s="2539"/>
      <c r="P17" s="3382"/>
      <c r="Q17" s="1262"/>
      <c r="R17" s="666"/>
      <c r="S17" s="667"/>
      <c r="T17" s="666"/>
      <c r="U17" s="667"/>
      <c r="V17" s="666"/>
      <c r="W17" s="667"/>
      <c r="X17" s="1264"/>
      <c r="Y17" s="3382"/>
      <c r="Z17" s="1263"/>
      <c r="AA17" s="1263">
        <v>1</v>
      </c>
      <c r="AB17" s="1263">
        <v>1</v>
      </c>
      <c r="AC17" s="1263">
        <v>1</v>
      </c>
    </row>
    <row r="18" spans="1:29" ht="15">
      <c r="A18" s="366"/>
      <c r="B18" s="585" t="s">
        <v>1811</v>
      </c>
      <c r="C18" s="1753" t="str">
        <f>IF(B1="工业",估价对象房地状况!G6,估价对象房地状况!C8)</f>
        <v>七通</v>
      </c>
      <c r="D18" s="393">
        <v>100</v>
      </c>
      <c r="E18" s="390"/>
      <c r="F18" s="396">
        <f>SUMIF(65:65,E19,66:66)-SUMIF(65:65,C19,66:66)+100</f>
        <v>100</v>
      </c>
      <c r="G18" s="392"/>
      <c r="H18" s="393">
        <f>SUMIF(65:65,G19,66:66)-SUMIF(65:65,C19,66:66)+100</f>
        <v>100</v>
      </c>
      <c r="I18" s="395"/>
      <c r="J18" s="393">
        <f>SUMIF(65:65,I19,66:66)-SUMIF(65:65,C19,66:66)+100</f>
        <v>100</v>
      </c>
      <c r="K18" s="539"/>
      <c r="L18" s="2489"/>
      <c r="M18" s="2484"/>
      <c r="N18" s="2484"/>
      <c r="O18" s="2539"/>
      <c r="P18" s="3382"/>
      <c r="Q18" s="1262" t="str">
        <f>B18</f>
        <v>基础设施水平</v>
      </c>
      <c r="R18" s="666" t="s">
        <v>14</v>
      </c>
      <c r="S18" s="667">
        <f>F18</f>
        <v>100</v>
      </c>
      <c r="T18" s="666" t="s">
        <v>14</v>
      </c>
      <c r="U18" s="667">
        <f>H18</f>
        <v>100</v>
      </c>
      <c r="V18" s="666" t="s">
        <v>14</v>
      </c>
      <c r="W18" s="667">
        <f>J18</f>
        <v>100</v>
      </c>
      <c r="X18" s="1264"/>
      <c r="Y18" s="3382"/>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89"/>
      <c r="M19" s="2484"/>
      <c r="N19" s="2484"/>
      <c r="O19" s="2539"/>
      <c r="P19" s="3382"/>
      <c r="Q19" s="1262"/>
      <c r="R19" s="666"/>
      <c r="S19" s="667"/>
      <c r="T19" s="666"/>
      <c r="U19" s="667"/>
      <c r="V19" s="666"/>
      <c r="W19" s="667"/>
      <c r="X19" s="1264"/>
      <c r="Y19" s="3382"/>
      <c r="Z19" s="1263"/>
      <c r="AA19" s="1263">
        <v>1</v>
      </c>
      <c r="AB19" s="1263">
        <v>1</v>
      </c>
      <c r="AC19" s="1263">
        <v>1</v>
      </c>
    </row>
    <row r="20" spans="1:29" ht="15">
      <c r="A20" s="366"/>
      <c r="B20" s="389" t="s">
        <v>1832</v>
      </c>
      <c r="C20" s="1753" t="str">
        <f>IF(B1="工业",估价对象房地状况!G7,估价对象房地状况!C9)</f>
        <v>较好</v>
      </c>
      <c r="D20" s="393">
        <v>100</v>
      </c>
      <c r="E20" s="395"/>
      <c r="F20" s="396">
        <f>SUMIF(67:67,E21,68:68)-SUMIF(67:67,C21,68:68)+100</f>
        <v>100</v>
      </c>
      <c r="G20" s="397"/>
      <c r="H20" s="388">
        <f>SUMIF(67:67,G21,68:68)-SUMIF(67:67,C21,68:68)+100</f>
        <v>100</v>
      </c>
      <c r="I20" s="390"/>
      <c r="J20" s="388">
        <f>SUMIF(67:67,I21,68:68)-SUMIF(67:67,C21,68:68)+100</f>
        <v>100</v>
      </c>
      <c r="K20" s="539"/>
      <c r="L20" s="2489"/>
      <c r="M20" s="2484"/>
      <c r="N20" s="2484"/>
      <c r="O20" s="2539"/>
      <c r="P20" s="3382"/>
      <c r="Q20" s="1262" t="str">
        <f>B20</f>
        <v>自然及人文环境</v>
      </c>
      <c r="R20" s="666" t="s">
        <v>14</v>
      </c>
      <c r="S20" s="667">
        <f>F20</f>
        <v>100</v>
      </c>
      <c r="T20" s="666" t="s">
        <v>14</v>
      </c>
      <c r="U20" s="667">
        <f>H20</f>
        <v>100</v>
      </c>
      <c r="V20" s="666" t="s">
        <v>14</v>
      </c>
      <c r="W20" s="667">
        <f>J20</f>
        <v>100</v>
      </c>
      <c r="X20" s="1264"/>
      <c r="Y20" s="3382"/>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89"/>
      <c r="M21" s="2484"/>
      <c r="N21" s="2484"/>
      <c r="O21" s="2539"/>
      <c r="P21" s="3382"/>
      <c r="Q21" s="1262"/>
      <c r="R21" s="666"/>
      <c r="S21" s="667"/>
      <c r="T21" s="666"/>
      <c r="U21" s="667"/>
      <c r="V21" s="666"/>
      <c r="W21" s="667"/>
      <c r="X21" s="1264"/>
      <c r="Y21" s="3382"/>
      <c r="Z21" s="1263"/>
      <c r="AA21" s="1263">
        <v>1</v>
      </c>
      <c r="AB21" s="1263">
        <v>1</v>
      </c>
      <c r="AC21" s="1263">
        <v>1</v>
      </c>
    </row>
    <row r="22" spans="1:29" ht="15">
      <c r="A22" s="366"/>
      <c r="B22" s="389" t="s">
        <v>1833</v>
      </c>
      <c r="C22" s="541"/>
      <c r="D22" s="388">
        <v>100</v>
      </c>
      <c r="E22" s="541"/>
      <c r="F22" s="399">
        <f>SUMIF(69:69,E22,70:70)-SUMIF(69:69,C22,70:70)+100</f>
        <v>100</v>
      </c>
      <c r="G22" s="541"/>
      <c r="H22" s="373">
        <f>SUMIF(69:69,G22,70:70)-SUMIF(69:69,C22,70:70)+100</f>
        <v>100</v>
      </c>
      <c r="I22" s="541"/>
      <c r="J22" s="373">
        <f>SUMIF(69:69,I22,70:70)-SUMIF(69:69,C22,70:70)+100</f>
        <v>100</v>
      </c>
      <c r="K22" s="537"/>
      <c r="L22" s="2489"/>
      <c r="M22" s="2484"/>
      <c r="N22" s="2484"/>
      <c r="O22" s="2539"/>
      <c r="P22" s="3382"/>
      <c r="Q22" s="1262" t="str">
        <f>B22</f>
        <v>楼层</v>
      </c>
      <c r="R22" s="666" t="s">
        <v>14</v>
      </c>
      <c r="S22" s="667">
        <f>F22</f>
        <v>100</v>
      </c>
      <c r="T22" s="666" t="s">
        <v>14</v>
      </c>
      <c r="U22" s="667">
        <f>H22</f>
        <v>100</v>
      </c>
      <c r="V22" s="666" t="s">
        <v>14</v>
      </c>
      <c r="W22" s="667">
        <f>J22</f>
        <v>100</v>
      </c>
      <c r="X22" s="1264"/>
      <c r="Y22" s="3382"/>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9"/>
      <c r="M23" s="2484"/>
      <c r="N23" s="2484"/>
      <c r="O23" s="2539"/>
      <c r="P23" s="3382"/>
      <c r="Q23" s="1262">
        <f>B23</f>
        <v>111</v>
      </c>
      <c r="R23" s="666" t="s">
        <v>14</v>
      </c>
      <c r="S23" s="667">
        <f>F23</f>
        <v>100</v>
      </c>
      <c r="T23" s="666" t="s">
        <v>14</v>
      </c>
      <c r="U23" s="667">
        <f>H23</f>
        <v>100</v>
      </c>
      <c r="V23" s="666" t="s">
        <v>14</v>
      </c>
      <c r="W23" s="667">
        <f>J23</f>
        <v>100</v>
      </c>
      <c r="X23" s="1264"/>
      <c r="Y23" s="3382"/>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9"/>
      <c r="M24" s="2484"/>
      <c r="N24" s="2484"/>
      <c r="O24" s="2539"/>
      <c r="P24" s="3382"/>
      <c r="Q24" s="1262">
        <f t="shared" ref="Q24:Q34" si="11">B24</f>
        <v>111</v>
      </c>
      <c r="R24" s="666" t="s">
        <v>14</v>
      </c>
      <c r="S24" s="667">
        <f>F24</f>
        <v>100</v>
      </c>
      <c r="T24" s="666" t="s">
        <v>14</v>
      </c>
      <c r="U24" s="667">
        <f>H24</f>
        <v>100</v>
      </c>
      <c r="V24" s="666" t="s">
        <v>14</v>
      </c>
      <c r="W24" s="667">
        <f>J24</f>
        <v>100</v>
      </c>
      <c r="X24" s="1264"/>
      <c r="Y24" s="3382"/>
      <c r="Z24" s="1263">
        <f>Q24</f>
        <v>111</v>
      </c>
      <c r="AA24" s="1263">
        <f t="shared" si="3"/>
        <v>1</v>
      </c>
      <c r="AB24" s="1263">
        <f t="shared" si="4"/>
        <v>1</v>
      </c>
      <c r="AC24" s="1263">
        <f t="shared" si="5"/>
        <v>1</v>
      </c>
    </row>
    <row r="25" spans="1:29" s="102" customFormat="1" ht="15.75"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5"/>
      <c r="M25" s="2436"/>
      <c r="N25" s="2436"/>
      <c r="O25" s="2537"/>
      <c r="P25" s="3382"/>
      <c r="Q25" s="529">
        <f t="shared" si="11"/>
        <v>111</v>
      </c>
      <c r="R25" s="663" t="s">
        <v>14</v>
      </c>
      <c r="S25" s="664">
        <f>F25</f>
        <v>100</v>
      </c>
      <c r="T25" s="663" t="s">
        <v>14</v>
      </c>
      <c r="U25" s="664">
        <f>H25</f>
        <v>100</v>
      </c>
      <c r="V25" s="663" t="s">
        <v>14</v>
      </c>
      <c r="W25" s="664">
        <f>J25</f>
        <v>100</v>
      </c>
      <c r="X25" s="665"/>
      <c r="Y25" s="3382"/>
      <c r="Z25" s="50">
        <f>Q25</f>
        <v>111</v>
      </c>
      <c r="AA25" s="1263">
        <f>D25/F25</f>
        <v>1</v>
      </c>
      <c r="AB25" s="1263">
        <f>D25/H25</f>
        <v>1</v>
      </c>
      <c r="AC25" s="1263">
        <f>D25/J25</f>
        <v>1</v>
      </c>
    </row>
    <row r="26" spans="1:29" ht="28.5">
      <c r="A26" s="403" t="s">
        <v>1692</v>
      </c>
      <c r="B26" s="60" t="s">
        <v>1836</v>
      </c>
      <c r="C26" s="1763"/>
      <c r="D26" s="404">
        <v>100</v>
      </c>
      <c r="E26" s="1763"/>
      <c r="F26" s="586">
        <f>SUMIF(77:77,E26,78:78)-SUMIF(77:77,C26,78:78)+100</f>
        <v>100</v>
      </c>
      <c r="G26" s="1763"/>
      <c r="H26" s="404">
        <f>SUMIF(77:77,G26,78:78)-SUMIF(77:77,C26,78:78)+100</f>
        <v>100</v>
      </c>
      <c r="I26" s="1763"/>
      <c r="J26" s="404">
        <f>SUMIF(77:77,I26,78:78)-SUMIF(77:77,C26,78:78)+100</f>
        <v>100</v>
      </c>
      <c r="K26" s="537"/>
      <c r="L26" s="2489"/>
      <c r="M26" s="2484"/>
      <c r="N26" s="2484"/>
      <c r="O26" s="2539"/>
      <c r="P26" s="3484" t="s">
        <v>1694</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86" t="s">
        <v>1694</v>
      </c>
      <c r="Z26" s="1263" t="str">
        <f t="shared" ref="Z26:Z34" si="15">Q26</f>
        <v>公共部分装修</v>
      </c>
      <c r="AA26" s="1263">
        <f t="shared" si="3"/>
        <v>1</v>
      </c>
      <c r="AB26" s="1263">
        <f t="shared" si="4"/>
        <v>1</v>
      </c>
      <c r="AC26" s="1263">
        <f t="shared" si="5"/>
        <v>1</v>
      </c>
    </row>
    <row r="27" spans="1:29" s="407" customFormat="1" ht="15">
      <c r="A27" s="405"/>
      <c r="B27" s="363" t="s">
        <v>1837</v>
      </c>
      <c r="C27" s="410"/>
      <c r="D27" s="119">
        <v>100</v>
      </c>
      <c r="E27" s="411"/>
      <c r="F27" s="399" t="e">
        <f>LOOKUP(E27,80:80,81:81)-LOOKUP(C27,80:80,81:81)+100</f>
        <v>#N/A</v>
      </c>
      <c r="G27" s="412"/>
      <c r="H27" s="373" t="e">
        <f>LOOKUP(G27,80:80,81:81)-LOOKUP(C27,80:80,81:81)+100</f>
        <v>#N/A</v>
      </c>
      <c r="I27" s="412"/>
      <c r="J27" s="373" t="e">
        <f>LOOKUP(I27,80:80,81:81)-LOOKUP(C27,80:80,81:81)+100</f>
        <v>#N/A</v>
      </c>
      <c r="K27" s="537"/>
      <c r="L27" s="2488"/>
      <c r="M27" s="2490"/>
      <c r="N27" s="2490"/>
      <c r="O27" s="2540"/>
      <c r="P27" s="3386"/>
      <c r="Q27" s="530" t="str">
        <f t="shared" si="11"/>
        <v>成新率</v>
      </c>
      <c r="R27" s="668" t="s">
        <v>14</v>
      </c>
      <c r="S27" s="669" t="e">
        <f t="shared" si="12"/>
        <v>#N/A</v>
      </c>
      <c r="T27" s="668" t="s">
        <v>14</v>
      </c>
      <c r="U27" s="669" t="e">
        <f t="shared" si="13"/>
        <v>#N/A</v>
      </c>
      <c r="V27" s="668" t="s">
        <v>14</v>
      </c>
      <c r="W27" s="669" t="e">
        <f t="shared" si="14"/>
        <v>#N/A</v>
      </c>
      <c r="X27" s="670"/>
      <c r="Y27" s="3386"/>
      <c r="Z27" s="671" t="str">
        <f t="shared" si="15"/>
        <v>成新率</v>
      </c>
      <c r="AA27" s="1263" t="e">
        <f t="shared" si="3"/>
        <v>#N/A</v>
      </c>
      <c r="AB27" s="1263" t="e">
        <f t="shared" si="4"/>
        <v>#N/A</v>
      </c>
      <c r="AC27" s="1263" t="e">
        <f t="shared" si="5"/>
        <v>#N/A</v>
      </c>
    </row>
    <row r="28" spans="1:29" ht="15">
      <c r="A28" s="408"/>
      <c r="B28" s="363" t="s">
        <v>1838</v>
      </c>
      <c r="C28" s="398"/>
      <c r="D28" s="373">
        <v>100</v>
      </c>
      <c r="E28" s="398"/>
      <c r="F28" s="399">
        <f>SUMIF(82:82,E28,83:83)-SUMIF(82:82,C28,83:83)+100</f>
        <v>100</v>
      </c>
      <c r="G28" s="398"/>
      <c r="H28" s="373">
        <f>SUMIF(82:82,G28,83:83)-SUMIF(82:82,C28,83:83)+100</f>
        <v>100</v>
      </c>
      <c r="I28" s="398"/>
      <c r="J28" s="373">
        <f>SUMIF(82:82,I28,83:83)-SUMIF(82:82,C28,83:83)+100</f>
        <v>100</v>
      </c>
      <c r="K28" s="537"/>
      <c r="L28" s="2489"/>
      <c r="M28" s="2484"/>
      <c r="N28" s="2484"/>
      <c r="O28" s="2539"/>
      <c r="P28" s="3386"/>
      <c r="Q28" s="1262" t="str">
        <f t="shared" si="11"/>
        <v>物业等级</v>
      </c>
      <c r="R28" s="666" t="s">
        <v>14</v>
      </c>
      <c r="S28" s="667">
        <f t="shared" si="12"/>
        <v>100</v>
      </c>
      <c r="T28" s="666" t="s">
        <v>14</v>
      </c>
      <c r="U28" s="667">
        <f t="shared" si="13"/>
        <v>100</v>
      </c>
      <c r="V28" s="666" t="s">
        <v>14</v>
      </c>
      <c r="W28" s="667">
        <f t="shared" si="14"/>
        <v>100</v>
      </c>
      <c r="X28" s="1264"/>
      <c r="Y28" s="3386"/>
      <c r="Z28" s="1263" t="str">
        <f t="shared" si="15"/>
        <v>物业等级</v>
      </c>
      <c r="AA28" s="1263">
        <f t="shared" si="3"/>
        <v>1</v>
      </c>
      <c r="AB28" s="1263">
        <f t="shared" si="4"/>
        <v>1</v>
      </c>
      <c r="AC28" s="1263">
        <f t="shared" si="5"/>
        <v>1</v>
      </c>
    </row>
    <row r="29" spans="1:29" ht="15">
      <c r="A29" s="408"/>
      <c r="B29" s="363" t="s">
        <v>1858</v>
      </c>
      <c r="C29" s="577"/>
      <c r="D29" s="373">
        <v>100</v>
      </c>
      <c r="E29" s="577"/>
      <c r="F29" s="399">
        <f>SUMIF(84:84,E29,85:85)-SUMIF(84:84,C29,85:85)+100</f>
        <v>100</v>
      </c>
      <c r="G29" s="577"/>
      <c r="H29" s="373">
        <f>SUMIF(84:84,G29,85:85)-SUMIF(84:84,C29,85:85)+100</f>
        <v>100</v>
      </c>
      <c r="I29" s="577"/>
      <c r="J29" s="373">
        <f>SUMIF(84:84,I29,85:85)-SUMIF(84:84,C29,85:85)+100</f>
        <v>100</v>
      </c>
      <c r="K29" s="537"/>
      <c r="L29" s="2489"/>
      <c r="M29" s="2484"/>
      <c r="N29" s="2484"/>
      <c r="O29" s="2539"/>
      <c r="P29" s="3386"/>
      <c r="Q29" s="1262" t="str">
        <f t="shared" si="11"/>
        <v>有无电梯</v>
      </c>
      <c r="R29" s="666" t="s">
        <v>14</v>
      </c>
      <c r="S29" s="667">
        <f t="shared" si="12"/>
        <v>100</v>
      </c>
      <c r="T29" s="666" t="s">
        <v>14</v>
      </c>
      <c r="U29" s="667">
        <f t="shared" si="13"/>
        <v>100</v>
      </c>
      <c r="V29" s="666" t="s">
        <v>14</v>
      </c>
      <c r="W29" s="667">
        <f t="shared" si="14"/>
        <v>100</v>
      </c>
      <c r="X29" s="1264"/>
      <c r="Y29" s="3386"/>
      <c r="Z29" s="1263" t="str">
        <f t="shared" si="15"/>
        <v>有无电梯</v>
      </c>
      <c r="AA29" s="1263">
        <f t="shared" si="3"/>
        <v>1</v>
      </c>
      <c r="AB29" s="1263">
        <f t="shared" si="4"/>
        <v>1</v>
      </c>
      <c r="AC29" s="1263">
        <f t="shared" si="5"/>
        <v>1</v>
      </c>
    </row>
    <row r="30" spans="1:29" ht="15">
      <c r="A30" s="408"/>
      <c r="B30" s="363" t="s">
        <v>1859</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9"/>
      <c r="M30" s="2484"/>
      <c r="N30" s="2484"/>
      <c r="O30" s="2539"/>
      <c r="P30" s="3386"/>
      <c r="Q30" s="1262" t="str">
        <f t="shared" si="11"/>
        <v>建筑面积</v>
      </c>
      <c r="R30" s="666" t="s">
        <v>14</v>
      </c>
      <c r="S30" s="667" t="e">
        <f t="shared" si="12"/>
        <v>#N/A</v>
      </c>
      <c r="T30" s="666" t="s">
        <v>14</v>
      </c>
      <c r="U30" s="667" t="e">
        <f t="shared" si="13"/>
        <v>#N/A</v>
      </c>
      <c r="V30" s="666" t="s">
        <v>14</v>
      </c>
      <c r="W30" s="667" t="e">
        <f t="shared" si="14"/>
        <v>#N/A</v>
      </c>
      <c r="X30" s="1264"/>
      <c r="Y30" s="3386"/>
      <c r="Z30" s="1263" t="str">
        <f t="shared" si="15"/>
        <v>建筑面积</v>
      </c>
      <c r="AA30" s="1263" t="e">
        <f t="shared" si="3"/>
        <v>#N/A</v>
      </c>
      <c r="AB30" s="1263" t="e">
        <f t="shared" si="4"/>
        <v>#N/A</v>
      </c>
      <c r="AC30" s="1263" t="e">
        <f t="shared" si="5"/>
        <v>#N/A</v>
      </c>
    </row>
    <row r="31" spans="1:29" s="102" customFormat="1" ht="15">
      <c r="A31" s="409"/>
      <c r="B31" s="363" t="s">
        <v>1860</v>
      </c>
      <c r="C31" s="577"/>
      <c r="D31" s="119">
        <v>100</v>
      </c>
      <c r="E31" s="577"/>
      <c r="F31" s="399">
        <f>SUMIF(89:89,E31,90:90)-SUMIF(89:89,C31,90:90)+100</f>
        <v>100</v>
      </c>
      <c r="G31" s="577"/>
      <c r="H31" s="373">
        <f>SUMIF(89:89,G31,90:90)-SUMIF(89:89,C31,90:90)+100</f>
        <v>100</v>
      </c>
      <c r="I31" s="577"/>
      <c r="J31" s="373">
        <f>SUMIF(89:89,I31,90:90)-SUMIF(89:89,C31,90:90)+100</f>
        <v>100</v>
      </c>
      <c r="K31" s="537"/>
      <c r="L31" s="2485"/>
      <c r="M31" s="2436"/>
      <c r="N31" s="2436"/>
      <c r="O31" s="2537"/>
      <c r="P31" s="3386"/>
      <c r="Q31" s="529" t="str">
        <f t="shared" si="11"/>
        <v>是否封闭</v>
      </c>
      <c r="R31" s="663" t="s">
        <v>14</v>
      </c>
      <c r="S31" s="664">
        <f t="shared" si="12"/>
        <v>100</v>
      </c>
      <c r="T31" s="663" t="s">
        <v>14</v>
      </c>
      <c r="U31" s="664">
        <f t="shared" si="13"/>
        <v>100</v>
      </c>
      <c r="V31" s="663" t="s">
        <v>14</v>
      </c>
      <c r="W31" s="664">
        <f t="shared" si="14"/>
        <v>100</v>
      </c>
      <c r="X31" s="665"/>
      <c r="Y31" s="3386"/>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9"/>
      <c r="M32" s="2484"/>
      <c r="N32" s="2484"/>
      <c r="O32" s="2539"/>
      <c r="P32" s="3386" t="s">
        <v>1694</v>
      </c>
      <c r="Q32" s="1262">
        <f t="shared" si="11"/>
        <v>111</v>
      </c>
      <c r="R32" s="666" t="s">
        <v>14</v>
      </c>
      <c r="S32" s="667">
        <f t="shared" si="12"/>
        <v>100</v>
      </c>
      <c r="T32" s="666" t="s">
        <v>14</v>
      </c>
      <c r="U32" s="667">
        <f t="shared" si="13"/>
        <v>100</v>
      </c>
      <c r="V32" s="666" t="s">
        <v>14</v>
      </c>
      <c r="W32" s="667">
        <f t="shared" si="14"/>
        <v>100</v>
      </c>
      <c r="X32" s="1264"/>
      <c r="Y32" s="3386" t="s">
        <v>1694</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9"/>
      <c r="M33" s="2484"/>
      <c r="N33" s="2484"/>
      <c r="O33" s="2539"/>
      <c r="P33" s="3386"/>
      <c r="Q33" s="1262">
        <f t="shared" si="11"/>
        <v>111</v>
      </c>
      <c r="R33" s="666" t="s">
        <v>14</v>
      </c>
      <c r="S33" s="667">
        <f t="shared" si="12"/>
        <v>100</v>
      </c>
      <c r="T33" s="666" t="s">
        <v>14</v>
      </c>
      <c r="U33" s="667">
        <f t="shared" si="13"/>
        <v>100</v>
      </c>
      <c r="V33" s="666" t="s">
        <v>14</v>
      </c>
      <c r="W33" s="667">
        <f t="shared" si="14"/>
        <v>100</v>
      </c>
      <c r="X33" s="1264"/>
      <c r="Y33" s="3386"/>
      <c r="Z33" s="1263">
        <f t="shared" si="15"/>
        <v>111</v>
      </c>
      <c r="AA33" s="1263">
        <f t="shared" si="3"/>
        <v>1</v>
      </c>
      <c r="AB33" s="1263">
        <f t="shared" si="4"/>
        <v>1</v>
      </c>
      <c r="AC33" s="1263">
        <f t="shared" si="5"/>
        <v>1</v>
      </c>
    </row>
    <row r="34" spans="1:30" ht="15.75"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89"/>
      <c r="M34" s="2484"/>
      <c r="N34" s="2484"/>
      <c r="O34" s="2539"/>
      <c r="P34" s="3386"/>
      <c r="Q34" s="1262">
        <f t="shared" si="11"/>
        <v>111</v>
      </c>
      <c r="R34" s="666" t="s">
        <v>14</v>
      </c>
      <c r="S34" s="667">
        <f t="shared" si="12"/>
        <v>100</v>
      </c>
      <c r="T34" s="666" t="s">
        <v>14</v>
      </c>
      <c r="U34" s="667">
        <f t="shared" si="13"/>
        <v>100</v>
      </c>
      <c r="V34" s="666" t="s">
        <v>14</v>
      </c>
      <c r="W34" s="667">
        <f t="shared" si="14"/>
        <v>100</v>
      </c>
      <c r="X34" s="1264"/>
      <c r="Y34" s="3386"/>
      <c r="Z34" s="1263">
        <f t="shared" si="15"/>
        <v>111</v>
      </c>
      <c r="AA34" s="1263">
        <f t="shared" si="3"/>
        <v>1</v>
      </c>
      <c r="AB34" s="1263">
        <f t="shared" si="4"/>
        <v>1</v>
      </c>
      <c r="AC34" s="1263">
        <f t="shared" si="5"/>
        <v>1</v>
      </c>
    </row>
    <row r="35" spans="1:30" ht="15">
      <c r="A35" s="415" t="s">
        <v>1706</v>
      </c>
      <c r="B35" s="416"/>
      <c r="C35" s="1080" t="s">
        <v>0</v>
      </c>
      <c r="D35" s="417"/>
      <c r="E35" s="418"/>
      <c r="F35" s="419"/>
      <c r="G35" s="420"/>
      <c r="H35" s="421"/>
      <c r="I35" s="418"/>
      <c r="J35" s="421"/>
      <c r="K35" s="673"/>
      <c r="L35" s="2491"/>
      <c r="M35" s="2484"/>
      <c r="N35" s="2484"/>
      <c r="O35" s="2484"/>
      <c r="P35" s="3374" t="str">
        <f>A35</f>
        <v>成交单价（元/平方米）</v>
      </c>
      <c r="Q35" s="3374"/>
      <c r="R35" s="3375">
        <f>E35</f>
        <v>0</v>
      </c>
      <c r="S35" s="3375"/>
      <c r="T35" s="3375">
        <f>G35</f>
        <v>0</v>
      </c>
      <c r="U35" s="3375"/>
      <c r="V35" s="3375">
        <f>I35</f>
        <v>0</v>
      </c>
      <c r="W35" s="3375"/>
      <c r="X35" s="384"/>
      <c r="Y35" s="672"/>
      <c r="Z35" s="384"/>
      <c r="AA35" s="384"/>
      <c r="AB35" s="384"/>
      <c r="AC35" s="384"/>
    </row>
    <row r="36" spans="1:30" ht="15.75" thickBot="1">
      <c r="A36" s="422" t="s">
        <v>1791</v>
      </c>
      <c r="B36" s="423"/>
      <c r="C36" s="1081" t="e">
        <f>R37</f>
        <v>#DIV/0!</v>
      </c>
      <c r="D36" s="2139" t="s">
        <v>2134</v>
      </c>
      <c r="E36" s="1082" t="e">
        <f>R36</f>
        <v>#DIV/0!</v>
      </c>
      <c r="F36" s="2140"/>
      <c r="G36" s="1081" t="e">
        <f>T36</f>
        <v>#DIV/0!</v>
      </c>
      <c r="H36" s="2140"/>
      <c r="I36" s="1082" t="e">
        <f>V36</f>
        <v>#DIV/0!</v>
      </c>
      <c r="J36" s="2140"/>
      <c r="K36" s="2142">
        <f>F36+H36+J36</f>
        <v>0</v>
      </c>
      <c r="L36" s="2491"/>
      <c r="M36" s="2484"/>
      <c r="N36" s="2484"/>
      <c r="O36" s="2484"/>
      <c r="P36" s="3374" t="str">
        <f>A36</f>
        <v>比较价值（元/平方米）</v>
      </c>
      <c r="Q36" s="3374"/>
      <c r="R36" s="3375" t="e">
        <f>IF(F1="售价",ROUND(PRODUCT(R35,AA7:AA34),0),ROUND(PRODUCT(R35,AA7:AA34),1))</f>
        <v>#DIV/0!</v>
      </c>
      <c r="S36" s="3375"/>
      <c r="T36" s="3375" t="e">
        <f>IF(F1="售价",ROUND(PRODUCT(T35,AB7:AB34),0),ROUND(PRODUCT(T35,AB7:AB34),1))</f>
        <v>#DIV/0!</v>
      </c>
      <c r="U36" s="3375"/>
      <c r="V36" s="3375" t="e">
        <f>IF(F1="售价",ROUND(PRODUCT(V35,AC7:AC34),0),ROUND(PRODUCT(V35,AC7:AC34),1))</f>
        <v>#DIV/0!</v>
      </c>
      <c r="W36" s="3375"/>
      <c r="X36" s="384"/>
      <c r="Y36" s="384"/>
      <c r="Z36" s="384"/>
      <c r="AA36" s="384"/>
      <c r="AB36" s="384"/>
      <c r="AC36" s="384"/>
    </row>
    <row r="37" spans="1:30" ht="15.75" thickBot="1">
      <c r="A37" s="426" t="s">
        <v>1792</v>
      </c>
      <c r="B37" s="427"/>
      <c r="C37" s="350" t="e">
        <f>R37</f>
        <v>#DIV/0!</v>
      </c>
      <c r="D37" s="350"/>
      <c r="E37" s="350"/>
      <c r="F37" s="350"/>
      <c r="G37" s="350"/>
      <c r="H37" s="350"/>
      <c r="I37" s="350"/>
      <c r="J37" s="350"/>
      <c r="K37" s="674"/>
      <c r="L37" s="2491"/>
      <c r="M37" s="2484"/>
      <c r="N37" s="2484"/>
      <c r="O37" s="2484"/>
      <c r="P37" s="3376" t="str">
        <f>A37</f>
        <v>估价对象XX用房的比较价值（楼面单价，元/平方米）</v>
      </c>
      <c r="Q37" s="3377"/>
      <c r="R37" s="3485" t="e">
        <f>IF(F1="售价",ROUND(IF(D36="简单平均",AVERAGE(R36:W36),R36*F36+T36*H36+V36*J36),0),ROUND(IF(D36="简单平均",AVERAGE(R36:V36),R36*F36+T36*H36+V36*J36),1))</f>
        <v>#DIV/0!</v>
      </c>
      <c r="S37" s="3485"/>
      <c r="T37" s="3485"/>
      <c r="U37" s="3485"/>
      <c r="V37" s="3485"/>
      <c r="W37" s="3485"/>
      <c r="X37" s="384"/>
      <c r="Y37" s="384"/>
      <c r="Z37" s="384"/>
      <c r="AA37" s="384"/>
      <c r="AB37" s="384"/>
      <c r="AC37" s="384"/>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1" t="s">
        <v>1793</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1" t="s">
        <v>1794</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6" customFormat="1" ht="13.5" customHeight="1">
      <c r="A42" s="2494"/>
      <c r="B42" s="2494"/>
      <c r="C42" s="431" t="s">
        <v>1795</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6"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1.75" thickBot="1">
      <c r="A45" s="657" t="s">
        <v>1796</v>
      </c>
      <c r="B45" s="384"/>
      <c r="C45" s="658"/>
      <c r="D45" s="658"/>
      <c r="E45" s="658"/>
      <c r="F45" s="659"/>
      <c r="G45" s="659"/>
      <c r="H45" s="658"/>
      <c r="I45" s="658"/>
      <c r="J45" s="658"/>
      <c r="K45" s="660"/>
      <c r="L45" s="661"/>
      <c r="M45" s="658"/>
      <c r="N45" s="2534"/>
      <c r="O45" s="2534"/>
      <c r="P45" s="2534"/>
      <c r="Q45" s="2505"/>
      <c r="R45" s="2484"/>
      <c r="S45" s="2484"/>
      <c r="T45" s="2484"/>
      <c r="U45" s="2484"/>
      <c r="V45" s="2484"/>
      <c r="W45" s="2484"/>
      <c r="X45" s="2484"/>
      <c r="Y45" s="2484"/>
      <c r="Z45" s="2484"/>
      <c r="AA45" s="2484"/>
      <c r="AB45" s="2484"/>
      <c r="AC45" s="2484"/>
      <c r="AD45" s="2484"/>
    </row>
    <row r="46" spans="1:30" s="441" customFormat="1" ht="15">
      <c r="A46" s="439" t="s">
        <v>1677</v>
      </c>
      <c r="B46" s="440"/>
      <c r="C46" s="1102" t="str">
        <f>YEAR(C7)&amp;"-"&amp;MONTH(C7)</f>
        <v>2023-4</v>
      </c>
      <c r="D46" s="1103">
        <f>EDATE(C46,-1)</f>
        <v>44986</v>
      </c>
      <c r="E46" s="1103">
        <f t="shared" ref="E46:O46" si="16">EDATE(D46,-1)</f>
        <v>44958</v>
      </c>
      <c r="F46" s="1103">
        <f t="shared" si="16"/>
        <v>44927</v>
      </c>
      <c r="G46" s="1103">
        <f t="shared" si="16"/>
        <v>44896</v>
      </c>
      <c r="H46" s="1103">
        <f t="shared" si="16"/>
        <v>44866</v>
      </c>
      <c r="I46" s="1103">
        <f t="shared" si="16"/>
        <v>44835</v>
      </c>
      <c r="J46" s="1103">
        <f t="shared" si="16"/>
        <v>44805</v>
      </c>
      <c r="K46" s="1103">
        <f t="shared" si="16"/>
        <v>44774</v>
      </c>
      <c r="L46" s="1103">
        <f t="shared" si="16"/>
        <v>44743</v>
      </c>
      <c r="M46" s="1103">
        <f t="shared" si="16"/>
        <v>44713</v>
      </c>
      <c r="N46" s="1103">
        <f t="shared" si="16"/>
        <v>44682</v>
      </c>
      <c r="O46" s="1103">
        <f t="shared" si="16"/>
        <v>44652</v>
      </c>
      <c r="P46" s="2507"/>
      <c r="Q46" s="2507"/>
      <c r="R46" s="2507"/>
      <c r="S46" s="2507"/>
      <c r="T46" s="2507"/>
      <c r="U46" s="2507"/>
      <c r="V46" s="2507"/>
      <c r="W46" s="2507"/>
      <c r="X46" s="2507"/>
      <c r="Y46" s="2507"/>
      <c r="Z46" s="2507"/>
      <c r="AA46" s="2507"/>
      <c r="AB46" s="2507"/>
      <c r="AC46" s="2507"/>
      <c r="AD46" s="2507"/>
    </row>
    <row r="47" spans="1:30" s="102" customFormat="1" ht="15">
      <c r="A47" s="442"/>
      <c r="B47" s="443"/>
      <c r="C47" s="1101">
        <v>100</v>
      </c>
      <c r="D47" s="445"/>
      <c r="E47" s="445"/>
      <c r="F47" s="445"/>
      <c r="G47" s="445"/>
      <c r="H47" s="445"/>
      <c r="I47" s="445"/>
      <c r="J47" s="445"/>
      <c r="K47" s="445"/>
      <c r="L47" s="445"/>
      <c r="M47" s="446"/>
      <c r="N47" s="445"/>
      <c r="O47" s="447"/>
      <c r="P47" s="2505"/>
      <c r="Q47" s="2436"/>
      <c r="R47" s="2436"/>
      <c r="S47" s="2436"/>
      <c r="T47" s="2436"/>
      <c r="U47" s="2436"/>
      <c r="V47" s="2436"/>
      <c r="W47" s="2436"/>
      <c r="X47" s="2436"/>
      <c r="Y47" s="2436"/>
      <c r="Z47" s="2436"/>
      <c r="AA47" s="2436"/>
      <c r="AB47" s="2436"/>
      <c r="AC47" s="2436"/>
      <c r="AD47" s="2436"/>
    </row>
    <row r="48" spans="1:30" s="102" customFormat="1" ht="15.75" thickBot="1">
      <c r="A48" s="448" t="s">
        <v>1714</v>
      </c>
      <c r="B48" s="449"/>
      <c r="C48" s="450"/>
      <c r="D48" s="451"/>
      <c r="E48" s="451"/>
      <c r="F48" s="451"/>
      <c r="G48" s="451"/>
      <c r="H48" s="451"/>
      <c r="I48" s="451"/>
      <c r="J48" s="451"/>
      <c r="K48" s="451"/>
      <c r="L48" s="451"/>
      <c r="M48" s="452"/>
      <c r="N48" s="451"/>
      <c r="O48" s="453"/>
      <c r="P48" s="2505"/>
      <c r="Q48" s="2505"/>
      <c r="R48" s="2436"/>
      <c r="S48" s="2436"/>
      <c r="T48" s="2436"/>
      <c r="U48" s="2436"/>
      <c r="V48" s="2436"/>
      <c r="W48" s="2436"/>
      <c r="X48" s="2436"/>
      <c r="Y48" s="2436"/>
      <c r="Z48" s="2436"/>
      <c r="AA48" s="2436"/>
      <c r="AB48" s="2436"/>
      <c r="AC48" s="2436"/>
      <c r="AD48" s="2436"/>
    </row>
    <row r="49" spans="1:30" s="102" customFormat="1" ht="15">
      <c r="A49" s="454" t="s">
        <v>1679</v>
      </c>
      <c r="B49" s="443"/>
      <c r="C49" s="455" t="s">
        <v>1774</v>
      </c>
      <c r="D49" s="31"/>
      <c r="E49" s="31"/>
      <c r="F49" s="31"/>
      <c r="G49" s="31"/>
      <c r="H49" s="31"/>
      <c r="I49" s="31"/>
      <c r="J49" s="31"/>
      <c r="K49" s="31"/>
      <c r="L49" s="456"/>
      <c r="M49" s="457"/>
      <c r="N49" s="2517"/>
      <c r="O49" s="2517"/>
      <c r="P49" s="2541"/>
      <c r="Q49" s="2505"/>
      <c r="R49" s="2436"/>
      <c r="S49" s="2436"/>
      <c r="T49" s="2436"/>
      <c r="U49" s="2436"/>
      <c r="V49" s="2436"/>
      <c r="W49" s="2436"/>
      <c r="X49" s="2436"/>
      <c r="Y49" s="2436"/>
      <c r="Z49" s="2436"/>
      <c r="AA49" s="2436"/>
      <c r="AB49" s="2436"/>
      <c r="AC49" s="2436"/>
      <c r="AD49" s="2436"/>
    </row>
    <row r="50" spans="1:30" s="102" customFormat="1" ht="15.75" thickBot="1">
      <c r="A50" s="454"/>
      <c r="B50" s="443"/>
      <c r="C50" s="562">
        <v>100</v>
      </c>
      <c r="D50" s="445"/>
      <c r="E50" s="445"/>
      <c r="F50" s="445"/>
      <c r="G50" s="445"/>
      <c r="H50" s="445"/>
      <c r="I50" s="445"/>
      <c r="J50" s="445"/>
      <c r="K50" s="445"/>
      <c r="L50" s="445"/>
      <c r="M50" s="447"/>
      <c r="N50" s="2517"/>
      <c r="O50" s="2517"/>
      <c r="P50" s="2505"/>
      <c r="Q50" s="2505"/>
      <c r="R50" s="2436"/>
      <c r="S50" s="2436"/>
      <c r="T50" s="2436"/>
      <c r="U50" s="2436"/>
      <c r="V50" s="2436"/>
      <c r="W50" s="2436"/>
      <c r="X50" s="2436"/>
      <c r="Y50" s="2436"/>
      <c r="Z50" s="2436"/>
      <c r="AA50" s="2436"/>
      <c r="AB50" s="2436"/>
      <c r="AC50" s="2436"/>
      <c r="AD50" s="2436"/>
    </row>
    <row r="51" spans="1:30">
      <c r="A51" s="378" t="s">
        <v>1717</v>
      </c>
      <c r="B51" s="459" t="s">
        <v>1683</v>
      </c>
      <c r="C51" s="460">
        <f>C9</f>
        <v>0</v>
      </c>
      <c r="D51" s="461"/>
      <c r="E51" s="461"/>
      <c r="F51" s="461"/>
      <c r="G51" s="461"/>
      <c r="H51" s="461"/>
      <c r="I51" s="461"/>
      <c r="J51" s="461"/>
      <c r="K51" s="462"/>
      <c r="L51" s="463"/>
      <c r="M51" s="464"/>
      <c r="N51" s="2518"/>
      <c r="O51" s="2518"/>
      <c r="P51" s="2517"/>
      <c r="Q51" s="2505"/>
      <c r="R51" s="2484"/>
      <c r="S51" s="2484"/>
      <c r="T51" s="2484"/>
      <c r="U51" s="2484"/>
      <c r="V51" s="2484"/>
      <c r="W51" s="2484"/>
      <c r="X51" s="2484"/>
      <c r="Y51" s="2484"/>
      <c r="Z51" s="2484"/>
      <c r="AA51" s="2484"/>
      <c r="AB51" s="2484"/>
      <c r="AC51" s="2484"/>
      <c r="AD51" s="2484"/>
    </row>
    <row r="52" spans="1:30" ht="15.75" thickBot="1">
      <c r="A52" s="366"/>
      <c r="B52" s="465"/>
      <c r="C52" s="466">
        <v>100</v>
      </c>
      <c r="D52" s="466"/>
      <c r="E52" s="466"/>
      <c r="F52" s="466"/>
      <c r="G52" s="466"/>
      <c r="H52" s="466"/>
      <c r="I52" s="466"/>
      <c r="J52" s="466"/>
      <c r="K52" s="466"/>
      <c r="L52" s="466"/>
      <c r="M52" s="467"/>
      <c r="N52" s="2519"/>
      <c r="O52" s="2519"/>
      <c r="P52" s="2517"/>
      <c r="Q52" s="2505"/>
      <c r="R52" s="2484"/>
      <c r="S52" s="2484"/>
      <c r="T52" s="2484"/>
      <c r="U52" s="2484"/>
      <c r="V52" s="2484"/>
      <c r="W52" s="2484"/>
      <c r="X52" s="2484"/>
      <c r="Y52" s="2484"/>
      <c r="Z52" s="2484"/>
      <c r="AA52" s="2484"/>
      <c r="AB52" s="2484"/>
      <c r="AC52" s="2484"/>
      <c r="AD52" s="2484"/>
    </row>
    <row r="53" spans="1:30" ht="27.75" thickTop="1">
      <c r="A53" s="366"/>
      <c r="B53" s="468" t="s">
        <v>1686</v>
      </c>
      <c r="C53" s="512"/>
      <c r="D53" s="512"/>
      <c r="E53" s="512"/>
      <c r="F53" s="512"/>
      <c r="G53" s="512"/>
      <c r="H53" s="512"/>
      <c r="I53" s="512"/>
      <c r="J53" s="512"/>
      <c r="K53" s="513"/>
      <c r="L53" s="514"/>
      <c r="M53" s="515"/>
      <c r="N53" s="2518"/>
      <c r="O53" s="2518"/>
      <c r="P53" s="2517"/>
      <c r="Q53" s="2505"/>
      <c r="R53" s="2484"/>
      <c r="S53" s="2484"/>
      <c r="T53" s="2484"/>
      <c r="U53" s="2484"/>
      <c r="V53" s="2484"/>
      <c r="W53" s="2484"/>
      <c r="X53" s="2484"/>
      <c r="Y53" s="2484"/>
      <c r="Z53" s="2484"/>
      <c r="AA53" s="2484"/>
      <c r="AB53" s="2484"/>
      <c r="AC53" s="2484"/>
      <c r="AD53" s="2484"/>
    </row>
    <row r="54" spans="1:30" ht="15.75" thickBot="1">
      <c r="A54" s="366"/>
      <c r="B54" s="473"/>
      <c r="C54" s="466"/>
      <c r="D54" s="466"/>
      <c r="E54" s="466"/>
      <c r="F54" s="466"/>
      <c r="G54" s="466"/>
      <c r="H54" s="466"/>
      <c r="I54" s="466"/>
      <c r="J54" s="466"/>
      <c r="K54" s="466"/>
      <c r="L54" s="466"/>
      <c r="M54" s="467"/>
      <c r="N54" s="2519"/>
      <c r="O54" s="2519"/>
      <c r="P54" s="2517"/>
      <c r="Q54" s="2505"/>
      <c r="R54" s="2484"/>
      <c r="S54" s="2484"/>
      <c r="T54" s="2484"/>
      <c r="U54" s="2484"/>
      <c r="V54" s="2484"/>
      <c r="W54" s="2484"/>
      <c r="X54" s="2484"/>
      <c r="Y54" s="2484"/>
      <c r="Z54" s="2484"/>
      <c r="AA54" s="2484"/>
      <c r="AB54" s="2484"/>
      <c r="AC54" s="2484"/>
      <c r="AD54" s="2484"/>
    </row>
    <row r="55" spans="1:30" ht="15.75" thickTop="1">
      <c r="A55" s="366"/>
      <c r="B55" s="580">
        <f>B11</f>
        <v>111</v>
      </c>
      <c r="C55" s="479"/>
      <c r="D55" s="479"/>
      <c r="E55" s="479"/>
      <c r="F55" s="479"/>
      <c r="G55" s="479"/>
      <c r="H55" s="479"/>
      <c r="I55" s="479"/>
      <c r="J55" s="479"/>
      <c r="K55" s="480"/>
      <c r="L55" s="481"/>
      <c r="M55" s="482"/>
      <c r="N55" s="2518"/>
      <c r="O55" s="2518"/>
      <c r="P55" s="2517"/>
      <c r="Q55" s="2505"/>
      <c r="R55" s="2484"/>
      <c r="S55" s="2484"/>
      <c r="T55" s="2484"/>
      <c r="U55" s="2484"/>
      <c r="V55" s="2484"/>
      <c r="W55" s="2484"/>
      <c r="X55" s="2484"/>
      <c r="Y55" s="2484"/>
      <c r="Z55" s="2484"/>
      <c r="AA55" s="2484"/>
      <c r="AB55" s="2484"/>
      <c r="AC55" s="2484"/>
      <c r="AD55" s="2484"/>
    </row>
    <row r="56" spans="1:30" ht="15.75" thickBot="1">
      <c r="A56" s="366"/>
      <c r="B56" s="465"/>
      <c r="C56" s="490"/>
      <c r="D56" s="466"/>
      <c r="E56" s="466"/>
      <c r="F56" s="466"/>
      <c r="G56" s="466"/>
      <c r="H56" s="466"/>
      <c r="I56" s="466"/>
      <c r="J56" s="466"/>
      <c r="K56" s="466"/>
      <c r="L56" s="466"/>
      <c r="M56" s="467"/>
      <c r="N56" s="2519"/>
      <c r="O56" s="2519"/>
      <c r="P56" s="2517"/>
      <c r="Q56" s="2505"/>
      <c r="R56" s="2484"/>
      <c r="S56" s="2484"/>
      <c r="T56" s="2484"/>
      <c r="U56" s="2484"/>
      <c r="V56" s="2484"/>
      <c r="W56" s="2484"/>
      <c r="X56" s="2484"/>
      <c r="Y56" s="2484"/>
      <c r="Z56" s="2484"/>
      <c r="AA56" s="2484"/>
      <c r="AB56" s="2484"/>
      <c r="AC56" s="2484"/>
      <c r="AD56" s="2484"/>
    </row>
    <row r="57" spans="1:30" s="407" customFormat="1" ht="15.75" thickTop="1">
      <c r="A57" s="483"/>
      <c r="B57" s="468">
        <f>B12</f>
        <v>111</v>
      </c>
      <c r="C57" s="479"/>
      <c r="D57" s="479"/>
      <c r="E57" s="479"/>
      <c r="F57" s="479"/>
      <c r="G57" s="484"/>
      <c r="H57" s="485"/>
      <c r="I57" s="485"/>
      <c r="J57" s="485"/>
      <c r="K57" s="485"/>
      <c r="L57" s="486"/>
      <c r="M57" s="487"/>
      <c r="N57" s="2520"/>
      <c r="O57" s="2520"/>
      <c r="P57" s="2520"/>
      <c r="Q57" s="2512"/>
      <c r="R57" s="2490"/>
      <c r="S57" s="2490"/>
      <c r="T57" s="2490"/>
      <c r="U57" s="2490"/>
      <c r="V57" s="2490"/>
      <c r="W57" s="2490"/>
      <c r="X57" s="2490"/>
      <c r="Y57" s="2490"/>
      <c r="Z57" s="2490"/>
      <c r="AA57" s="2490"/>
      <c r="AB57" s="2490"/>
      <c r="AC57" s="2490"/>
      <c r="AD57" s="2490"/>
    </row>
    <row r="58" spans="1:30" s="407" customFormat="1" ht="15.75" thickBot="1">
      <c r="A58" s="483"/>
      <c r="B58" s="473"/>
      <c r="C58" s="490"/>
      <c r="D58" s="466"/>
      <c r="E58" s="466"/>
      <c r="F58" s="466"/>
      <c r="G58" s="466"/>
      <c r="H58" s="466"/>
      <c r="I58" s="466"/>
      <c r="J58" s="466"/>
      <c r="K58" s="466"/>
      <c r="L58" s="466"/>
      <c r="M58" s="467"/>
      <c r="N58" s="2519"/>
      <c r="O58" s="2519"/>
      <c r="P58" s="2520"/>
      <c r="Q58" s="2512"/>
      <c r="R58" s="2490"/>
      <c r="S58" s="2490"/>
      <c r="T58" s="2490"/>
      <c r="U58" s="2490"/>
      <c r="V58" s="2490"/>
      <c r="W58" s="2490"/>
      <c r="X58" s="2490"/>
      <c r="Y58" s="2490"/>
      <c r="Z58" s="2490"/>
      <c r="AA58" s="2490"/>
      <c r="AB58" s="2490"/>
      <c r="AC58" s="2490"/>
      <c r="AD58" s="2490"/>
    </row>
    <row r="59" spans="1:30" s="407" customFormat="1" ht="15.75" thickTop="1">
      <c r="A59" s="483"/>
      <c r="B59" s="468">
        <f>B13</f>
        <v>111</v>
      </c>
      <c r="C59" s="479"/>
      <c r="D59" s="479"/>
      <c r="E59" s="479"/>
      <c r="F59" s="479"/>
      <c r="G59" s="484"/>
      <c r="H59" s="485"/>
      <c r="I59" s="485"/>
      <c r="J59" s="485"/>
      <c r="K59" s="485"/>
      <c r="L59" s="486"/>
      <c r="M59" s="487"/>
      <c r="N59" s="2520"/>
      <c r="O59" s="2520"/>
      <c r="P59" s="2490"/>
      <c r="Q59" s="2514"/>
      <c r="R59" s="2490"/>
      <c r="S59" s="2490"/>
      <c r="T59" s="2490"/>
      <c r="U59" s="2490"/>
      <c r="V59" s="2490"/>
      <c r="W59" s="2490"/>
      <c r="X59" s="2490"/>
      <c r="Y59" s="2490"/>
      <c r="Z59" s="2490"/>
      <c r="AA59" s="2490"/>
      <c r="AB59" s="2490"/>
      <c r="AC59" s="2490"/>
      <c r="AD59" s="2490"/>
    </row>
    <row r="60" spans="1:30" s="407" customFormat="1" ht="15.75" thickBot="1">
      <c r="A60" s="483"/>
      <c r="B60" s="473"/>
      <c r="C60" s="490"/>
      <c r="D60" s="490"/>
      <c r="E60" s="490"/>
      <c r="F60" s="490"/>
      <c r="G60" s="490"/>
      <c r="H60" s="492"/>
      <c r="I60" s="492"/>
      <c r="J60" s="492"/>
      <c r="K60" s="492"/>
      <c r="L60" s="492"/>
      <c r="M60" s="493"/>
      <c r="N60" s="2520"/>
      <c r="O60" s="2520"/>
      <c r="P60" s="2520"/>
      <c r="Q60" s="2512"/>
      <c r="R60" s="2490"/>
      <c r="S60" s="2490"/>
      <c r="T60" s="2490"/>
      <c r="U60" s="2490"/>
      <c r="V60" s="2490"/>
      <c r="W60" s="2490"/>
      <c r="X60" s="2490"/>
      <c r="Y60" s="2490"/>
      <c r="Z60" s="2490"/>
      <c r="AA60" s="2490"/>
      <c r="AB60" s="2490"/>
      <c r="AC60" s="2490"/>
      <c r="AD60" s="2490"/>
    </row>
    <row r="61" spans="1:30" ht="15" thickTop="1">
      <c r="A61" s="378" t="s">
        <v>1688</v>
      </c>
      <c r="B61" s="459" t="s">
        <v>1724</v>
      </c>
      <c r="C61" s="503" t="s">
        <v>1719</v>
      </c>
      <c r="D61" s="503" t="s">
        <v>1720</v>
      </c>
      <c r="E61" s="503" t="s">
        <v>1721</v>
      </c>
      <c r="F61" s="503" t="s">
        <v>1722</v>
      </c>
      <c r="G61" s="503" t="s">
        <v>1723</v>
      </c>
      <c r="H61" s="460"/>
      <c r="I61" s="460"/>
      <c r="J61" s="460"/>
      <c r="K61" s="504"/>
      <c r="L61" s="505"/>
      <c r="M61" s="506"/>
      <c r="N61" s="2518"/>
      <c r="O61" s="2518"/>
      <c r="P61" s="2542"/>
      <c r="Q61" s="2505"/>
      <c r="R61" s="2484"/>
      <c r="S61" s="2484"/>
      <c r="T61" s="2484"/>
      <c r="U61" s="2484"/>
      <c r="V61" s="2484"/>
      <c r="W61" s="2484"/>
      <c r="X61" s="2484"/>
      <c r="Y61" s="2484"/>
      <c r="Z61" s="2484"/>
      <c r="AA61" s="2484"/>
      <c r="AB61" s="2484"/>
      <c r="AC61" s="2484"/>
      <c r="AD61" s="2484"/>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9"/>
      <c r="O62" s="2519"/>
      <c r="P62" s="2517"/>
      <c r="Q62" s="2505"/>
      <c r="R62" s="2484"/>
      <c r="S62" s="2484"/>
      <c r="T62" s="2484"/>
      <c r="U62" s="2484"/>
      <c r="V62" s="2484"/>
      <c r="W62" s="2484"/>
      <c r="X62" s="2484"/>
      <c r="Y62" s="2484"/>
      <c r="Z62" s="2484"/>
      <c r="AA62" s="2484"/>
      <c r="AB62" s="2484"/>
      <c r="AC62" s="2484"/>
      <c r="AD62" s="2484"/>
    </row>
    <row r="63" spans="1:30" ht="27.75" thickTop="1">
      <c r="A63" s="366"/>
      <c r="B63" s="468" t="s">
        <v>1861</v>
      </c>
      <c r="C63" s="508" t="s">
        <v>1719</v>
      </c>
      <c r="D63" s="508" t="s">
        <v>1720</v>
      </c>
      <c r="E63" s="508" t="s">
        <v>1721</v>
      </c>
      <c r="F63" s="508" t="s">
        <v>1722</v>
      </c>
      <c r="G63" s="508" t="s">
        <v>1723</v>
      </c>
      <c r="H63" s="469"/>
      <c r="I63" s="469"/>
      <c r="J63" s="469"/>
      <c r="K63" s="470"/>
      <c r="L63" s="471"/>
      <c r="M63" s="472"/>
      <c r="N63" s="2518"/>
      <c r="O63" s="2518"/>
      <c r="P63" s="2517"/>
      <c r="Q63" s="2505"/>
      <c r="R63" s="2484"/>
      <c r="S63" s="2484"/>
      <c r="T63" s="2484"/>
      <c r="U63" s="2484"/>
      <c r="V63" s="2484"/>
      <c r="W63" s="2484"/>
      <c r="X63" s="2484"/>
      <c r="Y63" s="2484"/>
      <c r="Z63" s="2484"/>
      <c r="AA63" s="2484"/>
      <c r="AB63" s="2484"/>
      <c r="AC63" s="2484"/>
      <c r="AD63" s="2484"/>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9"/>
      <c r="O64" s="2519"/>
      <c r="P64" s="2517"/>
      <c r="Q64" s="2505"/>
      <c r="R64" s="2484"/>
      <c r="S64" s="2484"/>
      <c r="T64" s="2484"/>
      <c r="U64" s="2484"/>
      <c r="V64" s="2484"/>
      <c r="W64" s="2484"/>
      <c r="X64" s="2484"/>
      <c r="Y64" s="2484"/>
      <c r="Z64" s="2484"/>
      <c r="AA64" s="2484"/>
      <c r="AB64" s="2484"/>
      <c r="AC64" s="2484"/>
      <c r="AD64" s="2484"/>
    </row>
    <row r="65" spans="1:30" ht="15.75" thickTop="1">
      <c r="A65" s="366"/>
      <c r="B65" s="476" t="s">
        <v>1811</v>
      </c>
      <c r="C65" s="580" t="s">
        <v>1797</v>
      </c>
      <c r="D65" s="580" t="s">
        <v>1798</v>
      </c>
      <c r="E65" s="580" t="s">
        <v>1799</v>
      </c>
      <c r="F65" s="580" t="s">
        <v>1800</v>
      </c>
      <c r="G65" s="580" t="s">
        <v>1801</v>
      </c>
      <c r="H65" s="469"/>
      <c r="I65" s="469"/>
      <c r="J65" s="469"/>
      <c r="K65" s="469"/>
      <c r="L65" s="469"/>
      <c r="M65" s="1062"/>
      <c r="N65" s="2519"/>
      <c r="O65" s="2519"/>
      <c r="P65" s="2517"/>
      <c r="Q65" s="2505"/>
      <c r="R65" s="2484"/>
      <c r="S65" s="2484"/>
      <c r="T65" s="2484"/>
      <c r="U65" s="2484"/>
      <c r="V65" s="2484"/>
      <c r="W65" s="2484"/>
      <c r="X65" s="2484"/>
      <c r="Y65" s="2484"/>
      <c r="Z65" s="2484"/>
      <c r="AA65" s="2484"/>
      <c r="AB65" s="2484"/>
      <c r="AC65" s="2484"/>
      <c r="AD65" s="2484"/>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9"/>
      <c r="O66" s="2519"/>
      <c r="P66" s="2517"/>
      <c r="Q66" s="2505"/>
      <c r="R66" s="2484"/>
      <c r="S66" s="2484"/>
      <c r="T66" s="2484"/>
      <c r="U66" s="2484"/>
      <c r="V66" s="2484"/>
      <c r="W66" s="2484"/>
      <c r="X66" s="2484"/>
      <c r="Y66" s="2484"/>
      <c r="Z66" s="2484"/>
      <c r="AA66" s="2484"/>
      <c r="AB66" s="2484"/>
      <c r="AC66" s="2484"/>
      <c r="AD66" s="2484"/>
    </row>
    <row r="67" spans="1:30" ht="15.75" thickTop="1">
      <c r="A67" s="366"/>
      <c r="B67" s="468" t="s">
        <v>1731</v>
      </c>
      <c r="C67" s="508" t="s">
        <v>1719</v>
      </c>
      <c r="D67" s="508" t="s">
        <v>1720</v>
      </c>
      <c r="E67" s="508" t="s">
        <v>1721</v>
      </c>
      <c r="F67" s="508" t="s">
        <v>1722</v>
      </c>
      <c r="G67" s="508" t="s">
        <v>1723</v>
      </c>
      <c r="H67" s="469"/>
      <c r="I67" s="469"/>
      <c r="J67" s="469"/>
      <c r="K67" s="470"/>
      <c r="L67" s="471"/>
      <c r="M67" s="472"/>
      <c r="N67" s="2518"/>
      <c r="O67" s="2518"/>
      <c r="P67" s="2517"/>
      <c r="Q67" s="2505"/>
      <c r="R67" s="2484"/>
      <c r="S67" s="2484"/>
      <c r="T67" s="2484"/>
      <c r="U67" s="2484"/>
      <c r="V67" s="2484"/>
      <c r="W67" s="2484"/>
      <c r="X67" s="2484"/>
      <c r="Y67" s="2484"/>
      <c r="Z67" s="2484"/>
      <c r="AA67" s="2484"/>
      <c r="AB67" s="2484"/>
      <c r="AC67" s="2484"/>
      <c r="AD67" s="2484"/>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9"/>
      <c r="O68" s="2519"/>
      <c r="P68" s="2517"/>
      <c r="Q68" s="2505"/>
      <c r="R68" s="2484"/>
      <c r="S68" s="2484"/>
      <c r="T68" s="2484"/>
      <c r="U68" s="2484"/>
      <c r="V68" s="2484"/>
      <c r="W68" s="2484"/>
      <c r="X68" s="2484"/>
      <c r="Y68" s="2484"/>
      <c r="Z68" s="2484"/>
      <c r="AA68" s="2484"/>
      <c r="AB68" s="2484"/>
      <c r="AC68" s="2484"/>
      <c r="AD68" s="2484"/>
    </row>
    <row r="69" spans="1:30" ht="15.75" thickTop="1">
      <c r="A69" s="366"/>
      <c r="B69" s="468" t="s">
        <v>1850</v>
      </c>
      <c r="C69" s="484"/>
      <c r="D69" s="484"/>
      <c r="E69" s="484"/>
      <c r="F69" s="484"/>
      <c r="G69" s="484"/>
      <c r="H69" s="512"/>
      <c r="I69" s="512"/>
      <c r="J69" s="512"/>
      <c r="K69" s="513"/>
      <c r="L69" s="514"/>
      <c r="M69" s="515"/>
      <c r="N69" s="2518"/>
      <c r="O69" s="2518"/>
      <c r="P69" s="2517"/>
      <c r="Q69" s="2505"/>
      <c r="R69" s="2484"/>
      <c r="S69" s="2484"/>
      <c r="T69" s="2484"/>
      <c r="U69" s="2484"/>
      <c r="V69" s="2484"/>
      <c r="W69" s="2484"/>
      <c r="X69" s="2484"/>
      <c r="Y69" s="2484"/>
      <c r="Z69" s="2484"/>
      <c r="AA69" s="2484"/>
      <c r="AB69" s="2484"/>
      <c r="AC69" s="2484"/>
      <c r="AD69" s="2484"/>
    </row>
    <row r="70" spans="1:30" ht="15.75" thickBot="1">
      <c r="A70" s="366"/>
      <c r="B70" s="473"/>
      <c r="C70" s="474">
        <v>100</v>
      </c>
      <c r="D70" s="474">
        <f>C70-$K22</f>
        <v>100</v>
      </c>
      <c r="E70" s="474"/>
      <c r="F70" s="474"/>
      <c r="G70" s="474"/>
      <c r="H70" s="474"/>
      <c r="I70" s="474"/>
      <c r="J70" s="474"/>
      <c r="K70" s="474"/>
      <c r="L70" s="474"/>
      <c r="M70" s="475"/>
      <c r="N70" s="2519"/>
      <c r="O70" s="2519"/>
      <c r="P70" s="2517"/>
      <c r="Q70" s="2505"/>
      <c r="R70" s="2484"/>
      <c r="S70" s="2484"/>
      <c r="T70" s="2484"/>
      <c r="U70" s="2484"/>
      <c r="V70" s="2484"/>
      <c r="W70" s="2484"/>
      <c r="X70" s="2484"/>
      <c r="Y70" s="2484"/>
      <c r="Z70" s="2484"/>
      <c r="AA70" s="2484"/>
      <c r="AB70" s="2484"/>
      <c r="AC70" s="2484"/>
      <c r="AD70" s="2484"/>
    </row>
    <row r="71" spans="1:30" s="102" customFormat="1" ht="15.75" thickTop="1">
      <c r="A71" s="369"/>
      <c r="B71" s="468">
        <f>B23</f>
        <v>111</v>
      </c>
      <c r="C71" s="479"/>
      <c r="D71" s="479"/>
      <c r="E71" s="479"/>
      <c r="F71" s="479"/>
      <c r="G71" s="484"/>
      <c r="H71" s="484"/>
      <c r="I71" s="484"/>
      <c r="J71" s="484"/>
      <c r="K71" s="484"/>
      <c r="L71" s="509"/>
      <c r="M71" s="510"/>
      <c r="N71" s="2517"/>
      <c r="O71" s="2517"/>
      <c r="P71" s="2517"/>
      <c r="Q71" s="2505"/>
      <c r="R71" s="2436"/>
      <c r="S71" s="2436"/>
      <c r="T71" s="2436"/>
      <c r="U71" s="2436"/>
      <c r="V71" s="2436"/>
      <c r="W71" s="2436"/>
      <c r="X71" s="2436"/>
      <c r="Y71" s="2436"/>
      <c r="Z71" s="2436"/>
      <c r="AA71" s="2436"/>
      <c r="AB71" s="2436"/>
      <c r="AC71" s="2436"/>
      <c r="AD71" s="2436"/>
    </row>
    <row r="72" spans="1:30" s="102" customFormat="1" ht="15.75" thickBot="1">
      <c r="A72" s="369"/>
      <c r="B72" s="473"/>
      <c r="C72" s="490"/>
      <c r="D72" s="466"/>
      <c r="E72" s="466"/>
      <c r="F72" s="466"/>
      <c r="G72" s="466"/>
      <c r="H72" s="466"/>
      <c r="I72" s="466"/>
      <c r="J72" s="466"/>
      <c r="K72" s="466"/>
      <c r="L72" s="466"/>
      <c r="M72" s="467"/>
      <c r="N72" s="2519"/>
      <c r="O72" s="2519"/>
      <c r="P72" s="2517"/>
      <c r="Q72" s="2505"/>
      <c r="R72" s="2436"/>
      <c r="S72" s="2436"/>
      <c r="T72" s="2436"/>
      <c r="U72" s="2436"/>
      <c r="V72" s="2436"/>
      <c r="W72" s="2436"/>
      <c r="X72" s="2436"/>
      <c r="Y72" s="2436"/>
      <c r="Z72" s="2436"/>
      <c r="AA72" s="2436"/>
      <c r="AB72" s="2436"/>
      <c r="AC72" s="2436"/>
      <c r="AD72" s="2436"/>
    </row>
    <row r="73" spans="1:30" s="102" customFormat="1" ht="15.75" thickTop="1">
      <c r="A73" s="369"/>
      <c r="B73" s="468">
        <f>B24</f>
        <v>111</v>
      </c>
      <c r="C73" s="479"/>
      <c r="D73" s="479"/>
      <c r="E73" s="479"/>
      <c r="F73" s="479"/>
      <c r="G73" s="484"/>
      <c r="H73" s="484"/>
      <c r="I73" s="484"/>
      <c r="J73" s="484"/>
      <c r="K73" s="484"/>
      <c r="L73" s="484"/>
      <c r="M73" s="510"/>
      <c r="N73" s="2517"/>
      <c r="O73" s="2517"/>
      <c r="P73" s="2517"/>
      <c r="Q73" s="2505"/>
      <c r="R73" s="2436"/>
      <c r="S73" s="2436"/>
      <c r="T73" s="2436"/>
      <c r="U73" s="2436"/>
      <c r="V73" s="2436"/>
      <c r="W73" s="2436"/>
      <c r="X73" s="2436"/>
      <c r="Y73" s="2436"/>
      <c r="Z73" s="2436"/>
      <c r="AA73" s="2436"/>
      <c r="AB73" s="2436"/>
      <c r="AC73" s="2436"/>
      <c r="AD73" s="2436"/>
    </row>
    <row r="74" spans="1:30" s="102" customFormat="1" ht="15.75" thickBot="1">
      <c r="A74" s="369"/>
      <c r="B74" s="473"/>
      <c r="C74" s="490"/>
      <c r="D74" s="466"/>
      <c r="E74" s="466"/>
      <c r="F74" s="466"/>
      <c r="G74" s="466"/>
      <c r="H74" s="466"/>
      <c r="I74" s="466"/>
      <c r="J74" s="466"/>
      <c r="K74" s="466"/>
      <c r="L74" s="466"/>
      <c r="M74" s="467"/>
      <c r="N74" s="2519"/>
      <c r="O74" s="2519"/>
      <c r="P74" s="2517"/>
      <c r="Q74" s="2505"/>
      <c r="R74" s="2436"/>
      <c r="S74" s="2436"/>
      <c r="T74" s="2436"/>
      <c r="U74" s="2436"/>
      <c r="V74" s="2436"/>
      <c r="W74" s="2436"/>
      <c r="X74" s="2436"/>
      <c r="Y74" s="2436"/>
      <c r="Z74" s="2436"/>
      <c r="AA74" s="2436"/>
      <c r="AB74" s="2436"/>
      <c r="AC74" s="2436"/>
      <c r="AD74" s="2436"/>
    </row>
    <row r="75" spans="1:30" s="407" customFormat="1" ht="15.75" thickTop="1">
      <c r="A75" s="483"/>
      <c r="B75" s="468">
        <f>B25</f>
        <v>111</v>
      </c>
      <c r="C75" s="479"/>
      <c r="D75" s="479"/>
      <c r="E75" s="479"/>
      <c r="F75" s="479"/>
      <c r="G75" s="484"/>
      <c r="H75" s="485"/>
      <c r="I75" s="485"/>
      <c r="J75" s="485"/>
      <c r="K75" s="485"/>
      <c r="L75" s="486"/>
      <c r="M75" s="487"/>
      <c r="N75" s="2520"/>
      <c r="O75" s="2520"/>
      <c r="P75" s="2520"/>
      <c r="Q75" s="2512"/>
      <c r="R75" s="2490"/>
      <c r="S75" s="2490"/>
      <c r="T75" s="2490"/>
      <c r="U75" s="2490"/>
      <c r="V75" s="2490"/>
      <c r="W75" s="2490"/>
      <c r="X75" s="2490"/>
      <c r="Y75" s="2490"/>
      <c r="Z75" s="2490"/>
      <c r="AA75" s="2490"/>
      <c r="AB75" s="2490"/>
      <c r="AC75" s="2490"/>
      <c r="AD75" s="2490"/>
    </row>
    <row r="76" spans="1:30" s="407" customFormat="1" ht="15.75" thickBot="1">
      <c r="A76" s="483"/>
      <c r="B76" s="473"/>
      <c r="C76" s="490"/>
      <c r="D76" s="490"/>
      <c r="E76" s="490"/>
      <c r="F76" s="490"/>
      <c r="G76" s="466"/>
      <c r="H76" s="466"/>
      <c r="I76" s="466"/>
      <c r="J76" s="466"/>
      <c r="K76" s="466"/>
      <c r="L76" s="466"/>
      <c r="M76" s="467"/>
      <c r="N76" s="2520"/>
      <c r="O76" s="2520"/>
      <c r="P76" s="2520"/>
      <c r="Q76" s="2512"/>
      <c r="R76" s="2490"/>
      <c r="S76" s="2490"/>
      <c r="T76" s="2490"/>
      <c r="U76" s="2490"/>
      <c r="V76" s="2490"/>
      <c r="W76" s="2490"/>
      <c r="X76" s="2490"/>
      <c r="Y76" s="2490"/>
      <c r="Z76" s="2490"/>
      <c r="AA76" s="2490"/>
      <c r="AB76" s="2490"/>
      <c r="AC76" s="2490"/>
      <c r="AD76" s="2490"/>
    </row>
    <row r="77" spans="1:30" ht="15" thickTop="1">
      <c r="A77" s="378" t="s">
        <v>1692</v>
      </c>
      <c r="B77" s="459" t="s">
        <v>1738</v>
      </c>
      <c r="C77" s="484"/>
      <c r="D77" s="484"/>
      <c r="E77" s="461"/>
      <c r="F77" s="461"/>
      <c r="G77" s="461"/>
      <c r="H77" s="461"/>
      <c r="I77" s="461"/>
      <c r="J77" s="461"/>
      <c r="K77" s="462"/>
      <c r="L77" s="463"/>
      <c r="M77" s="464"/>
      <c r="N77" s="2518"/>
      <c r="O77" s="2518"/>
      <c r="P77" s="2517"/>
      <c r="Q77" s="2505"/>
      <c r="R77" s="2484"/>
      <c r="S77" s="2484"/>
      <c r="T77" s="2484"/>
      <c r="U77" s="2484"/>
      <c r="V77" s="2484"/>
      <c r="W77" s="2484"/>
      <c r="X77" s="2484"/>
      <c r="Y77" s="2484"/>
      <c r="Z77" s="2484"/>
      <c r="AA77" s="2484"/>
      <c r="AB77" s="2484"/>
      <c r="AC77" s="2484"/>
      <c r="AD77" s="2484"/>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9"/>
      <c r="O78" s="2519"/>
      <c r="P78" s="2517"/>
      <c r="Q78" s="2505"/>
      <c r="R78" s="2484"/>
      <c r="S78" s="2484"/>
      <c r="T78" s="2484"/>
      <c r="U78" s="2484"/>
      <c r="V78" s="2484"/>
      <c r="W78" s="2484"/>
      <c r="X78" s="2484"/>
      <c r="Y78" s="2484"/>
      <c r="Z78" s="2484"/>
      <c r="AA78" s="2484"/>
      <c r="AB78" s="2484"/>
      <c r="AC78" s="2484"/>
      <c r="AD78" s="2484"/>
    </row>
    <row r="79" spans="1:30" ht="15.75" thickTop="1">
      <c r="A79" s="366"/>
      <c r="B79" s="468" t="s">
        <v>1853</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7"/>
      <c r="O79" s="2517"/>
      <c r="P79" s="2517"/>
      <c r="Q79" s="2505"/>
      <c r="R79" s="2484"/>
      <c r="S79" s="2484"/>
      <c r="T79" s="2484"/>
      <c r="U79" s="2484"/>
      <c r="V79" s="2484"/>
      <c r="W79" s="2484"/>
      <c r="X79" s="2484"/>
      <c r="Y79" s="2484"/>
      <c r="Z79" s="2484"/>
      <c r="AA79" s="2484"/>
      <c r="AB79" s="2484"/>
      <c r="AC79" s="2484"/>
      <c r="AD79" s="2484"/>
    </row>
    <row r="80" spans="1:30" ht="15">
      <c r="A80" s="366"/>
      <c r="B80" s="476"/>
      <c r="C80" s="529">
        <v>0.5</v>
      </c>
      <c r="D80" s="529">
        <v>0.6</v>
      </c>
      <c r="E80" s="529">
        <v>0.7</v>
      </c>
      <c r="F80" s="529">
        <v>0.8</v>
      </c>
      <c r="G80" s="529">
        <v>0.9</v>
      </c>
      <c r="H80" s="529">
        <v>1.0001</v>
      </c>
      <c r="I80" s="580"/>
      <c r="J80" s="580"/>
      <c r="K80" s="587"/>
      <c r="L80" s="588"/>
      <c r="M80" s="589"/>
      <c r="N80" s="2517"/>
      <c r="O80" s="2517"/>
      <c r="P80" s="2517"/>
      <c r="Q80" s="2505"/>
      <c r="R80" s="2484"/>
      <c r="S80" s="2484"/>
      <c r="T80" s="2484"/>
      <c r="U80" s="2484"/>
      <c r="V80" s="2484"/>
      <c r="W80" s="2484"/>
      <c r="X80" s="2484"/>
      <c r="Y80" s="2484"/>
      <c r="Z80" s="2484"/>
      <c r="AA80" s="2484"/>
      <c r="AB80" s="2484"/>
      <c r="AC80" s="2484"/>
      <c r="AD80" s="2484"/>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8"/>
      <c r="B82" s="476" t="s">
        <v>1854</v>
      </c>
      <c r="C82" s="484"/>
      <c r="D82" s="484"/>
      <c r="E82" s="512"/>
      <c r="F82" s="512"/>
      <c r="G82" s="512"/>
      <c r="H82" s="512"/>
      <c r="I82" s="512"/>
      <c r="J82" s="512"/>
      <c r="K82" s="513"/>
      <c r="L82" s="514"/>
      <c r="M82" s="515"/>
      <c r="N82" s="2518"/>
      <c r="O82" s="2518"/>
      <c r="P82" s="2517"/>
      <c r="Q82" s="2505"/>
      <c r="R82" s="2484"/>
      <c r="S82" s="2484"/>
      <c r="T82" s="2484"/>
      <c r="U82" s="2484"/>
      <c r="V82" s="2484"/>
      <c r="W82" s="2484"/>
      <c r="X82" s="2484"/>
      <c r="Y82" s="2484"/>
      <c r="Z82" s="2484"/>
      <c r="AA82" s="2484"/>
      <c r="AB82" s="2484"/>
      <c r="AC82" s="2484"/>
      <c r="AD82" s="2484"/>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8"/>
      <c r="B84" s="468" t="s">
        <v>1862</v>
      </c>
      <c r="C84" s="484"/>
      <c r="D84" s="484"/>
      <c r="E84" s="484"/>
      <c r="F84" s="484"/>
      <c r="G84" s="484"/>
      <c r="H84" s="484"/>
      <c r="I84" s="512"/>
      <c r="J84" s="512"/>
      <c r="K84" s="513"/>
      <c r="L84" s="514"/>
      <c r="M84" s="515"/>
      <c r="N84" s="2518"/>
      <c r="O84" s="2518"/>
      <c r="P84" s="2517"/>
      <c r="Q84" s="2505"/>
      <c r="R84" s="2484"/>
      <c r="S84" s="2484"/>
      <c r="T84" s="2484"/>
      <c r="U84" s="2484"/>
      <c r="V84" s="2484"/>
      <c r="W84" s="2484"/>
      <c r="X84" s="2484"/>
      <c r="Y84" s="2484"/>
      <c r="Z84" s="2484"/>
      <c r="AA84" s="2484"/>
      <c r="AB84" s="2484"/>
      <c r="AC84" s="2484"/>
      <c r="AD84" s="2484"/>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8"/>
      <c r="B86" s="476" t="s">
        <v>1863</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8"/>
      <c r="B87" s="476"/>
      <c r="C87" s="6"/>
      <c r="D87" s="6"/>
      <c r="E87" s="6"/>
      <c r="F87" s="6"/>
      <c r="G87" s="6"/>
      <c r="H87" s="6"/>
      <c r="I87" s="6"/>
      <c r="J87" s="523"/>
      <c r="K87" s="523"/>
      <c r="L87" s="524"/>
      <c r="M87" s="525"/>
      <c r="N87" s="2518"/>
      <c r="O87" s="2518"/>
      <c r="P87" s="2517"/>
      <c r="Q87" s="2505"/>
      <c r="R87" s="2484"/>
      <c r="S87" s="2484"/>
      <c r="T87" s="2484"/>
      <c r="U87" s="2484"/>
      <c r="V87" s="2484"/>
      <c r="W87" s="2484"/>
      <c r="X87" s="2484"/>
      <c r="Y87" s="2484"/>
      <c r="Z87" s="2484"/>
      <c r="AA87" s="2484"/>
      <c r="AB87" s="2484"/>
      <c r="AC87" s="2484"/>
      <c r="AD87" s="2484"/>
    </row>
    <row r="88" spans="1:30" ht="15.75" thickBot="1">
      <c r="A88" s="366"/>
      <c r="B88" s="473"/>
      <c r="C88" s="490"/>
      <c r="D88" s="466"/>
      <c r="E88" s="466"/>
      <c r="F88" s="466"/>
      <c r="G88" s="466"/>
      <c r="H88" s="466"/>
      <c r="I88" s="466"/>
      <c r="J88" s="466"/>
      <c r="K88" s="466"/>
      <c r="L88" s="466"/>
      <c r="M88" s="466"/>
      <c r="N88" s="2519"/>
      <c r="O88" s="2519"/>
      <c r="P88" s="2517"/>
      <c r="Q88" s="2505"/>
      <c r="R88" s="2484"/>
      <c r="S88" s="2484"/>
      <c r="T88" s="2484"/>
      <c r="U88" s="2484"/>
      <c r="V88" s="2484"/>
      <c r="W88" s="2484"/>
      <c r="X88" s="2484"/>
      <c r="Y88" s="2484"/>
      <c r="Z88" s="2484"/>
      <c r="AA88" s="2484"/>
      <c r="AB88" s="2484"/>
      <c r="AC88" s="2484"/>
      <c r="AD88" s="2484"/>
    </row>
    <row r="89" spans="1:30" s="407" customFormat="1" ht="15" thickTop="1">
      <c r="A89" s="405"/>
      <c r="B89" s="468" t="s">
        <v>1864</v>
      </c>
      <c r="C89" s="484"/>
      <c r="D89" s="484"/>
      <c r="E89" s="484"/>
      <c r="F89" s="484"/>
      <c r="G89" s="484"/>
      <c r="H89" s="484"/>
      <c r="I89" s="484"/>
      <c r="J89" s="484"/>
      <c r="K89" s="484"/>
      <c r="L89" s="484"/>
      <c r="M89" s="510"/>
      <c r="N89" s="2520"/>
      <c r="O89" s="2520"/>
      <c r="P89" s="2520"/>
      <c r="Q89" s="2512"/>
      <c r="R89" s="2490"/>
      <c r="S89" s="2490"/>
      <c r="T89" s="2490"/>
      <c r="U89" s="2490"/>
      <c r="V89" s="2490"/>
      <c r="W89" s="2490"/>
      <c r="X89" s="2490"/>
      <c r="Y89" s="2490"/>
      <c r="Z89" s="2490"/>
      <c r="AA89" s="2490"/>
      <c r="AB89" s="2490"/>
      <c r="AC89" s="2490"/>
      <c r="AD89" s="2490"/>
    </row>
    <row r="90" spans="1:30" s="407" customFormat="1" ht="15.75" thickBot="1">
      <c r="A90" s="483"/>
      <c r="B90" s="473"/>
      <c r="C90" s="490"/>
      <c r="D90" s="466"/>
      <c r="E90" s="466"/>
      <c r="F90" s="466"/>
      <c r="G90" s="466"/>
      <c r="H90" s="466"/>
      <c r="I90" s="466"/>
      <c r="J90" s="466"/>
      <c r="K90" s="466"/>
      <c r="L90" s="466"/>
      <c r="M90" s="467"/>
      <c r="N90" s="2520"/>
      <c r="O90" s="2520"/>
      <c r="P90" s="2520"/>
      <c r="Q90" s="2512"/>
      <c r="R90" s="2490"/>
      <c r="S90" s="2490"/>
      <c r="T90" s="2490"/>
      <c r="U90" s="2490"/>
      <c r="V90" s="2490"/>
      <c r="W90" s="2490"/>
      <c r="X90" s="2490"/>
      <c r="Y90" s="2490"/>
      <c r="Z90" s="2490"/>
      <c r="AA90" s="2490"/>
      <c r="AB90" s="2490"/>
      <c r="AC90" s="2490"/>
      <c r="AD90" s="2490"/>
    </row>
    <row r="91" spans="1:30" ht="15" thickTop="1">
      <c r="A91" s="408"/>
      <c r="B91" s="468">
        <f>B32</f>
        <v>111</v>
      </c>
      <c r="C91" s="479"/>
      <c r="D91" s="479"/>
      <c r="E91" s="479"/>
      <c r="F91" s="479"/>
      <c r="G91" s="484"/>
      <c r="H91" s="485"/>
      <c r="I91" s="485"/>
      <c r="J91" s="485"/>
      <c r="K91" s="485"/>
      <c r="L91" s="486"/>
      <c r="M91" s="487"/>
      <c r="N91" s="2518"/>
      <c r="O91" s="2518"/>
      <c r="P91" s="2517"/>
      <c r="Q91" s="2505"/>
      <c r="R91" s="2484"/>
      <c r="S91" s="2484"/>
      <c r="T91" s="2484"/>
      <c r="U91" s="2484"/>
      <c r="V91" s="2484"/>
      <c r="W91" s="2484"/>
      <c r="X91" s="2484"/>
      <c r="Y91" s="2484"/>
      <c r="Z91" s="2484"/>
      <c r="AA91" s="2484"/>
      <c r="AB91" s="2484"/>
      <c r="AC91" s="2484"/>
      <c r="AD91" s="2484"/>
    </row>
    <row r="92" spans="1:30" ht="15.75" thickBot="1">
      <c r="A92" s="366"/>
      <c r="B92" s="473"/>
      <c r="C92" s="490"/>
      <c r="D92" s="466"/>
      <c r="E92" s="466"/>
      <c r="F92" s="466"/>
      <c r="G92" s="490"/>
      <c r="H92" s="492"/>
      <c r="I92" s="492"/>
      <c r="J92" s="492"/>
      <c r="K92" s="492"/>
      <c r="L92" s="492"/>
      <c r="M92" s="493"/>
      <c r="N92" s="2519"/>
      <c r="O92" s="2519"/>
      <c r="P92" s="2517"/>
      <c r="Q92" s="2505"/>
      <c r="R92" s="2484"/>
      <c r="S92" s="2484"/>
      <c r="T92" s="2484"/>
      <c r="U92" s="2484"/>
      <c r="V92" s="2484"/>
      <c r="W92" s="2484"/>
      <c r="X92" s="2484"/>
      <c r="Y92" s="2484"/>
      <c r="Z92" s="2484"/>
      <c r="AA92" s="2484"/>
      <c r="AB92" s="2484"/>
      <c r="AC92" s="2484"/>
      <c r="AD92" s="2484"/>
    </row>
    <row r="93" spans="1:30" ht="15" thickTop="1">
      <c r="A93" s="408"/>
      <c r="B93" s="468">
        <f>B33</f>
        <v>111</v>
      </c>
      <c r="C93" s="479"/>
      <c r="D93" s="479"/>
      <c r="E93" s="479"/>
      <c r="F93" s="479"/>
      <c r="G93" s="484"/>
      <c r="H93" s="485"/>
      <c r="I93" s="485"/>
      <c r="J93" s="485"/>
      <c r="K93" s="485"/>
      <c r="L93" s="486"/>
      <c r="M93" s="487"/>
      <c r="N93" s="2518"/>
      <c r="O93" s="2518"/>
      <c r="P93" s="2517"/>
      <c r="Q93" s="2505"/>
      <c r="R93" s="2484"/>
      <c r="S93" s="2484"/>
      <c r="T93" s="2484"/>
      <c r="U93" s="2484"/>
      <c r="V93" s="2484"/>
      <c r="W93" s="2484"/>
      <c r="X93" s="2484"/>
      <c r="Y93" s="2484"/>
      <c r="Z93" s="2484"/>
      <c r="AA93" s="2484"/>
      <c r="AB93" s="2484"/>
      <c r="AC93" s="2484"/>
      <c r="AD93" s="2484"/>
    </row>
    <row r="94" spans="1:30" ht="15.75" thickBot="1">
      <c r="A94" s="366"/>
      <c r="B94" s="473"/>
      <c r="C94" s="490"/>
      <c r="D94" s="466"/>
      <c r="E94" s="466"/>
      <c r="F94" s="466"/>
      <c r="G94" s="490"/>
      <c r="H94" s="492"/>
      <c r="I94" s="492"/>
      <c r="J94" s="492"/>
      <c r="K94" s="492"/>
      <c r="L94" s="492"/>
      <c r="M94" s="493"/>
      <c r="N94" s="2519"/>
      <c r="O94" s="2519"/>
      <c r="P94" s="2517"/>
      <c r="Q94" s="2505"/>
      <c r="R94" s="2484"/>
      <c r="S94" s="2484"/>
      <c r="T94" s="2484"/>
      <c r="U94" s="2484"/>
      <c r="V94" s="2484"/>
      <c r="W94" s="2484"/>
      <c r="X94" s="2484"/>
      <c r="Y94" s="2484"/>
      <c r="Z94" s="2484"/>
      <c r="AA94" s="2484"/>
      <c r="AB94" s="2484"/>
      <c r="AC94" s="2484"/>
      <c r="AD94" s="2484"/>
    </row>
    <row r="95" spans="1:30" ht="15" thickTop="1">
      <c r="A95" s="408"/>
      <c r="B95" s="559">
        <f>B34</f>
        <v>111</v>
      </c>
      <c r="C95" s="479"/>
      <c r="D95" s="479"/>
      <c r="E95" s="479"/>
      <c r="F95" s="479"/>
      <c r="G95" s="484"/>
      <c r="H95" s="485"/>
      <c r="I95" s="485"/>
      <c r="J95" s="485"/>
      <c r="K95" s="485"/>
      <c r="L95" s="486"/>
      <c r="M95" s="487"/>
      <c r="N95" s="2519"/>
      <c r="O95" s="2519"/>
      <c r="P95" s="2519"/>
      <c r="Q95" s="2533"/>
      <c r="R95" s="2484"/>
      <c r="S95" s="2484"/>
      <c r="T95" s="2484"/>
      <c r="U95" s="2484"/>
      <c r="V95" s="2484"/>
      <c r="W95" s="2484"/>
      <c r="X95" s="2484"/>
      <c r="Y95" s="2484"/>
      <c r="Z95" s="2484"/>
      <c r="AA95" s="2484"/>
      <c r="AB95" s="2484"/>
      <c r="AC95" s="2484"/>
      <c r="AD95" s="2484"/>
    </row>
    <row r="96" spans="1:30" ht="15.75" thickBot="1">
      <c r="A96" s="366"/>
      <c r="B96" s="473"/>
      <c r="C96" s="490"/>
      <c r="D96" s="490"/>
      <c r="E96" s="490"/>
      <c r="F96" s="490"/>
      <c r="G96" s="490"/>
      <c r="H96" s="492"/>
      <c r="I96" s="492"/>
      <c r="J96" s="492"/>
      <c r="K96" s="492"/>
      <c r="L96" s="492"/>
      <c r="M96" s="493"/>
      <c r="N96" s="2519"/>
      <c r="O96" s="2519"/>
      <c r="P96" s="2517"/>
      <c r="Q96" s="2505"/>
      <c r="R96" s="2484"/>
      <c r="S96" s="2484"/>
      <c r="T96" s="2484"/>
      <c r="U96" s="2484"/>
      <c r="V96" s="2484"/>
      <c r="W96" s="2484"/>
      <c r="X96" s="2484"/>
      <c r="Y96" s="2484"/>
      <c r="Z96" s="2484"/>
      <c r="AA96" s="2484"/>
      <c r="AB96" s="2484"/>
      <c r="AC96" s="2484"/>
      <c r="AD96" s="2484"/>
    </row>
    <row r="97" spans="1:30" ht="15" thickTop="1">
      <c r="N97" s="2484"/>
      <c r="O97" s="2484"/>
      <c r="P97" s="2484"/>
      <c r="Q97" s="2484"/>
      <c r="R97" s="2484"/>
      <c r="S97" s="2484"/>
      <c r="T97" s="2484"/>
      <c r="U97" s="2484"/>
      <c r="V97" s="2484"/>
      <c r="W97" s="2484"/>
      <c r="X97" s="2484"/>
      <c r="Y97" s="2484"/>
      <c r="Z97" s="2484"/>
      <c r="AA97" s="2484"/>
      <c r="AB97" s="2484"/>
      <c r="AC97" s="2484"/>
      <c r="AD97" s="2484"/>
    </row>
    <row r="98" spans="1:30">
      <c r="A98" s="881"/>
      <c r="B98" s="881"/>
      <c r="C98" s="881"/>
      <c r="D98" s="881"/>
      <c r="E98" s="881"/>
      <c r="F98" s="881"/>
      <c r="G98" s="881"/>
      <c r="H98" s="881"/>
      <c r="I98" s="881"/>
      <c r="J98" s="881"/>
      <c r="K98" s="882"/>
      <c r="L98" s="883"/>
      <c r="M98" s="881"/>
      <c r="N98" s="2484"/>
      <c r="O98" s="2484"/>
      <c r="P98" s="2484"/>
      <c r="Q98" s="2484"/>
      <c r="R98" s="2484"/>
      <c r="S98" s="2484"/>
      <c r="T98" s="2484"/>
      <c r="U98" s="2484"/>
      <c r="V98" s="2484"/>
      <c r="W98" s="2484"/>
      <c r="X98" s="2484"/>
      <c r="Y98" s="2484"/>
      <c r="Z98" s="2484"/>
      <c r="AA98" s="2484"/>
      <c r="AB98" s="2484"/>
      <c r="AC98" s="2484"/>
      <c r="AD98" s="2484"/>
    </row>
    <row r="99" spans="1:30">
      <c r="A99" s="881"/>
      <c r="B99" s="881"/>
      <c r="C99" s="881"/>
      <c r="D99" s="881"/>
      <c r="E99" s="881"/>
      <c r="F99" s="881"/>
      <c r="G99" s="881"/>
      <c r="H99" s="881"/>
      <c r="I99" s="881"/>
      <c r="J99" s="881"/>
      <c r="K99" s="882"/>
      <c r="L99" s="883"/>
      <c r="M99" s="881"/>
      <c r="N99" s="2484"/>
      <c r="O99" s="2484"/>
      <c r="P99" s="2484"/>
      <c r="Q99" s="2484"/>
      <c r="R99" s="2484"/>
      <c r="S99" s="2484"/>
      <c r="T99" s="2484"/>
      <c r="U99" s="2484"/>
      <c r="V99" s="2484"/>
      <c r="W99" s="2484"/>
      <c r="X99" s="2484"/>
      <c r="Y99" s="2484"/>
      <c r="Z99" s="2484"/>
      <c r="AA99" s="2484"/>
      <c r="AB99" s="2484"/>
      <c r="AC99" s="2484"/>
      <c r="AD99" s="2484"/>
    </row>
    <row r="100" spans="1:30">
      <c r="A100" s="881"/>
      <c r="B100" s="881"/>
      <c r="C100" s="881"/>
      <c r="D100" s="881"/>
      <c r="E100" s="881"/>
      <c r="F100" s="881"/>
      <c r="G100" s="881"/>
      <c r="H100" s="881"/>
      <c r="I100" s="881"/>
      <c r="J100" s="881"/>
      <c r="K100" s="882"/>
      <c r="L100" s="883"/>
      <c r="M100" s="881"/>
      <c r="N100" s="2484"/>
      <c r="O100" s="2484"/>
      <c r="P100" s="2484"/>
      <c r="Q100" s="2484"/>
      <c r="R100" s="2484"/>
      <c r="S100" s="2484"/>
      <c r="T100" s="2484"/>
      <c r="U100" s="2484"/>
      <c r="V100" s="2484"/>
      <c r="W100" s="2484"/>
      <c r="X100" s="2484"/>
      <c r="Y100" s="2484"/>
      <c r="Z100" s="2484"/>
      <c r="AA100" s="2484"/>
      <c r="AB100" s="2484"/>
      <c r="AC100" s="2484"/>
      <c r="AD100" s="2484"/>
    </row>
    <row r="101" spans="1:30">
      <c r="A101" s="881"/>
      <c r="B101" s="881"/>
      <c r="C101" s="881"/>
      <c r="D101" s="881"/>
      <c r="E101" s="881"/>
      <c r="F101" s="881"/>
      <c r="G101" s="881"/>
      <c r="H101" s="881"/>
      <c r="I101" s="881"/>
      <c r="J101" s="881"/>
      <c r="K101" s="882"/>
      <c r="L101" s="883"/>
      <c r="M101" s="881"/>
      <c r="N101" s="2484"/>
      <c r="O101" s="2484"/>
      <c r="P101" s="2484"/>
      <c r="Q101" s="2484"/>
      <c r="R101" s="2484"/>
      <c r="S101" s="2484"/>
      <c r="T101" s="2484"/>
      <c r="U101" s="2484"/>
      <c r="V101" s="2484"/>
      <c r="W101" s="2484"/>
      <c r="X101" s="2484"/>
      <c r="Y101" s="2484"/>
      <c r="Z101" s="2484"/>
      <c r="AA101" s="2484"/>
      <c r="AB101" s="2484"/>
      <c r="AC101" s="2484"/>
      <c r="AD101" s="2484"/>
    </row>
    <row r="102" spans="1:30">
      <c r="A102" s="881"/>
      <c r="B102" s="881"/>
      <c r="C102" s="881"/>
      <c r="D102" s="881"/>
      <c r="E102" s="881"/>
      <c r="F102" s="881"/>
      <c r="G102" s="881"/>
      <c r="H102" s="881"/>
      <c r="I102" s="881"/>
      <c r="J102" s="881"/>
      <c r="K102" s="882"/>
      <c r="L102" s="883"/>
      <c r="M102" s="881"/>
      <c r="N102" s="2484"/>
      <c r="O102" s="2484"/>
      <c r="P102" s="2484"/>
      <c r="Q102" s="2484"/>
      <c r="R102" s="2484"/>
      <c r="S102" s="2484"/>
      <c r="T102" s="2484"/>
      <c r="U102" s="2484"/>
      <c r="V102" s="2484"/>
      <c r="W102" s="2484"/>
      <c r="X102" s="2484"/>
      <c r="Y102" s="2484"/>
      <c r="Z102" s="2484"/>
      <c r="AA102" s="2484"/>
      <c r="AB102" s="2484"/>
      <c r="AC102" s="2484"/>
      <c r="AD102" s="2484"/>
    </row>
    <row r="103" spans="1:30">
      <c r="A103" s="881"/>
      <c r="B103" s="881"/>
      <c r="C103" s="881"/>
      <c r="D103" s="881"/>
      <c r="E103" s="881"/>
      <c r="F103" s="881"/>
      <c r="G103" s="881"/>
      <c r="H103" s="881"/>
      <c r="I103" s="881"/>
      <c r="J103" s="881"/>
      <c r="K103" s="882"/>
      <c r="L103" s="883"/>
      <c r="M103" s="881"/>
      <c r="N103" s="881"/>
      <c r="O103" s="881"/>
      <c r="P103" s="2484"/>
      <c r="Q103" s="2484"/>
      <c r="R103" s="2484"/>
      <c r="S103" s="2484"/>
      <c r="T103" s="2484"/>
      <c r="U103" s="2484"/>
      <c r="V103" s="2484"/>
      <c r="W103" s="2484"/>
      <c r="X103" s="2484"/>
      <c r="Y103" s="2484"/>
      <c r="Z103" s="2484"/>
      <c r="AA103" s="2484"/>
      <c r="AB103" s="2484"/>
      <c r="AC103" s="2484"/>
      <c r="AD103" s="2484"/>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xr:uid="{00000000-0002-0000-2400-000000000000}">
      <formula1>交通便捷度</formula1>
    </dataValidation>
    <dataValidation type="list" allowBlank="1" showInputMessage="1" showErrorMessage="1" sqref="G17 C17 E17 I17" xr:uid="{00000000-0002-0000-2400-000001000000}">
      <formula1>公共配套设施</formula1>
    </dataValidation>
    <dataValidation type="list" allowBlank="1" showInputMessage="1" showErrorMessage="1" sqref="D1" xr:uid="{00000000-0002-0000-2400-000002000000}">
      <formula1>项目类型</formula1>
    </dataValidation>
    <dataValidation type="list" allowBlank="1" showInputMessage="1" showErrorMessage="1" sqref="C8 E8 G8 I8" xr:uid="{00000000-0002-0000-2400-000003000000}">
      <formula1>仓储交易情况</formula1>
    </dataValidation>
    <dataValidation type="list" allowBlank="1" showInputMessage="1" showErrorMessage="1" sqref="E9 G9 I9" xr:uid="{00000000-0002-0000-2400-000004000000}">
      <formula1>仓储用途</formula1>
    </dataValidation>
    <dataValidation type="list" allowBlank="1" showInputMessage="1" showErrorMessage="1" sqref="C21 E21 G21 I21" xr:uid="{00000000-0002-0000-2400-000005000000}">
      <formula1>环境</formula1>
    </dataValidation>
    <dataValidation type="list" allowBlank="1" showInputMessage="1" showErrorMessage="1" sqref="C22 E22 G22 I22" xr:uid="{00000000-0002-0000-2400-000006000000}">
      <formula1>仓储楼层</formula1>
    </dataValidation>
    <dataValidation type="list" allowBlank="1" showInputMessage="1" showErrorMessage="1" sqref="C26 E26 G26 I26" xr:uid="{00000000-0002-0000-2400-000007000000}">
      <formula1>仓储公共部分装修</formula1>
    </dataValidation>
    <dataValidation type="list" allowBlank="1" showInputMessage="1" showErrorMessage="1" sqref="C29 E29 G29 I29" xr:uid="{00000000-0002-0000-2400-000008000000}">
      <formula1>有无电梯</formula1>
    </dataValidation>
    <dataValidation type="list" allowBlank="1" showInputMessage="1" showErrorMessage="1" sqref="C31 E31 G31 I31" xr:uid="{00000000-0002-0000-2400-000009000000}">
      <formula1>是否封闭</formula1>
    </dataValidation>
    <dataValidation type="list" allowBlank="1" showInputMessage="1" showErrorMessage="1" sqref="B1" xr:uid="{00000000-0002-0000-2400-00000A000000}">
      <formula1>地类判定</formula1>
    </dataValidation>
    <dataValidation type="list" allowBlank="1" showInputMessage="1" showErrorMessage="1" sqref="C28 E28 G28 I28" xr:uid="{00000000-0002-0000-2400-00000B000000}">
      <formula1>仓储物业等级</formula1>
    </dataValidation>
    <dataValidation type="list" allowBlank="1" showInputMessage="1" showErrorMessage="1" sqref="C19 E19 G19 I19" xr:uid="{00000000-0002-0000-2400-00000C000000}">
      <formula1>基础设施水平</formula1>
    </dataValidation>
    <dataValidation type="list" allowBlank="1" showInputMessage="1" showErrorMessage="1" sqref="F1" xr:uid="{00000000-0002-0000-2400-00000D000000}">
      <formula1>"售价,租金"</formula1>
    </dataValidation>
    <dataValidation type="list" allowBlank="1" showInputMessage="1" showErrorMessage="1" sqref="C2" xr:uid="{00000000-0002-0000-2400-00000E000000}">
      <formula1>"需扣减承租人权益,——"</formula1>
    </dataValidation>
    <dataValidation type="list" allowBlank="1" showInputMessage="1" showErrorMessage="1" sqref="F2" xr:uid="{00000000-0002-0000-2400-00000F000000}">
      <formula1>估价方法</formula1>
    </dataValidation>
    <dataValidation type="list" allowBlank="1" showInputMessage="1" showErrorMessage="1" sqref="D36" xr:uid="{00000000-0002-0000-2400-000010000000}">
      <formula1>"简单平均,加权平均"</formula1>
    </dataValidation>
    <dataValidation type="list" allowBlank="1" showInputMessage="1" showErrorMessage="1" sqref="E1" xr:uid="{00000000-0002-0000-24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5">
    <tabColor rgb="FF92D050"/>
    <pageSetUpPr fitToPage="1"/>
  </sheetPr>
  <dimension ref="A1:AC131"/>
  <sheetViews>
    <sheetView view="pageBreakPreview" zoomScale="60" zoomScaleNormal="60" workbookViewId="0">
      <selection activeCell="H43" sqref="H43"/>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1865</v>
      </c>
      <c r="B1" s="339"/>
      <c r="C1" s="340" t="s">
        <v>1866</v>
      </c>
      <c r="D1" s="650"/>
      <c r="E1" s="650"/>
      <c r="F1" s="649" t="s">
        <v>1765</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1460</v>
      </c>
      <c r="B2" s="590" t="e">
        <f>F65</f>
        <v>#DIV/0!</v>
      </c>
      <c r="C2" s="853"/>
      <c r="D2" s="853"/>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1462</v>
      </c>
      <c r="B3" s="535" t="e">
        <f>ROUND(IF(D3="",B2*10000/'数据-汇总表'!E3,B2*10000/D3),0)</f>
        <v>#DIV/0!</v>
      </c>
      <c r="C3" s="194" t="s">
        <v>1867</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5">
      <c r="A4" s="344" t="s">
        <v>1767</v>
      </c>
      <c r="B4" s="345"/>
      <c r="C4" s="3392" t="s">
        <v>1768</v>
      </c>
      <c r="D4" s="3393"/>
      <c r="E4" s="3394" t="s">
        <v>1769</v>
      </c>
      <c r="F4" s="3395"/>
      <c r="G4" s="3392" t="s">
        <v>1770</v>
      </c>
      <c r="H4" s="3393"/>
      <c r="I4" s="3392" t="s">
        <v>1771</v>
      </c>
      <c r="J4" s="3393"/>
      <c r="K4" s="536" t="s">
        <v>1772</v>
      </c>
      <c r="L4" s="2483"/>
      <c r="M4" s="2484"/>
      <c r="N4" s="2484"/>
      <c r="O4" s="2484"/>
      <c r="P4" s="3396" t="s">
        <v>1773</v>
      </c>
      <c r="Q4" s="3397"/>
      <c r="R4" s="3402" t="s">
        <v>1769</v>
      </c>
      <c r="S4" s="3403"/>
      <c r="T4" s="3402" t="s">
        <v>1770</v>
      </c>
      <c r="U4" s="3403"/>
      <c r="V4" s="3375" t="s">
        <v>1771</v>
      </c>
      <c r="W4" s="3375"/>
      <c r="X4" s="1264"/>
      <c r="Y4" s="3402" t="s">
        <v>1773</v>
      </c>
      <c r="Z4" s="3403"/>
      <c r="AA4" s="3389" t="s">
        <v>1769</v>
      </c>
      <c r="AB4" s="3390" t="s">
        <v>1770</v>
      </c>
      <c r="AC4" s="3389" t="s">
        <v>1771</v>
      </c>
    </row>
    <row r="5" spans="1:29" ht="15">
      <c r="A5" s="347"/>
      <c r="B5" s="348"/>
      <c r="C5" s="3415" t="s">
        <v>1671</v>
      </c>
      <c r="D5" s="3411"/>
      <c r="E5" s="3468" t="s">
        <v>1672</v>
      </c>
      <c r="F5" s="3419"/>
      <c r="G5" s="3415" t="s">
        <v>1673</v>
      </c>
      <c r="H5" s="3411"/>
      <c r="I5" s="3415" t="s">
        <v>1674</v>
      </c>
      <c r="J5" s="3411"/>
      <c r="K5" s="536"/>
      <c r="L5" s="2483"/>
      <c r="M5" s="2484"/>
      <c r="N5" s="2484"/>
      <c r="O5" s="2484"/>
      <c r="P5" s="3398"/>
      <c r="Q5" s="3399"/>
      <c r="R5" s="3404"/>
      <c r="S5" s="3405"/>
      <c r="T5" s="3404"/>
      <c r="U5" s="3405"/>
      <c r="V5" s="3375"/>
      <c r="W5" s="3375"/>
      <c r="X5" s="1264"/>
      <c r="Y5" s="3404"/>
      <c r="Z5" s="3405"/>
      <c r="AA5" s="3390"/>
      <c r="AB5" s="3390"/>
      <c r="AC5" s="3390"/>
    </row>
    <row r="6" spans="1:29" ht="15.75" thickBot="1">
      <c r="A6" s="349"/>
      <c r="B6" s="350"/>
      <c r="C6" s="3408" t="s">
        <v>1675</v>
      </c>
      <c r="D6" s="3409"/>
      <c r="E6" s="3416" t="s">
        <v>1675</v>
      </c>
      <c r="F6" s="3417"/>
      <c r="G6" s="3408" t="s">
        <v>1675</v>
      </c>
      <c r="H6" s="3409"/>
      <c r="I6" s="3408" t="s">
        <v>1675</v>
      </c>
      <c r="J6" s="3409"/>
      <c r="K6" s="536" t="s">
        <v>1676</v>
      </c>
      <c r="L6" s="2483"/>
      <c r="M6" s="2484"/>
      <c r="N6" s="2484"/>
      <c r="O6" s="2484"/>
      <c r="P6" s="3400"/>
      <c r="Q6" s="3401"/>
      <c r="R6" s="3404"/>
      <c r="S6" s="3405"/>
      <c r="T6" s="3406"/>
      <c r="U6" s="3407"/>
      <c r="V6" s="3375"/>
      <c r="W6" s="3375"/>
      <c r="X6" s="1264"/>
      <c r="Y6" s="3406"/>
      <c r="Z6" s="3407"/>
      <c r="AA6" s="3391"/>
      <c r="AB6" s="3391"/>
      <c r="AC6" s="3391"/>
    </row>
    <row r="7" spans="1:29" s="102" customFormat="1" ht="15.75" thickBot="1">
      <c r="A7" s="351" t="s">
        <v>1677</v>
      </c>
      <c r="B7" s="352"/>
      <c r="C7" s="353">
        <f>'数据-取费表'!B2</f>
        <v>45022</v>
      </c>
      <c r="D7" s="354">
        <v>100</v>
      </c>
      <c r="E7" s="355"/>
      <c r="F7" s="356">
        <f>SUMIF(69:69,YEAR(E7)&amp;"-"&amp;INT((MONTH(E7)+2)/3),70:70)</f>
        <v>0</v>
      </c>
      <c r="G7" s="1821"/>
      <c r="H7" s="354">
        <f>SUMIF(69:69,YEAR(G7)&amp;"-"&amp;INT((MONTH(G7)+2)/3),70:70)</f>
        <v>0</v>
      </c>
      <c r="I7" s="1821"/>
      <c r="J7" s="354">
        <f>SUMIF(69:69,YEAR(I7)&amp;"-"&amp;INT((MONTH(I7)+2)/3),70:70)</f>
        <v>0</v>
      </c>
      <c r="K7" s="38"/>
      <c r="L7" s="2485"/>
      <c r="M7" s="2436"/>
      <c r="N7" s="2436"/>
      <c r="O7" s="2436"/>
      <c r="P7" s="3412" t="s">
        <v>1678</v>
      </c>
      <c r="Q7" s="3414"/>
      <c r="R7" s="663" t="s">
        <v>14</v>
      </c>
      <c r="S7" s="664">
        <f t="shared" ref="S7:S15" si="0">F7</f>
        <v>0</v>
      </c>
      <c r="T7" s="663" t="s">
        <v>14</v>
      </c>
      <c r="U7" s="664">
        <f t="shared" ref="U7:U15" si="1">H7</f>
        <v>0</v>
      </c>
      <c r="V7" s="663" t="s">
        <v>14</v>
      </c>
      <c r="W7" s="664">
        <f t="shared" ref="W7:W15" si="2">J7</f>
        <v>0</v>
      </c>
      <c r="X7" s="665"/>
      <c r="Y7" s="3412" t="s">
        <v>1678</v>
      </c>
      <c r="Z7" s="3413"/>
      <c r="AA7" s="50" t="e">
        <f>D7/F7</f>
        <v>#DIV/0!</v>
      </c>
      <c r="AB7" s="50" t="e">
        <f>D7/H7</f>
        <v>#DIV/0!</v>
      </c>
      <c r="AC7" s="50" t="e">
        <f>D7/J7</f>
        <v>#DIV/0!</v>
      </c>
    </row>
    <row r="8" spans="1:29" s="102" customFormat="1" ht="15.75" thickBot="1">
      <c r="A8" s="351" t="s">
        <v>1679</v>
      </c>
      <c r="B8" s="352"/>
      <c r="C8" s="357" t="s">
        <v>1680</v>
      </c>
      <c r="D8" s="354">
        <v>100</v>
      </c>
      <c r="E8" s="357"/>
      <c r="F8" s="356">
        <f>SUMIF(72:72,E8,73:73)-SUMIF(72:72,C8,73:73)+100</f>
        <v>0</v>
      </c>
      <c r="G8" s="357"/>
      <c r="H8" s="354">
        <f>SUMIF(72:72,G8,73:73)-SUMIF(72:72,C8,73:73)+100</f>
        <v>0</v>
      </c>
      <c r="I8" s="357"/>
      <c r="J8" s="354">
        <f>SUMIF(72:72,I8,73:73)-SUMIF(72:72,C8,73:73)+100</f>
        <v>0</v>
      </c>
      <c r="K8" s="38"/>
      <c r="L8" s="2485"/>
      <c r="M8" s="2436"/>
      <c r="N8" s="2436"/>
      <c r="O8" s="2436"/>
      <c r="P8" s="3412" t="s">
        <v>1681</v>
      </c>
      <c r="Q8" s="3413"/>
      <c r="R8" s="663" t="s">
        <v>14</v>
      </c>
      <c r="S8" s="664">
        <f t="shared" si="0"/>
        <v>0</v>
      </c>
      <c r="T8" s="663" t="s">
        <v>14</v>
      </c>
      <c r="U8" s="664">
        <f t="shared" si="1"/>
        <v>0</v>
      </c>
      <c r="V8" s="663" t="s">
        <v>14</v>
      </c>
      <c r="W8" s="664">
        <f t="shared" si="2"/>
        <v>0</v>
      </c>
      <c r="X8" s="665"/>
      <c r="Y8" s="3412" t="s">
        <v>1681</v>
      </c>
      <c r="Z8" s="3413"/>
      <c r="AA8" s="50" t="e">
        <f t="shared" ref="AA8:AA45" si="3">D8/F8</f>
        <v>#DIV/0!</v>
      </c>
      <c r="AB8" s="50" t="e">
        <f t="shared" ref="AB8:AB45" si="4">D8/H8</f>
        <v>#DIV/0!</v>
      </c>
      <c r="AC8" s="50" t="e">
        <f t="shared" ref="AC8:AC45" si="5">D8/J8</f>
        <v>#DIV/0!</v>
      </c>
    </row>
    <row r="9" spans="1:29" s="102" customFormat="1">
      <c r="A9" s="358" t="s">
        <v>1682</v>
      </c>
      <c r="B9" s="60" t="s">
        <v>1683</v>
      </c>
      <c r="C9" s="1824"/>
      <c r="D9" s="59">
        <v>100</v>
      </c>
      <c r="E9" s="1824"/>
      <c r="F9" s="59">
        <f>SUMIF(74:74,E9,75:75)-SUMIF(74:74,C9,75:75)+100</f>
        <v>100</v>
      </c>
      <c r="G9" s="1824"/>
      <c r="H9" s="59">
        <f>SUMIF(74:74,G9,75:75)-SUMIF(74:74,C9,75:75)+100</f>
        <v>100</v>
      </c>
      <c r="I9" s="1824"/>
      <c r="J9" s="59">
        <f>SUMIF(74:74,I9,75:75)-SUMIF(74:74,C9,75:75)+100</f>
        <v>100</v>
      </c>
      <c r="K9" s="38"/>
      <c r="L9" s="2485"/>
      <c r="M9" s="2436"/>
      <c r="N9" s="2436"/>
      <c r="O9" s="2537"/>
      <c r="P9" s="3374" t="s">
        <v>1684</v>
      </c>
      <c r="Q9" s="529" t="str">
        <f t="shared" ref="Q9:Q15" si="6">B9</f>
        <v>用途</v>
      </c>
      <c r="R9" s="663" t="s">
        <v>14</v>
      </c>
      <c r="S9" s="664">
        <f t="shared" si="0"/>
        <v>100</v>
      </c>
      <c r="T9" s="663" t="s">
        <v>14</v>
      </c>
      <c r="U9" s="664">
        <f t="shared" si="1"/>
        <v>100</v>
      </c>
      <c r="V9" s="663" t="s">
        <v>14</v>
      </c>
      <c r="W9" s="664">
        <f t="shared" si="2"/>
        <v>100</v>
      </c>
      <c r="X9" s="665"/>
      <c r="Y9" s="3281" t="s">
        <v>1685</v>
      </c>
      <c r="Z9" s="50" t="str">
        <f t="shared" ref="Z9:Z15" si="7">Q9</f>
        <v>用途</v>
      </c>
      <c r="AA9" s="50">
        <f t="shared" si="3"/>
        <v>1</v>
      </c>
      <c r="AB9" s="50">
        <f t="shared" si="4"/>
        <v>1</v>
      </c>
      <c r="AC9" s="50">
        <f t="shared" si="5"/>
        <v>1</v>
      </c>
    </row>
    <row r="10" spans="1:29" s="365" customFormat="1" ht="27">
      <c r="A10" s="362"/>
      <c r="B10" s="363" t="s">
        <v>1686</v>
      </c>
      <c r="C10" s="370"/>
      <c r="D10" s="119">
        <v>100</v>
      </c>
      <c r="E10" s="402"/>
      <c r="F10" s="119">
        <f>ROUND(100/'数据-取费表'!G16,0)</f>
        <v>100</v>
      </c>
      <c r="G10" s="401"/>
      <c r="H10" s="119">
        <f>ROUND(100/'数据-取费表'!G16,0)</f>
        <v>100</v>
      </c>
      <c r="I10" s="401"/>
      <c r="J10" s="119">
        <f>ROUND(100/'数据-取费表'!G16,0)</f>
        <v>100</v>
      </c>
      <c r="K10" s="591"/>
      <c r="L10" s="2486"/>
      <c r="M10" s="2487"/>
      <c r="N10" s="2487"/>
      <c r="O10" s="2538"/>
      <c r="P10" s="3374"/>
      <c r="Q10" s="529" t="str">
        <f t="shared" si="6"/>
        <v>土地使用年限（年）</v>
      </c>
      <c r="R10" s="663" t="s">
        <v>14</v>
      </c>
      <c r="S10" s="664">
        <f t="shared" si="0"/>
        <v>100</v>
      </c>
      <c r="T10" s="663" t="s">
        <v>14</v>
      </c>
      <c r="U10" s="664">
        <f t="shared" si="1"/>
        <v>100</v>
      </c>
      <c r="V10" s="663" t="s">
        <v>14</v>
      </c>
      <c r="W10" s="664">
        <f t="shared" si="2"/>
        <v>100</v>
      </c>
      <c r="X10" s="665"/>
      <c r="Y10" s="3281"/>
      <c r="Z10" s="50" t="str">
        <f t="shared" si="7"/>
        <v>土地使用年限（年）</v>
      </c>
      <c r="AA10" s="50">
        <f t="shared" si="3"/>
        <v>1</v>
      </c>
      <c r="AB10" s="50">
        <f t="shared" si="4"/>
        <v>1</v>
      </c>
      <c r="AC10" s="50">
        <f t="shared" si="5"/>
        <v>1</v>
      </c>
    </row>
    <row r="11" spans="1:29" ht="15">
      <c r="A11" s="366"/>
      <c r="B11" s="363" t="s">
        <v>1687</v>
      </c>
      <c r="C11" s="367"/>
      <c r="D11" s="119">
        <v>100</v>
      </c>
      <c r="E11" s="367"/>
      <c r="F11" s="119" t="e">
        <f>LOOKUP(E11,79:79,80:80)-LOOKUP(C11,79:79,80:80)+100</f>
        <v>#N/A</v>
      </c>
      <c r="G11" s="368"/>
      <c r="H11" s="119" t="e">
        <f>LOOKUP(G11,79:79,80:80)-LOOKUP(C11,79:79,80:80)+100</f>
        <v>#N/A</v>
      </c>
      <c r="I11" s="367"/>
      <c r="J11" s="119" t="e">
        <f>LOOKUP(I11,79:79,80:80)-LOOKUP(C11,79:79,80:80)+100</f>
        <v>#N/A</v>
      </c>
      <c r="K11" s="592"/>
      <c r="L11" s="2488"/>
      <c r="M11" s="2484"/>
      <c r="N11" s="2484"/>
      <c r="O11" s="2539"/>
      <c r="P11" s="3374"/>
      <c r="Q11" s="529" t="str">
        <f t="shared" si="6"/>
        <v>容积率</v>
      </c>
      <c r="R11" s="663" t="s">
        <v>14</v>
      </c>
      <c r="S11" s="664" t="e">
        <f t="shared" si="0"/>
        <v>#N/A</v>
      </c>
      <c r="T11" s="663" t="s">
        <v>14</v>
      </c>
      <c r="U11" s="664" t="e">
        <f t="shared" si="1"/>
        <v>#N/A</v>
      </c>
      <c r="V11" s="663" t="s">
        <v>14</v>
      </c>
      <c r="W11" s="664" t="e">
        <f t="shared" si="2"/>
        <v>#N/A</v>
      </c>
      <c r="X11" s="665"/>
      <c r="Y11" s="3281"/>
      <c r="Z11" s="50" t="str">
        <f t="shared" si="7"/>
        <v>容积率</v>
      </c>
      <c r="AA11" s="50" t="e">
        <f t="shared" si="3"/>
        <v>#N/A</v>
      </c>
      <c r="AB11" s="50" t="e">
        <f t="shared" si="4"/>
        <v>#N/A</v>
      </c>
      <c r="AC11" s="50" t="e">
        <f t="shared" si="5"/>
        <v>#N/A</v>
      </c>
    </row>
    <row r="12" spans="1:29" s="102" customFormat="1" ht="15">
      <c r="A12" s="369"/>
      <c r="B12" s="446" t="s">
        <v>1868</v>
      </c>
      <c r="C12" s="370"/>
      <c r="D12" s="371">
        <v>100</v>
      </c>
      <c r="E12" s="402"/>
      <c r="F12" s="119">
        <f>SUMIF(81:81,E12,82:82)-SUMIF(81:81,C12,82:82)+100</f>
        <v>100</v>
      </c>
      <c r="G12" s="401"/>
      <c r="H12" s="119">
        <f>SUMIF(81:81,G12,82:82)-SUMIF(81:81,C12,82:82)+100</f>
        <v>100</v>
      </c>
      <c r="I12" s="402"/>
      <c r="J12" s="119">
        <f>SUMIF(81:81,I12,82:82)-SUMIF(81:81,C12,82:82)+100</f>
        <v>100</v>
      </c>
      <c r="K12" s="591"/>
      <c r="L12" s="2485"/>
      <c r="M12" s="2436"/>
      <c r="N12" s="2436"/>
      <c r="O12" s="2537"/>
      <c r="P12" s="3374"/>
      <c r="Q12" s="529" t="str">
        <f t="shared" si="6"/>
        <v>配建</v>
      </c>
      <c r="R12" s="663" t="s">
        <v>14</v>
      </c>
      <c r="S12" s="664">
        <f t="shared" si="0"/>
        <v>100</v>
      </c>
      <c r="T12" s="663" t="s">
        <v>14</v>
      </c>
      <c r="U12" s="664">
        <f t="shared" si="1"/>
        <v>100</v>
      </c>
      <c r="V12" s="663" t="s">
        <v>14</v>
      </c>
      <c r="W12" s="664">
        <f t="shared" si="2"/>
        <v>100</v>
      </c>
      <c r="X12" s="665"/>
      <c r="Y12" s="3281"/>
      <c r="Z12" s="50" t="str">
        <f t="shared" si="7"/>
        <v>配建</v>
      </c>
      <c r="AA12" s="50">
        <f>D12/F12</f>
        <v>1</v>
      </c>
      <c r="AB12" s="50">
        <f>D12/H12</f>
        <v>1</v>
      </c>
      <c r="AC12" s="50">
        <f>D12/J12</f>
        <v>1</v>
      </c>
    </row>
    <row r="13" spans="1:29" ht="15">
      <c r="A13" s="366"/>
      <c r="B13" s="446">
        <v>111</v>
      </c>
      <c r="C13" s="372"/>
      <c r="D13" s="373">
        <v>100</v>
      </c>
      <c r="E13" s="479"/>
      <c r="F13" s="119">
        <f>SUMIF(83:83,E13,84:84)-SUMIF(83:83,C13,84:84)+100</f>
        <v>100</v>
      </c>
      <c r="G13" s="593"/>
      <c r="H13" s="373">
        <f>SUMIF(83:83,G13,84:84)-SUMIF(83:83,C13,84:84)+100</f>
        <v>100</v>
      </c>
      <c r="I13" s="593"/>
      <c r="J13" s="373">
        <f>SUMIF(83:83,I13,84:84)-SUMIF(83:83,C13,84:84)+100</f>
        <v>100</v>
      </c>
      <c r="K13" s="591"/>
      <c r="L13" s="2489"/>
      <c r="M13" s="2484"/>
      <c r="N13" s="2484"/>
      <c r="O13" s="2539"/>
      <c r="P13" s="3374"/>
      <c r="Q13" s="529">
        <f t="shared" si="6"/>
        <v>111</v>
      </c>
      <c r="R13" s="663" t="s">
        <v>14</v>
      </c>
      <c r="S13" s="664">
        <f t="shared" si="0"/>
        <v>100</v>
      </c>
      <c r="T13" s="663" t="s">
        <v>14</v>
      </c>
      <c r="U13" s="664">
        <f t="shared" si="1"/>
        <v>100</v>
      </c>
      <c r="V13" s="663" t="s">
        <v>14</v>
      </c>
      <c r="W13" s="664">
        <f t="shared" si="2"/>
        <v>100</v>
      </c>
      <c r="X13" s="665"/>
      <c r="Y13" s="3281"/>
      <c r="Z13" s="50">
        <f t="shared" si="7"/>
        <v>111</v>
      </c>
      <c r="AA13" s="50">
        <f>D13/F13</f>
        <v>1</v>
      </c>
      <c r="AB13" s="50">
        <f>D13/H13</f>
        <v>1</v>
      </c>
      <c r="AC13" s="50">
        <f>D13/J13</f>
        <v>1</v>
      </c>
    </row>
    <row r="14" spans="1:29" ht="15.75"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89"/>
      <c r="M14" s="2484"/>
      <c r="N14" s="2484"/>
      <c r="O14" s="2539"/>
      <c r="P14" s="3374"/>
      <c r="Q14" s="529">
        <f t="shared" si="6"/>
        <v>111</v>
      </c>
      <c r="R14" s="663" t="s">
        <v>14</v>
      </c>
      <c r="S14" s="664">
        <f t="shared" si="0"/>
        <v>100</v>
      </c>
      <c r="T14" s="663" t="s">
        <v>14</v>
      </c>
      <c r="U14" s="664">
        <f t="shared" si="1"/>
        <v>100</v>
      </c>
      <c r="V14" s="663" t="s">
        <v>14</v>
      </c>
      <c r="W14" s="664">
        <f t="shared" si="2"/>
        <v>100</v>
      </c>
      <c r="X14" s="665"/>
      <c r="Y14" s="3281"/>
      <c r="Z14" s="50">
        <f t="shared" si="7"/>
        <v>111</v>
      </c>
      <c r="AA14" s="50">
        <f>D14/F14</f>
        <v>1</v>
      </c>
      <c r="AB14" s="50">
        <f>D14/H14</f>
        <v>1</v>
      </c>
      <c r="AC14" s="50">
        <f>D14/J14</f>
        <v>1</v>
      </c>
    </row>
    <row r="15" spans="1:29" ht="15">
      <c r="A15" s="378" t="s">
        <v>1688</v>
      </c>
      <c r="B15" s="58" t="s">
        <v>1257</v>
      </c>
      <c r="C15" s="1749">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89"/>
      <c r="M15" s="2484"/>
      <c r="N15" s="2484"/>
      <c r="O15" s="2539"/>
      <c r="P15" s="3381" t="s">
        <v>1689</v>
      </c>
      <c r="Q15" s="1262" t="str">
        <f t="shared" si="6"/>
        <v>居住社区成熟度</v>
      </c>
      <c r="R15" s="666" t="s">
        <v>14</v>
      </c>
      <c r="S15" s="667">
        <f t="shared" si="0"/>
        <v>100</v>
      </c>
      <c r="T15" s="666" t="s">
        <v>14</v>
      </c>
      <c r="U15" s="667">
        <f t="shared" si="1"/>
        <v>100</v>
      </c>
      <c r="V15" s="666" t="s">
        <v>14</v>
      </c>
      <c r="W15" s="667">
        <f t="shared" si="2"/>
        <v>100</v>
      </c>
      <c r="X15" s="1264"/>
      <c r="Y15" s="3381" t="s">
        <v>1689</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89"/>
      <c r="M16" s="2484"/>
      <c r="N16" s="2484"/>
      <c r="O16" s="2539"/>
      <c r="P16" s="3382"/>
      <c r="Q16" s="1262"/>
      <c r="R16" s="666"/>
      <c r="S16" s="667"/>
      <c r="T16" s="666"/>
      <c r="U16" s="667"/>
      <c r="V16" s="666"/>
      <c r="W16" s="667"/>
      <c r="X16" s="1264"/>
      <c r="Y16" s="3382"/>
      <c r="Z16" s="1263"/>
      <c r="AA16" s="1263">
        <v>1</v>
      </c>
      <c r="AB16" s="1263">
        <v>1</v>
      </c>
      <c r="AC16" s="1263">
        <v>1</v>
      </c>
    </row>
    <row r="17" spans="1:29" ht="15">
      <c r="A17" s="366"/>
      <c r="B17" s="389" t="s">
        <v>1775</v>
      </c>
      <c r="C17" s="1805" t="str">
        <f>估价对象房地状况!C16</f>
        <v>好</v>
      </c>
      <c r="D17" s="388">
        <v>100</v>
      </c>
      <c r="E17" s="390"/>
      <c r="F17" s="388">
        <f>SUMIF(89:89,E18,90:90)-SUMIF(89:89,C18,90:90)+100</f>
        <v>100</v>
      </c>
      <c r="G17" s="390"/>
      <c r="H17" s="393">
        <f>SUMIF(89:89,G18,90:90)-SUMIF(89:89,C18,90:90)+100</f>
        <v>100</v>
      </c>
      <c r="I17" s="392"/>
      <c r="J17" s="393">
        <f>SUMIF(89:89,I18,90:90)-SUMIF(89:89,C18,90:90)+100</f>
        <v>100</v>
      </c>
      <c r="K17" s="592"/>
      <c r="L17" s="2489"/>
      <c r="M17" s="2484"/>
      <c r="N17" s="2484"/>
      <c r="O17" s="2539"/>
      <c r="P17" s="3382"/>
      <c r="Q17" s="1262" t="str">
        <f>B17</f>
        <v>商业繁华度</v>
      </c>
      <c r="R17" s="666" t="s">
        <v>14</v>
      </c>
      <c r="S17" s="667">
        <f>F17</f>
        <v>100</v>
      </c>
      <c r="T17" s="666" t="s">
        <v>14</v>
      </c>
      <c r="U17" s="667">
        <f>H17</f>
        <v>100</v>
      </c>
      <c r="V17" s="666" t="s">
        <v>14</v>
      </c>
      <c r="W17" s="667">
        <f>J17</f>
        <v>100</v>
      </c>
      <c r="X17" s="1264"/>
      <c r="Y17" s="3382"/>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89"/>
      <c r="M18" s="2484"/>
      <c r="N18" s="2484"/>
      <c r="O18" s="2539"/>
      <c r="P18" s="3382"/>
      <c r="Q18" s="1262"/>
      <c r="R18" s="666"/>
      <c r="S18" s="667"/>
      <c r="T18" s="666"/>
      <c r="U18" s="667"/>
      <c r="V18" s="666"/>
      <c r="W18" s="667"/>
      <c r="X18" s="1264"/>
      <c r="Y18" s="3382"/>
      <c r="Z18" s="1263"/>
      <c r="AA18" s="1263">
        <v>1</v>
      </c>
      <c r="AB18" s="1263">
        <v>1</v>
      </c>
      <c r="AC18" s="1263">
        <v>1</v>
      </c>
    </row>
    <row r="19" spans="1:29" ht="15">
      <c r="A19" s="366"/>
      <c r="B19" s="389" t="s">
        <v>1809</v>
      </c>
      <c r="C19" s="1805">
        <f>估价对象房地状况!C17</f>
        <v>0</v>
      </c>
      <c r="D19" s="393">
        <v>100</v>
      </c>
      <c r="E19" s="395"/>
      <c r="F19" s="393">
        <f>SUMIF(91:91,E20,92:92)-SUMIF(91:91,C20,92:92)+100</f>
        <v>100</v>
      </c>
      <c r="G19" s="395"/>
      <c r="H19" s="388">
        <f>SUMIF(91:91,G20,92:92)-SUMIF(91:91,C20,92:92)+100</f>
        <v>100</v>
      </c>
      <c r="I19" s="397"/>
      <c r="J19" s="388">
        <f>SUMIF(91:91,I20,92:92)-SUMIF(91:91,C20,92:92)+100</f>
        <v>100</v>
      </c>
      <c r="K19" s="592"/>
      <c r="L19" s="2489"/>
      <c r="M19" s="2484"/>
      <c r="N19" s="2484"/>
      <c r="O19" s="2539"/>
      <c r="P19" s="3382"/>
      <c r="Q19" s="1262" t="str">
        <f>B19</f>
        <v>办公集聚程度</v>
      </c>
      <c r="R19" s="666" t="s">
        <v>14</v>
      </c>
      <c r="S19" s="667">
        <f>F19</f>
        <v>100</v>
      </c>
      <c r="T19" s="666" t="s">
        <v>14</v>
      </c>
      <c r="U19" s="667">
        <f>H19</f>
        <v>100</v>
      </c>
      <c r="V19" s="666" t="s">
        <v>14</v>
      </c>
      <c r="W19" s="667">
        <f>J19</f>
        <v>100</v>
      </c>
      <c r="X19" s="1264"/>
      <c r="Y19" s="3382"/>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89"/>
      <c r="M20" s="2484"/>
      <c r="N20" s="2484"/>
      <c r="O20" s="2539"/>
      <c r="P20" s="3382"/>
      <c r="Q20" s="1262"/>
      <c r="R20" s="666"/>
      <c r="S20" s="667"/>
      <c r="T20" s="666"/>
      <c r="U20" s="667"/>
      <c r="V20" s="666"/>
      <c r="W20" s="667"/>
      <c r="X20" s="1264"/>
      <c r="Y20" s="3382"/>
      <c r="Z20" s="1263"/>
      <c r="AA20" s="1263">
        <v>1</v>
      </c>
      <c r="AB20" s="1263">
        <v>1</v>
      </c>
      <c r="AC20" s="1263">
        <v>1</v>
      </c>
    </row>
    <row r="21" spans="1:29" ht="15">
      <c r="A21" s="366"/>
      <c r="B21" s="389" t="s">
        <v>1831</v>
      </c>
      <c r="C21" s="1753" t="str">
        <f>估价对象房地状况!C18</f>
        <v>较好</v>
      </c>
      <c r="D21" s="388">
        <v>100</v>
      </c>
      <c r="E21" s="390"/>
      <c r="F21" s="393">
        <f>SUMIF(93:93,E22,94:94)-SUMIF(93:93,C22,94:94)+100</f>
        <v>100</v>
      </c>
      <c r="G21" s="390"/>
      <c r="H21" s="388">
        <f>SUMIF(93:93,G22,94:94)-SUMIF(93:93,C22,94:94)+100</f>
        <v>100</v>
      </c>
      <c r="I21" s="392"/>
      <c r="J21" s="388">
        <f>SUMIF(93:93,I22,94:94)-SUMIF(93:93,C22,94:94)+100</f>
        <v>100</v>
      </c>
      <c r="K21" s="592"/>
      <c r="L21" s="2489"/>
      <c r="M21" s="2484"/>
      <c r="N21" s="2484"/>
      <c r="O21" s="2539"/>
      <c r="P21" s="3382"/>
      <c r="Q21" s="1262" t="str">
        <f>B21</f>
        <v>交通便捷度</v>
      </c>
      <c r="R21" s="666" t="s">
        <v>14</v>
      </c>
      <c r="S21" s="667">
        <f>F21</f>
        <v>100</v>
      </c>
      <c r="T21" s="666" t="s">
        <v>14</v>
      </c>
      <c r="U21" s="667">
        <f>H21</f>
        <v>100</v>
      </c>
      <c r="V21" s="666" t="s">
        <v>14</v>
      </c>
      <c r="W21" s="667">
        <f>J21</f>
        <v>100</v>
      </c>
      <c r="X21" s="1264"/>
      <c r="Y21" s="3382"/>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89"/>
      <c r="M22" s="2484"/>
      <c r="N22" s="2484"/>
      <c r="O22" s="2539"/>
      <c r="P22" s="3382"/>
      <c r="Q22" s="1262"/>
      <c r="R22" s="666"/>
      <c r="S22" s="667"/>
      <c r="T22" s="666"/>
      <c r="U22" s="667"/>
      <c r="V22" s="666"/>
      <c r="W22" s="667"/>
      <c r="X22" s="1264"/>
      <c r="Y22" s="3382"/>
      <c r="Z22" s="1263"/>
      <c r="AA22" s="1263">
        <v>1</v>
      </c>
      <c r="AB22" s="1263">
        <v>1</v>
      </c>
      <c r="AC22" s="1263">
        <v>1</v>
      </c>
    </row>
    <row r="23" spans="1:29" ht="15">
      <c r="A23" s="347"/>
      <c r="B23" s="389" t="s">
        <v>1869</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9"/>
      <c r="M23" s="2484"/>
      <c r="N23" s="2484"/>
      <c r="O23" s="2539"/>
      <c r="P23" s="3382"/>
      <c r="Q23" s="1262" t="str">
        <f t="shared" ref="Q23:Q37" si="8">B23</f>
        <v>区域土地利用方向</v>
      </c>
      <c r="R23" s="666" t="s">
        <v>14</v>
      </c>
      <c r="S23" s="667">
        <f>F23</f>
        <v>100</v>
      </c>
      <c r="T23" s="666" t="s">
        <v>14</v>
      </c>
      <c r="U23" s="667">
        <f>H23</f>
        <v>100</v>
      </c>
      <c r="V23" s="666" t="s">
        <v>14</v>
      </c>
      <c r="W23" s="667">
        <f>J23</f>
        <v>100</v>
      </c>
      <c r="X23" s="1264"/>
      <c r="Y23" s="3382"/>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89"/>
      <c r="M24" s="2484"/>
      <c r="N24" s="2484"/>
      <c r="O24" s="2539"/>
      <c r="P24" s="3382"/>
      <c r="Q24" s="1262"/>
      <c r="R24" s="666"/>
      <c r="S24" s="667"/>
      <c r="T24" s="666"/>
      <c r="U24" s="667"/>
      <c r="V24" s="666"/>
      <c r="W24" s="667"/>
      <c r="X24" s="1264"/>
      <c r="Y24" s="3382"/>
      <c r="Z24" s="1263"/>
      <c r="AA24" s="1263"/>
      <c r="AB24" s="1263"/>
      <c r="AC24" s="1263"/>
    </row>
    <row r="25" spans="1:29" ht="27">
      <c r="A25" s="347"/>
      <c r="B25" s="585" t="s">
        <v>1870</v>
      </c>
      <c r="C25" s="1805" t="str">
        <f>估价对象房地状况!C20</f>
        <v>较好</v>
      </c>
      <c r="D25" s="388">
        <v>100</v>
      </c>
      <c r="E25" s="390"/>
      <c r="F25" s="388">
        <f>SUMIF(97:97,E26,98:98)-SUMIF(97:97,C26,98:98)+100</f>
        <v>100</v>
      </c>
      <c r="G25" s="390"/>
      <c r="H25" s="388">
        <f>SUMIF(97:97,G26,98:98)-SUMIF(97:97,C26,98:98)+100</f>
        <v>100</v>
      </c>
      <c r="I25" s="392"/>
      <c r="J25" s="388">
        <f>SUMIF(97:97,I26,98:98)-SUMIF(97:97,C26,98:98)+100</f>
        <v>100</v>
      </c>
      <c r="K25" s="592"/>
      <c r="L25" s="2489"/>
      <c r="M25" s="2484"/>
      <c r="N25" s="2484"/>
      <c r="O25" s="2539"/>
      <c r="P25" s="3382"/>
      <c r="Q25" s="1262" t="str">
        <f t="shared" si="8"/>
        <v>自然及人文环境状况</v>
      </c>
      <c r="R25" s="666" t="s">
        <v>14</v>
      </c>
      <c r="S25" s="667">
        <f>F25</f>
        <v>100</v>
      </c>
      <c r="T25" s="666" t="s">
        <v>14</v>
      </c>
      <c r="U25" s="667">
        <f>H25</f>
        <v>100</v>
      </c>
      <c r="V25" s="666" t="s">
        <v>14</v>
      </c>
      <c r="W25" s="667">
        <f>J25</f>
        <v>100</v>
      </c>
      <c r="X25" s="1264"/>
      <c r="Y25" s="3382"/>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89"/>
      <c r="M26" s="2484"/>
      <c r="N26" s="2484"/>
      <c r="O26" s="2539"/>
      <c r="P26" s="3382"/>
      <c r="Q26" s="1262"/>
      <c r="R26" s="666"/>
      <c r="S26" s="667"/>
      <c r="T26" s="666"/>
      <c r="U26" s="667"/>
      <c r="V26" s="666"/>
      <c r="W26" s="667"/>
      <c r="X26" s="1264"/>
      <c r="Y26" s="3382"/>
      <c r="Z26" s="1263"/>
      <c r="AA26" s="1263">
        <v>1</v>
      </c>
      <c r="AB26" s="1263">
        <v>1</v>
      </c>
      <c r="AC26" s="1263">
        <v>1</v>
      </c>
    </row>
    <row r="27" spans="1:29" s="102" customFormat="1" ht="15">
      <c r="A27" s="442"/>
      <c r="B27" s="585" t="s">
        <v>1776</v>
      </c>
      <c r="C27" s="1753" t="str">
        <f>估价对象房地状况!C21</f>
        <v>好</v>
      </c>
      <c r="D27" s="388">
        <v>100</v>
      </c>
      <c r="E27" s="390"/>
      <c r="F27" s="388">
        <f>SUMIF(99:99,E28,100:100)-SUMIF(99:99,C28,100:100)+100</f>
        <v>100</v>
      </c>
      <c r="G27" s="390"/>
      <c r="H27" s="388">
        <f>SUMIF(99:99,G28,100:100)-SUMIF(99:99,C28,100:100)+100</f>
        <v>100</v>
      </c>
      <c r="I27" s="392"/>
      <c r="J27" s="388">
        <f>SUMIF(99:99,I28,100:100)-SUMIF(99:99,C28,100:100)+100</f>
        <v>100</v>
      </c>
      <c r="K27" s="592"/>
      <c r="L27" s="2485"/>
      <c r="M27" s="2436"/>
      <c r="N27" s="2436"/>
      <c r="O27" s="2537"/>
      <c r="P27" s="3382"/>
      <c r="Q27" s="529" t="str">
        <f t="shared" si="8"/>
        <v>公共配套设施</v>
      </c>
      <c r="R27" s="663" t="s">
        <v>14</v>
      </c>
      <c r="S27" s="664">
        <f>F27</f>
        <v>100</v>
      </c>
      <c r="T27" s="663" t="s">
        <v>14</v>
      </c>
      <c r="U27" s="664">
        <f>H27</f>
        <v>100</v>
      </c>
      <c r="V27" s="663" t="s">
        <v>14</v>
      </c>
      <c r="W27" s="664">
        <f>J27</f>
        <v>100</v>
      </c>
      <c r="X27" s="665"/>
      <c r="Y27" s="3382"/>
      <c r="Z27" s="50" t="str">
        <f>Q27</f>
        <v>公共配套设施</v>
      </c>
      <c r="AA27" s="1263">
        <f>D27/F27</f>
        <v>1</v>
      </c>
      <c r="AB27" s="1263">
        <f>D27/H27</f>
        <v>1</v>
      </c>
      <c r="AC27" s="1263">
        <f>D27/J27</f>
        <v>1</v>
      </c>
    </row>
    <row r="28" spans="1:29" s="102" customFormat="1" ht="15">
      <c r="A28" s="442"/>
      <c r="B28" s="394"/>
      <c r="C28" s="1825"/>
      <c r="D28" s="386"/>
      <c r="E28" s="1757"/>
      <c r="F28" s="386"/>
      <c r="G28" s="1757"/>
      <c r="H28" s="386"/>
      <c r="I28" s="385"/>
      <c r="J28" s="386"/>
      <c r="K28" s="591"/>
      <c r="L28" s="2485"/>
      <c r="M28" s="2436"/>
      <c r="N28" s="2436"/>
      <c r="O28" s="2537"/>
      <c r="P28" s="3382"/>
      <c r="Q28" s="529"/>
      <c r="R28" s="663"/>
      <c r="S28" s="664"/>
      <c r="T28" s="663"/>
      <c r="U28" s="664"/>
      <c r="V28" s="663"/>
      <c r="W28" s="664"/>
      <c r="X28" s="665"/>
      <c r="Y28" s="3382"/>
      <c r="Z28" s="50"/>
      <c r="AA28" s="1263">
        <v>1</v>
      </c>
      <c r="AB28" s="1263">
        <v>1</v>
      </c>
      <c r="AC28" s="1263">
        <v>1</v>
      </c>
    </row>
    <row r="29" spans="1:29" s="102" customFormat="1" ht="15">
      <c r="A29" s="442"/>
      <c r="B29" s="585" t="s">
        <v>1777</v>
      </c>
      <c r="C29" s="1753" t="str">
        <f>估价对象房地状况!C22</f>
        <v>七通</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5"/>
      <c r="M29" s="2436"/>
      <c r="N29" s="2436"/>
      <c r="O29" s="2537"/>
      <c r="P29" s="3382"/>
      <c r="Q29" s="529" t="str">
        <f t="shared" ref="Q29" si="9">B29</f>
        <v>基础设施水平</v>
      </c>
      <c r="R29" s="663" t="s">
        <v>14</v>
      </c>
      <c r="S29" s="664">
        <f>F29</f>
        <v>100</v>
      </c>
      <c r="T29" s="663" t="s">
        <v>14</v>
      </c>
      <c r="U29" s="664">
        <f>H29</f>
        <v>100</v>
      </c>
      <c r="V29" s="663" t="s">
        <v>14</v>
      </c>
      <c r="W29" s="664">
        <f>J29</f>
        <v>100</v>
      </c>
      <c r="X29" s="665"/>
      <c r="Y29" s="3382"/>
      <c r="Z29" s="50" t="str">
        <f>Q29</f>
        <v>基础设施水平</v>
      </c>
      <c r="AA29" s="1263">
        <f>D29/F29</f>
        <v>1</v>
      </c>
      <c r="AB29" s="1263">
        <f>D29/H29</f>
        <v>1</v>
      </c>
      <c r="AC29" s="1263">
        <f>D29/J29</f>
        <v>1</v>
      </c>
    </row>
    <row r="30" spans="1:29" s="102" customFormat="1" ht="15">
      <c r="A30" s="442"/>
      <c r="B30" s="394"/>
      <c r="C30" s="1825"/>
      <c r="D30" s="386"/>
      <c r="E30" s="1826"/>
      <c r="F30" s="386"/>
      <c r="G30" s="1826"/>
      <c r="H30" s="386"/>
      <c r="I30" s="1826"/>
      <c r="J30" s="386"/>
      <c r="K30" s="591"/>
      <c r="L30" s="2485"/>
      <c r="M30" s="2436"/>
      <c r="N30" s="2436"/>
      <c r="O30" s="2537"/>
      <c r="P30" s="3382"/>
      <c r="Q30" s="529"/>
      <c r="R30" s="663"/>
      <c r="S30" s="664"/>
      <c r="T30" s="663"/>
      <c r="U30" s="664"/>
      <c r="V30" s="663"/>
      <c r="W30" s="664"/>
      <c r="X30" s="665"/>
      <c r="Y30" s="3382"/>
      <c r="Z30" s="50"/>
      <c r="AA30" s="1263">
        <v>1</v>
      </c>
      <c r="AB30" s="1263">
        <v>1</v>
      </c>
      <c r="AC30" s="1263">
        <v>1</v>
      </c>
    </row>
    <row r="31" spans="1:29" ht="15">
      <c r="A31" s="366"/>
      <c r="B31" s="394" t="s">
        <v>1778</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9"/>
      <c r="M31" s="2484"/>
      <c r="N31" s="2484"/>
      <c r="O31" s="2539"/>
      <c r="P31" s="3382"/>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82"/>
      <c r="Z31" s="1263" t="str">
        <f t="shared" ref="Z31:Z45" si="13">Q31</f>
        <v>临街状况</v>
      </c>
      <c r="AA31" s="1263">
        <f t="shared" si="3"/>
        <v>1</v>
      </c>
      <c r="AB31" s="1263">
        <f t="shared" si="4"/>
        <v>1</v>
      </c>
      <c r="AC31" s="1263">
        <f t="shared" si="5"/>
        <v>1</v>
      </c>
    </row>
    <row r="32" spans="1:29" ht="27">
      <c r="A32" s="366"/>
      <c r="B32" s="585" t="s">
        <v>1813</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9"/>
      <c r="M32" s="2484"/>
      <c r="N32" s="2484"/>
      <c r="O32" s="2539"/>
      <c r="P32" s="3382"/>
      <c r="Q32" s="1262" t="str">
        <f t="shared" si="8"/>
        <v>毗邻道路的类型与等级</v>
      </c>
      <c r="R32" s="666" t="s">
        <v>14</v>
      </c>
      <c r="S32" s="667">
        <f t="shared" si="10"/>
        <v>100</v>
      </c>
      <c r="T32" s="666" t="s">
        <v>14</v>
      </c>
      <c r="U32" s="667">
        <f t="shared" si="11"/>
        <v>100</v>
      </c>
      <c r="V32" s="666" t="s">
        <v>14</v>
      </c>
      <c r="W32" s="667">
        <f t="shared" si="12"/>
        <v>100</v>
      </c>
      <c r="X32" s="1264"/>
      <c r="Y32" s="3382"/>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89"/>
      <c r="M33" s="2484"/>
      <c r="N33" s="2484"/>
      <c r="O33" s="2539"/>
      <c r="P33" s="3382"/>
      <c r="Q33" s="1262"/>
      <c r="R33" s="666"/>
      <c r="S33" s="667"/>
      <c r="T33" s="666"/>
      <c r="U33" s="667"/>
      <c r="V33" s="666"/>
      <c r="W33" s="667"/>
      <c r="X33" s="1264"/>
      <c r="Y33" s="3382"/>
      <c r="Z33" s="1263"/>
      <c r="AA33" s="1263">
        <v>1</v>
      </c>
      <c r="AB33" s="1263">
        <v>1</v>
      </c>
      <c r="AC33" s="1263">
        <v>1</v>
      </c>
    </row>
    <row r="34" spans="1:29" ht="15">
      <c r="A34" s="366"/>
      <c r="B34" s="363" t="s">
        <v>1871</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9"/>
      <c r="M34" s="2484"/>
      <c r="N34" s="2484"/>
      <c r="O34" s="2539"/>
      <c r="P34" s="3382"/>
      <c r="Q34" s="1262" t="str">
        <f t="shared" si="8"/>
        <v>土地级别</v>
      </c>
      <c r="R34" s="666" t="s">
        <v>14</v>
      </c>
      <c r="S34" s="667">
        <f t="shared" si="10"/>
        <v>100</v>
      </c>
      <c r="T34" s="666" t="s">
        <v>14</v>
      </c>
      <c r="U34" s="667">
        <f t="shared" si="11"/>
        <v>100</v>
      </c>
      <c r="V34" s="666" t="s">
        <v>14</v>
      </c>
      <c r="W34" s="667">
        <f t="shared" si="12"/>
        <v>100</v>
      </c>
      <c r="X34" s="1264"/>
      <c r="Y34" s="3382"/>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9"/>
      <c r="M35" s="2484"/>
      <c r="N35" s="2484"/>
      <c r="O35" s="2539"/>
      <c r="P35" s="3382"/>
      <c r="Q35" s="1262">
        <f t="shared" si="8"/>
        <v>111</v>
      </c>
      <c r="R35" s="666" t="s">
        <v>14</v>
      </c>
      <c r="S35" s="667">
        <f t="shared" si="10"/>
        <v>100</v>
      </c>
      <c r="T35" s="666" t="s">
        <v>14</v>
      </c>
      <c r="U35" s="667">
        <f t="shared" si="11"/>
        <v>100</v>
      </c>
      <c r="V35" s="666" t="s">
        <v>14</v>
      </c>
      <c r="W35" s="667">
        <f t="shared" si="12"/>
        <v>100</v>
      </c>
      <c r="X35" s="1264"/>
      <c r="Y35" s="3382"/>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9"/>
      <c r="M36" s="2484"/>
      <c r="N36" s="2484"/>
      <c r="O36" s="2539"/>
      <c r="P36" s="3484" t="s">
        <v>1694</v>
      </c>
      <c r="Q36" s="1262">
        <f t="shared" si="8"/>
        <v>111</v>
      </c>
      <c r="R36" s="666" t="s">
        <v>14</v>
      </c>
      <c r="S36" s="667">
        <f t="shared" si="10"/>
        <v>100</v>
      </c>
      <c r="T36" s="666" t="s">
        <v>14</v>
      </c>
      <c r="U36" s="667">
        <f t="shared" si="11"/>
        <v>100</v>
      </c>
      <c r="V36" s="666" t="s">
        <v>14</v>
      </c>
      <c r="W36" s="667">
        <f t="shared" si="12"/>
        <v>100</v>
      </c>
      <c r="X36" s="1264"/>
      <c r="Y36" s="3386" t="s">
        <v>1694</v>
      </c>
      <c r="Z36" s="1263">
        <f t="shared" si="13"/>
        <v>111</v>
      </c>
      <c r="AA36" s="1263">
        <f t="shared" si="3"/>
        <v>1</v>
      </c>
      <c r="AB36" s="1263">
        <f t="shared" si="4"/>
        <v>1</v>
      </c>
      <c r="AC36" s="1263">
        <f t="shared" si="5"/>
        <v>1</v>
      </c>
    </row>
    <row r="37" spans="1:29" s="407" customFormat="1" ht="15.75" thickBot="1">
      <c r="A37" s="595"/>
      <c r="B37" s="1067">
        <v>111</v>
      </c>
      <c r="C37" s="597"/>
      <c r="D37" s="120">
        <v>100</v>
      </c>
      <c r="E37" s="620"/>
      <c r="F37" s="376">
        <f>SUMIF(113:113,E37,114:114)-SUMIF(113:113,C37,114:114)+100</f>
        <v>100</v>
      </c>
      <c r="G37" s="620"/>
      <c r="H37" s="376">
        <f>SUMIF(113:113,G37,114:114)-SUMIF(113:113,C37,114:114)+100</f>
        <v>100</v>
      </c>
      <c r="I37" s="597"/>
      <c r="J37" s="376">
        <f>SUMIF(113:113,I37,114:114)-SUMIF(113:113,C37,114:114)+100</f>
        <v>100</v>
      </c>
      <c r="K37" s="538"/>
      <c r="L37" s="2488"/>
      <c r="M37" s="2490"/>
      <c r="N37" s="2490"/>
      <c r="O37" s="2540"/>
      <c r="P37" s="3386"/>
      <c r="Q37" s="1262">
        <f t="shared" si="8"/>
        <v>111</v>
      </c>
      <c r="R37" s="668" t="s">
        <v>14</v>
      </c>
      <c r="S37" s="669">
        <f t="shared" si="10"/>
        <v>100</v>
      </c>
      <c r="T37" s="668" t="s">
        <v>14</v>
      </c>
      <c r="U37" s="669">
        <f t="shared" si="11"/>
        <v>100</v>
      </c>
      <c r="V37" s="668" t="s">
        <v>14</v>
      </c>
      <c r="W37" s="669">
        <f t="shared" si="12"/>
        <v>100</v>
      </c>
      <c r="X37" s="670"/>
      <c r="Y37" s="3386"/>
      <c r="Z37" s="671">
        <f t="shared" si="13"/>
        <v>111</v>
      </c>
      <c r="AA37" s="1263">
        <f t="shared" si="3"/>
        <v>1</v>
      </c>
      <c r="AB37" s="1263">
        <f t="shared" si="4"/>
        <v>1</v>
      </c>
      <c r="AC37" s="1263">
        <f t="shared" si="5"/>
        <v>1</v>
      </c>
    </row>
    <row r="38" spans="1:29" ht="15">
      <c r="A38" s="408" t="s">
        <v>1692</v>
      </c>
      <c r="B38" s="394" t="s">
        <v>1872</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9"/>
      <c r="M38" s="2484"/>
      <c r="N38" s="2484"/>
      <c r="O38" s="2539"/>
      <c r="P38" s="3386"/>
      <c r="Q38" s="1262" t="str">
        <f>B38</f>
        <v>宗地面积</v>
      </c>
      <c r="R38" s="666" t="s">
        <v>14</v>
      </c>
      <c r="S38" s="667" t="e">
        <f t="shared" si="10"/>
        <v>#N/A</v>
      </c>
      <c r="T38" s="666" t="s">
        <v>14</v>
      </c>
      <c r="U38" s="667" t="e">
        <f t="shared" si="11"/>
        <v>#N/A</v>
      </c>
      <c r="V38" s="666" t="s">
        <v>14</v>
      </c>
      <c r="W38" s="667" t="e">
        <f t="shared" si="12"/>
        <v>#N/A</v>
      </c>
      <c r="X38" s="1264"/>
      <c r="Y38" s="3386"/>
      <c r="Z38" s="1263" t="str">
        <f t="shared" si="13"/>
        <v>宗地面积</v>
      </c>
      <c r="AA38" s="1263" t="e">
        <f t="shared" si="3"/>
        <v>#N/A</v>
      </c>
      <c r="AB38" s="1263" t="e">
        <f t="shared" si="4"/>
        <v>#N/A</v>
      </c>
      <c r="AC38" s="1263" t="e">
        <f t="shared" si="5"/>
        <v>#N/A</v>
      </c>
    </row>
    <row r="39" spans="1:29" ht="15">
      <c r="A39" s="408"/>
      <c r="B39" s="363" t="s">
        <v>1873</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89"/>
      <c r="M39" s="2484"/>
      <c r="N39" s="2484"/>
      <c r="O39" s="2539"/>
      <c r="P39" s="3386"/>
      <c r="Q39" s="1262" t="str">
        <f t="shared" ref="Q39:Q45" si="14">B39</f>
        <v>宗地形状</v>
      </c>
      <c r="R39" s="666" t="s">
        <v>14</v>
      </c>
      <c r="S39" s="667">
        <f t="shared" si="10"/>
        <v>100</v>
      </c>
      <c r="T39" s="666" t="s">
        <v>14</v>
      </c>
      <c r="U39" s="667">
        <f t="shared" si="11"/>
        <v>100</v>
      </c>
      <c r="V39" s="666" t="s">
        <v>14</v>
      </c>
      <c r="W39" s="667">
        <f t="shared" si="12"/>
        <v>100</v>
      </c>
      <c r="X39" s="1264"/>
      <c r="Y39" s="3386"/>
      <c r="Z39" s="1263" t="str">
        <f t="shared" si="13"/>
        <v>宗地形状</v>
      </c>
      <c r="AA39" s="1263">
        <f t="shared" si="3"/>
        <v>1</v>
      </c>
      <c r="AB39" s="1263">
        <f t="shared" si="4"/>
        <v>1</v>
      </c>
      <c r="AC39" s="1263">
        <f t="shared" si="5"/>
        <v>1</v>
      </c>
    </row>
    <row r="40" spans="1:29" ht="15">
      <c r="A40" s="408"/>
      <c r="B40" s="363" t="s">
        <v>1874</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89"/>
      <c r="M40" s="2484"/>
      <c r="N40" s="2484"/>
      <c r="O40" s="2539"/>
      <c r="P40" s="3386"/>
      <c r="Q40" s="1262" t="str">
        <f t="shared" si="14"/>
        <v>临街宽度及深度</v>
      </c>
      <c r="R40" s="666" t="s">
        <v>14</v>
      </c>
      <c r="S40" s="667">
        <f t="shared" si="10"/>
        <v>100</v>
      </c>
      <c r="T40" s="666" t="s">
        <v>14</v>
      </c>
      <c r="U40" s="667">
        <f t="shared" si="11"/>
        <v>100</v>
      </c>
      <c r="V40" s="666" t="s">
        <v>14</v>
      </c>
      <c r="W40" s="667">
        <f t="shared" si="12"/>
        <v>100</v>
      </c>
      <c r="X40" s="1264"/>
      <c r="Y40" s="3386"/>
      <c r="Z40" s="1263" t="str">
        <f t="shared" si="13"/>
        <v>临街宽度及深度</v>
      </c>
      <c r="AA40" s="1263">
        <f t="shared" si="3"/>
        <v>1</v>
      </c>
      <c r="AB40" s="1263">
        <f t="shared" si="4"/>
        <v>1</v>
      </c>
      <c r="AC40" s="1263">
        <f t="shared" si="5"/>
        <v>1</v>
      </c>
    </row>
    <row r="41" spans="1:29" s="102" customFormat="1" ht="15">
      <c r="A41" s="409"/>
      <c r="B41" s="363" t="s">
        <v>1875</v>
      </c>
      <c r="C41" s="1827"/>
      <c r="D41" s="119">
        <v>100</v>
      </c>
      <c r="E41" s="1827"/>
      <c r="F41" s="373">
        <f>SUMIF(122:122,E41,123:123)-SUMIF(122:122,C41,123:123)+100</f>
        <v>100</v>
      </c>
      <c r="G41" s="1827"/>
      <c r="H41" s="373">
        <f>SUMIF(122:122,G41,123:123)-SUMIF(122:122,C41,123:123)+100</f>
        <v>100</v>
      </c>
      <c r="I41" s="1827"/>
      <c r="J41" s="373">
        <f>SUMIF(122:122,I41,123:123)-SUMIF(122:122,C41,123:123)+100</f>
        <v>100</v>
      </c>
      <c r="K41" s="537"/>
      <c r="L41" s="2485"/>
      <c r="M41" s="2436"/>
      <c r="N41" s="2436"/>
      <c r="O41" s="2537"/>
      <c r="P41" s="3386"/>
      <c r="Q41" s="1262" t="str">
        <f t="shared" si="14"/>
        <v>宗地开发程度</v>
      </c>
      <c r="R41" s="663" t="s">
        <v>14</v>
      </c>
      <c r="S41" s="664">
        <f t="shared" si="10"/>
        <v>100</v>
      </c>
      <c r="T41" s="663" t="s">
        <v>14</v>
      </c>
      <c r="U41" s="664">
        <f t="shared" si="11"/>
        <v>100</v>
      </c>
      <c r="V41" s="663" t="s">
        <v>14</v>
      </c>
      <c r="W41" s="664">
        <f t="shared" si="12"/>
        <v>100</v>
      </c>
      <c r="X41" s="665"/>
      <c r="Y41" s="3386"/>
      <c r="Z41" s="50" t="str">
        <f t="shared" si="13"/>
        <v>宗地开发程度</v>
      </c>
      <c r="AA41" s="50">
        <f t="shared" si="3"/>
        <v>1</v>
      </c>
      <c r="AB41" s="50">
        <f t="shared" si="4"/>
        <v>1</v>
      </c>
      <c r="AC41" s="50">
        <f t="shared" si="5"/>
        <v>1</v>
      </c>
    </row>
    <row r="42" spans="1:29" ht="15">
      <c r="A42" s="408"/>
      <c r="B42" s="363" t="s">
        <v>1876</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89"/>
      <c r="M42" s="2484"/>
      <c r="N42" s="2484"/>
      <c r="O42" s="2539"/>
      <c r="P42" s="3386" t="s">
        <v>1694</v>
      </c>
      <c r="Q42" s="1262" t="str">
        <f t="shared" si="14"/>
        <v>工程地质条件</v>
      </c>
      <c r="R42" s="666" t="s">
        <v>14</v>
      </c>
      <c r="S42" s="667">
        <f t="shared" si="10"/>
        <v>100</v>
      </c>
      <c r="T42" s="666" t="s">
        <v>14</v>
      </c>
      <c r="U42" s="667">
        <f t="shared" si="11"/>
        <v>100</v>
      </c>
      <c r="V42" s="666" t="s">
        <v>14</v>
      </c>
      <c r="W42" s="667">
        <f t="shared" si="12"/>
        <v>100</v>
      </c>
      <c r="X42" s="1264"/>
      <c r="Y42" s="3386" t="s">
        <v>1694</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9"/>
      <c r="M43" s="2484"/>
      <c r="N43" s="2484"/>
      <c r="O43" s="2539"/>
      <c r="P43" s="3386"/>
      <c r="Q43" s="1262">
        <f t="shared" si="14"/>
        <v>111</v>
      </c>
      <c r="R43" s="666" t="s">
        <v>14</v>
      </c>
      <c r="S43" s="667">
        <f t="shared" si="10"/>
        <v>100</v>
      </c>
      <c r="T43" s="666" t="s">
        <v>14</v>
      </c>
      <c r="U43" s="667">
        <f t="shared" si="11"/>
        <v>100</v>
      </c>
      <c r="V43" s="666" t="s">
        <v>14</v>
      </c>
      <c r="W43" s="667">
        <f t="shared" si="12"/>
        <v>100</v>
      </c>
      <c r="X43" s="1264"/>
      <c r="Y43" s="3386"/>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9"/>
      <c r="M44" s="2484"/>
      <c r="N44" s="2484"/>
      <c r="O44" s="2539"/>
      <c r="P44" s="3386"/>
      <c r="Q44" s="1262">
        <f t="shared" si="14"/>
        <v>111</v>
      </c>
      <c r="R44" s="666" t="s">
        <v>14</v>
      </c>
      <c r="S44" s="667">
        <f t="shared" si="10"/>
        <v>100</v>
      </c>
      <c r="T44" s="666" t="s">
        <v>14</v>
      </c>
      <c r="U44" s="667">
        <f t="shared" si="11"/>
        <v>100</v>
      </c>
      <c r="V44" s="666" t="s">
        <v>14</v>
      </c>
      <c r="W44" s="667">
        <f t="shared" si="12"/>
        <v>100</v>
      </c>
      <c r="X44" s="1264"/>
      <c r="Y44" s="3386"/>
      <c r="Z44" s="1263">
        <f t="shared" si="13"/>
        <v>111</v>
      </c>
      <c r="AA44" s="1263">
        <f t="shared" si="3"/>
        <v>1</v>
      </c>
      <c r="AB44" s="1263">
        <f t="shared" si="4"/>
        <v>1</v>
      </c>
      <c r="AC44" s="1263">
        <f t="shared" si="5"/>
        <v>1</v>
      </c>
    </row>
    <row r="45" spans="1:29" s="407" customFormat="1" ht="15.75"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88"/>
      <c r="M45" s="2490"/>
      <c r="N45" s="2490"/>
      <c r="O45" s="2540"/>
      <c r="P45" s="3386"/>
      <c r="Q45" s="1262">
        <f t="shared" si="14"/>
        <v>111</v>
      </c>
      <c r="R45" s="668" t="s">
        <v>14</v>
      </c>
      <c r="S45" s="669">
        <f t="shared" si="10"/>
        <v>100</v>
      </c>
      <c r="T45" s="668" t="s">
        <v>14</v>
      </c>
      <c r="U45" s="669">
        <f t="shared" si="11"/>
        <v>100</v>
      </c>
      <c r="V45" s="668" t="s">
        <v>14</v>
      </c>
      <c r="W45" s="669">
        <f t="shared" si="12"/>
        <v>100</v>
      </c>
      <c r="X45" s="670"/>
      <c r="Y45" s="3386"/>
      <c r="Z45" s="671">
        <f t="shared" si="13"/>
        <v>111</v>
      </c>
      <c r="AA45" s="1263">
        <f t="shared" si="3"/>
        <v>1</v>
      </c>
      <c r="AB45" s="1263">
        <f t="shared" si="4"/>
        <v>1</v>
      </c>
      <c r="AC45" s="1263">
        <f t="shared" si="5"/>
        <v>1</v>
      </c>
    </row>
    <row r="46" spans="1:29" ht="15">
      <c r="A46" s="415" t="s">
        <v>1842</v>
      </c>
      <c r="B46" s="1829" t="s">
        <v>1877</v>
      </c>
      <c r="C46" s="601" t="s">
        <v>0</v>
      </c>
      <c r="D46" s="417"/>
      <c r="E46" s="418"/>
      <c r="F46" s="419"/>
      <c r="G46" s="420"/>
      <c r="H46" s="421"/>
      <c r="I46" s="418"/>
      <c r="J46" s="421"/>
      <c r="K46" s="673"/>
      <c r="L46" s="2491"/>
      <c r="M46" s="2484"/>
      <c r="N46" s="2484"/>
      <c r="O46" s="2484"/>
      <c r="P46" s="3374" t="str">
        <f>A46</f>
        <v>成交单价</v>
      </c>
      <c r="Q46" s="3374"/>
      <c r="R46" s="3375">
        <f>E46</f>
        <v>0</v>
      </c>
      <c r="S46" s="3375"/>
      <c r="T46" s="3375">
        <f>G46</f>
        <v>0</v>
      </c>
      <c r="U46" s="3375"/>
      <c r="V46" s="3375">
        <f>I46</f>
        <v>0</v>
      </c>
      <c r="W46" s="3375"/>
      <c r="X46" s="384"/>
      <c r="Y46" s="672"/>
      <c r="Z46" s="384"/>
      <c r="AA46" s="384"/>
      <c r="AB46" s="384"/>
      <c r="AC46" s="384"/>
    </row>
    <row r="47" spans="1:29" ht="15.75" thickBot="1">
      <c r="A47" s="422" t="s">
        <v>1791</v>
      </c>
      <c r="B47" s="602"/>
      <c r="C47" s="425" t="e">
        <f>R48</f>
        <v>#DIV/0!</v>
      </c>
      <c r="D47" s="2139" t="s">
        <v>2134</v>
      </c>
      <c r="E47" s="425" t="e">
        <f>R47</f>
        <v>#DIV/0!</v>
      </c>
      <c r="F47" s="2140"/>
      <c r="G47" s="424" t="e">
        <f>T47</f>
        <v>#DIV/0!</v>
      </c>
      <c r="H47" s="2140"/>
      <c r="I47" s="425" t="e">
        <f>V47</f>
        <v>#DIV/0!</v>
      </c>
      <c r="J47" s="2140"/>
      <c r="K47" s="2142">
        <f>F47+H47+J47</f>
        <v>0</v>
      </c>
      <c r="L47" s="2491"/>
      <c r="M47" s="2484"/>
      <c r="N47" s="2484"/>
      <c r="O47" s="2484"/>
      <c r="P47" s="3374" t="str">
        <f>A47</f>
        <v>比较价值（元/平方米）</v>
      </c>
      <c r="Q47" s="3374"/>
      <c r="R47" s="3486" t="e">
        <f>ROUND(PRODUCT(R46,AA7:AA45),0)</f>
        <v>#DIV/0!</v>
      </c>
      <c r="S47" s="3486"/>
      <c r="T47" s="3486" t="e">
        <f>ROUND(PRODUCT(T46,AB7:AB45),0)</f>
        <v>#DIV/0!</v>
      </c>
      <c r="U47" s="3486"/>
      <c r="V47" s="3486" t="e">
        <f>ROUND(PRODUCT(V46,AC7:AC45),0)</f>
        <v>#DIV/0!</v>
      </c>
      <c r="W47" s="3486"/>
      <c r="X47" s="384"/>
      <c r="Y47" s="384"/>
      <c r="Z47" s="384"/>
      <c r="AA47" s="384"/>
      <c r="AB47" s="384"/>
      <c r="AC47" s="384"/>
    </row>
    <row r="48" spans="1:29" ht="15.75" thickBot="1">
      <c r="A48" s="426" t="s">
        <v>1878</v>
      </c>
      <c r="B48" s="427"/>
      <c r="C48" s="428" t="e">
        <f>R48</f>
        <v>#DIV/0!</v>
      </c>
      <c r="D48" s="428"/>
      <c r="E48" s="428"/>
      <c r="F48" s="428"/>
      <c r="G48" s="428"/>
      <c r="H48" s="428"/>
      <c r="I48" s="428"/>
      <c r="J48" s="428"/>
      <c r="K48" s="674"/>
      <c r="L48" s="2491"/>
      <c r="M48" s="2484"/>
      <c r="N48" s="2484"/>
      <c r="O48" s="2484"/>
      <c r="P48" s="3376" t="str">
        <f>A48</f>
        <v>估价对象XX用房的比较价值（楼面单价，元/平方米）</v>
      </c>
      <c r="Q48" s="3377"/>
      <c r="R48" s="3487" t="e">
        <f>ROUND(IF(D47="简单平均",AVERAGE(R47:W47),R47*F47+T47*H47+V47*J47),0)</f>
        <v>#DIV/0!</v>
      </c>
      <c r="S48" s="3487"/>
      <c r="T48" s="3487"/>
      <c r="U48" s="3487"/>
      <c r="V48" s="3487"/>
      <c r="W48" s="3487"/>
      <c r="X48" s="384"/>
      <c r="Y48" s="384"/>
      <c r="Z48" s="384"/>
      <c r="AA48" s="384"/>
      <c r="AB48" s="384"/>
      <c r="AC48" s="384"/>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1" t="s">
        <v>1793</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1" t="s">
        <v>1794</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6" customFormat="1" ht="13.5" customHeight="1">
      <c r="A53" s="2494"/>
      <c r="B53" s="2494"/>
      <c r="C53" s="431" t="s">
        <v>1795</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6" customFormat="1" ht="15" thickBot="1">
      <c r="A54" s="2494"/>
      <c r="B54" s="2497"/>
      <c r="C54" s="656"/>
      <c r="D54" s="654"/>
      <c r="E54" s="654"/>
      <c r="F54" s="654"/>
      <c r="G54" s="654"/>
      <c r="H54" s="654"/>
      <c r="I54" s="654"/>
      <c r="J54" s="654"/>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3" t="s">
        <v>1879</v>
      </c>
      <c r="B55" s="604" t="s">
        <v>1880</v>
      </c>
      <c r="C55" s="1830" t="s">
        <v>1881</v>
      </c>
      <c r="D55" s="1831" t="s">
        <v>1882</v>
      </c>
      <c r="E55" s="605" t="s">
        <v>1883</v>
      </c>
      <c r="F55" s="836" t="s">
        <v>1884</v>
      </c>
      <c r="G55" s="3392" t="s">
        <v>1885</v>
      </c>
      <c r="H55" s="3488"/>
      <c r="I55" s="127" t="s">
        <v>1886</v>
      </c>
      <c r="J55" s="1832">
        <f>项目基本情况!F35</f>
        <v>0</v>
      </c>
      <c r="K55" s="1833" t="s">
        <v>1887</v>
      </c>
      <c r="L55" s="2492"/>
      <c r="M55" s="2484"/>
      <c r="N55" s="2484"/>
      <c r="O55" s="2484"/>
      <c r="P55" s="2484"/>
      <c r="Q55" s="2484"/>
      <c r="R55" s="2484"/>
      <c r="S55" s="2484"/>
      <c r="T55" s="2484"/>
      <c r="U55" s="2484"/>
      <c r="V55" s="2484"/>
      <c r="W55" s="2484"/>
      <c r="X55" s="2484"/>
      <c r="Y55" s="2484"/>
      <c r="Z55" s="2484"/>
      <c r="AA55" s="2484"/>
      <c r="AB55" s="2484"/>
      <c r="AC55" s="2484"/>
    </row>
    <row r="56" spans="1:29" s="611" customFormat="1">
      <c r="A56" s="607" t="s">
        <v>1888</v>
      </c>
      <c r="B56" s="608" t="e">
        <f>C48</f>
        <v>#DIV/0!</v>
      </c>
      <c r="C56" s="609">
        <v>1</v>
      </c>
      <c r="D56" s="889">
        <v>1</v>
      </c>
      <c r="E56" s="609">
        <f>'数据-汇总表'!E8+'数据-汇总表'!E9</f>
        <v>4430.01</v>
      </c>
      <c r="F56" s="832" t="e">
        <f t="shared" ref="F56:F64" si="15">ROUND(B56*E56/10000,0)</f>
        <v>#DIV/0!</v>
      </c>
      <c r="G56" s="3388"/>
      <c r="H56" s="3374"/>
      <c r="I56" s="837">
        <v>1</v>
      </c>
      <c r="J56" s="840">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1" customFormat="1">
      <c r="A57" s="612" t="s">
        <v>1889</v>
      </c>
      <c r="B57" s="209" t="e">
        <f>ROUND($C$48*C57*D57,0)</f>
        <v>#DIV/0!</v>
      </c>
      <c r="C57" s="163">
        <f t="shared" ref="C57:C64" si="16">IF($C$55="北京市系数",I57,J57)</f>
        <v>0.7</v>
      </c>
      <c r="D57" s="890">
        <v>0.25</v>
      </c>
      <c r="E57" s="613"/>
      <c r="F57" s="832" t="e">
        <f t="shared" si="15"/>
        <v>#DIV/0!</v>
      </c>
      <c r="G57" s="2747" t="s">
        <v>1890</v>
      </c>
      <c r="H57" s="833" t="str">
        <f>项目基本情况!B37</f>
        <v>二级</v>
      </c>
      <c r="I57" s="837">
        <f>SUMIF(修正!A57:A68,H57,修正!B57:B68)</f>
        <v>0.7</v>
      </c>
      <c r="J57" s="841"/>
      <c r="K57" s="2484"/>
      <c r="L57" s="2543"/>
      <c r="M57" s="2543"/>
      <c r="N57" s="2543"/>
      <c r="O57" s="2543"/>
      <c r="P57" s="2543"/>
      <c r="Q57" s="2543"/>
      <c r="R57" s="2543"/>
      <c r="S57" s="2543"/>
      <c r="T57" s="2543"/>
      <c r="U57" s="2543"/>
      <c r="V57" s="2543"/>
      <c r="W57" s="2543"/>
      <c r="X57" s="2543"/>
      <c r="Y57" s="2543"/>
      <c r="Z57" s="2543"/>
      <c r="AA57" s="2543"/>
      <c r="AB57" s="2543"/>
      <c r="AC57" s="2543"/>
    </row>
    <row r="58" spans="1:29" s="611" customFormat="1">
      <c r="A58" s="612" t="s">
        <v>1891</v>
      </c>
      <c r="B58" s="209" t="e">
        <f t="shared" ref="B58:B64" si="17">ROUND($C$48*C58*D58,0)</f>
        <v>#DIV/0!</v>
      </c>
      <c r="C58" s="163">
        <f t="shared" si="16"/>
        <v>0.4</v>
      </c>
      <c r="D58" s="890">
        <v>0.25</v>
      </c>
      <c r="E58" s="613"/>
      <c r="F58" s="832" t="e">
        <f t="shared" si="15"/>
        <v>#DIV/0!</v>
      </c>
      <c r="G58" s="2748"/>
      <c r="H58" s="833" t="str">
        <f>项目基本情况!B37</f>
        <v>二级</v>
      </c>
      <c r="I58" s="837">
        <f>SUMIF(修正!A57:A68,H58,修正!C57:C68)</f>
        <v>0.4</v>
      </c>
      <c r="J58" s="841"/>
      <c r="K58" s="2494"/>
      <c r="L58" s="2543"/>
      <c r="M58" s="2543"/>
      <c r="N58" s="2543"/>
      <c r="O58" s="2543"/>
      <c r="P58" s="2543"/>
      <c r="Q58" s="2543"/>
      <c r="R58" s="2543"/>
      <c r="S58" s="2543"/>
      <c r="T58" s="2543"/>
      <c r="U58" s="2543"/>
      <c r="V58" s="2543"/>
      <c r="W58" s="2543"/>
      <c r="X58" s="2543"/>
      <c r="Y58" s="2543"/>
      <c r="Z58" s="2543"/>
      <c r="AA58" s="2543"/>
      <c r="AB58" s="2543"/>
      <c r="AC58" s="2543"/>
    </row>
    <row r="59" spans="1:29" s="611" customFormat="1">
      <c r="A59" s="612" t="s">
        <v>1892</v>
      </c>
      <c r="B59" s="209" t="e">
        <f t="shared" si="17"/>
        <v>#DIV/0!</v>
      </c>
      <c r="C59" s="163">
        <f t="shared" si="16"/>
        <v>0.3</v>
      </c>
      <c r="D59" s="890">
        <v>0.25</v>
      </c>
      <c r="E59" s="613"/>
      <c r="F59" s="832" t="e">
        <f t="shared" si="15"/>
        <v>#DIV/0!</v>
      </c>
      <c r="G59" s="2748"/>
      <c r="H59" s="833" t="str">
        <f>项目基本情况!B37</f>
        <v>二级</v>
      </c>
      <c r="I59" s="837">
        <f>SUMIF(修正!A57:A68,H59,修正!D57:D68)</f>
        <v>0.3</v>
      </c>
      <c r="J59" s="841"/>
      <c r="K59" s="2484"/>
      <c r="L59" s="2543"/>
      <c r="M59" s="2543"/>
      <c r="N59" s="2543"/>
      <c r="O59" s="2543"/>
      <c r="P59" s="2543"/>
      <c r="Q59" s="2543"/>
      <c r="R59" s="2543"/>
      <c r="S59" s="2543"/>
      <c r="T59" s="2543"/>
      <c r="U59" s="2543"/>
      <c r="V59" s="2543"/>
      <c r="W59" s="2543"/>
      <c r="X59" s="2543"/>
      <c r="Y59" s="2543"/>
      <c r="Z59" s="2543"/>
      <c r="AA59" s="2543"/>
      <c r="AB59" s="2543"/>
      <c r="AC59" s="2543"/>
    </row>
    <row r="60" spans="1:29" s="611" customFormat="1">
      <c r="A60" s="612" t="s">
        <v>1893</v>
      </c>
      <c r="B60" s="209" t="e">
        <f t="shared" si="17"/>
        <v>#DIV/0!</v>
      </c>
      <c r="C60" s="163">
        <f t="shared" si="16"/>
        <v>0</v>
      </c>
      <c r="D60" s="890">
        <v>0.25</v>
      </c>
      <c r="E60" s="208">
        <f>'数据-汇总表'!E11</f>
        <v>0</v>
      </c>
      <c r="F60" s="832" t="e">
        <f t="shared" si="15"/>
        <v>#DIV/0!</v>
      </c>
      <c r="G60" s="1834" t="s">
        <v>1894</v>
      </c>
      <c r="H60" s="833">
        <f>项目基本情况!C37</f>
        <v>0</v>
      </c>
      <c r="I60" s="837">
        <f>SUMIF(修正!A57:A68,H60,修正!E57:E68)</f>
        <v>0</v>
      </c>
      <c r="J60" s="841"/>
      <c r="K60" s="2484"/>
      <c r="L60" s="2543"/>
      <c r="M60" s="2543"/>
      <c r="N60" s="2543"/>
      <c r="O60" s="2543"/>
      <c r="P60" s="2543"/>
      <c r="Q60" s="2543"/>
      <c r="R60" s="2543"/>
      <c r="S60" s="2543"/>
      <c r="T60" s="2543"/>
      <c r="U60" s="2543"/>
      <c r="V60" s="2543"/>
      <c r="W60" s="2543"/>
      <c r="X60" s="2543"/>
      <c r="Y60" s="2543"/>
      <c r="Z60" s="2543"/>
      <c r="AA60" s="2543"/>
      <c r="AB60" s="2543"/>
      <c r="AC60" s="2543"/>
    </row>
    <row r="61" spans="1:29" s="611" customFormat="1">
      <c r="A61" s="612" t="s">
        <v>1895</v>
      </c>
      <c r="B61" s="209" t="e">
        <f t="shared" si="17"/>
        <v>#DIV/0!</v>
      </c>
      <c r="C61" s="163">
        <f t="shared" si="16"/>
        <v>0</v>
      </c>
      <c r="D61" s="890">
        <v>0.25</v>
      </c>
      <c r="E61" s="208">
        <f>'数据-汇总表'!E12</f>
        <v>0</v>
      </c>
      <c r="F61" s="832" t="e">
        <f t="shared" si="15"/>
        <v>#DIV/0!</v>
      </c>
      <c r="G61" s="838" t="s">
        <v>1896</v>
      </c>
      <c r="H61" s="833">
        <f>IF(G61="商业",项目基本情况!B37,IF(G61="办公",项目基本情况!C37,IF(G61="住宅",项目基本情况!D37,项目基本情况!E37)))</f>
        <v>0</v>
      </c>
      <c r="I61" s="837">
        <f>SUMIF(修正!A57:A68,H61,修正!F57:F68)</f>
        <v>0</v>
      </c>
      <c r="J61" s="841"/>
      <c r="K61" s="2494"/>
      <c r="L61" s="2543"/>
      <c r="M61" s="2543"/>
      <c r="N61" s="2543"/>
      <c r="O61" s="2543"/>
      <c r="P61" s="2543"/>
      <c r="Q61" s="2543"/>
      <c r="R61" s="2543"/>
      <c r="S61" s="2543"/>
      <c r="T61" s="2543"/>
      <c r="U61" s="2543"/>
      <c r="V61" s="2543"/>
      <c r="W61" s="2543"/>
      <c r="X61" s="2543"/>
      <c r="Y61" s="2543"/>
      <c r="Z61" s="2543"/>
      <c r="AA61" s="2543"/>
      <c r="AB61" s="2543"/>
      <c r="AC61" s="2543"/>
    </row>
    <row r="62" spans="1:29" s="611" customFormat="1">
      <c r="A62" s="612" t="s">
        <v>1897</v>
      </c>
      <c r="B62" s="209" t="e">
        <f t="shared" si="17"/>
        <v>#DIV/0!</v>
      </c>
      <c r="C62" s="163">
        <f t="shared" si="16"/>
        <v>0</v>
      </c>
      <c r="D62" s="890">
        <v>0.25</v>
      </c>
      <c r="E62" s="208">
        <f>'数据-汇总表'!E13</f>
        <v>0</v>
      </c>
      <c r="F62" s="832" t="e">
        <f t="shared" si="15"/>
        <v>#DIV/0!</v>
      </c>
      <c r="G62" s="838" t="s">
        <v>1898</v>
      </c>
      <c r="H62" s="833">
        <f>IF(G62="商业",项目基本情况!B37,IF(G62="办公",项目基本情况!C37,IF(G62="住宅",项目基本情况!D37,项目基本情况!E37)))</f>
        <v>0</v>
      </c>
      <c r="I62" s="837">
        <f>SUMIF(修正!A57:A68,H62,修正!G57:G68)</f>
        <v>0</v>
      </c>
      <c r="J62" s="841"/>
      <c r="K62" s="2484"/>
      <c r="L62" s="2543"/>
      <c r="M62" s="2543"/>
      <c r="N62" s="2543"/>
      <c r="O62" s="2543"/>
      <c r="P62" s="2543"/>
      <c r="Q62" s="2543"/>
      <c r="R62" s="2543"/>
      <c r="S62" s="2543"/>
      <c r="T62" s="2543"/>
      <c r="U62" s="2543"/>
      <c r="V62" s="2543"/>
      <c r="W62" s="2543"/>
      <c r="X62" s="2543"/>
      <c r="Y62" s="2543"/>
      <c r="Z62" s="2543"/>
      <c r="AA62" s="2543"/>
      <c r="AB62" s="2543"/>
      <c r="AC62" s="2543"/>
    </row>
    <row r="63" spans="1:29" s="611" customFormat="1">
      <c r="A63" s="612" t="s">
        <v>1899</v>
      </c>
      <c r="B63" s="209" t="e">
        <f t="shared" si="17"/>
        <v>#DIV/0!</v>
      </c>
      <c r="C63" s="163">
        <f t="shared" si="16"/>
        <v>0.2</v>
      </c>
      <c r="D63" s="890">
        <v>0.25</v>
      </c>
      <c r="E63" s="208">
        <f>'数据-汇总表'!E14</f>
        <v>0</v>
      </c>
      <c r="F63" s="832" t="e">
        <f t="shared" si="15"/>
        <v>#DIV/0!</v>
      </c>
      <c r="G63" s="1834" t="s">
        <v>1890</v>
      </c>
      <c r="H63" s="833" t="str">
        <f>项目基本情况!B37</f>
        <v>二级</v>
      </c>
      <c r="I63" s="837">
        <f>SUMIF(修正!A57:A68,H63,修正!G57:G68)</f>
        <v>0.2</v>
      </c>
      <c r="J63" s="841"/>
      <c r="K63" s="2494"/>
      <c r="L63" s="2543"/>
      <c r="M63" s="2543"/>
      <c r="N63" s="2543"/>
      <c r="O63" s="2543"/>
      <c r="P63" s="2543"/>
      <c r="Q63" s="2543"/>
      <c r="R63" s="2543"/>
      <c r="S63" s="2543"/>
      <c r="T63" s="2543"/>
      <c r="U63" s="2543"/>
      <c r="V63" s="2543"/>
      <c r="W63" s="2543"/>
      <c r="X63" s="2543"/>
      <c r="Y63" s="2543"/>
      <c r="Z63" s="2543"/>
      <c r="AA63" s="2543"/>
      <c r="AB63" s="2543"/>
      <c r="AC63" s="2543"/>
    </row>
    <row r="64" spans="1:29" s="611" customFormat="1" ht="15" thickBot="1">
      <c r="A64" s="612" t="s">
        <v>1900</v>
      </c>
      <c r="B64" s="209" t="e">
        <f t="shared" si="17"/>
        <v>#DIV/0!</v>
      </c>
      <c r="C64" s="163">
        <f t="shared" si="16"/>
        <v>0</v>
      </c>
      <c r="D64" s="890">
        <v>0.25</v>
      </c>
      <c r="E64" s="208">
        <f>'数据-汇总表'!E15</f>
        <v>0</v>
      </c>
      <c r="F64" s="832" t="e">
        <f t="shared" si="15"/>
        <v>#DIV/0!</v>
      </c>
      <c r="G64" s="1835" t="s">
        <v>1894</v>
      </c>
      <c r="H64" s="843">
        <f>项目基本情况!C37</f>
        <v>0</v>
      </c>
      <c r="I64" s="839">
        <f>SUMIF(修正!A57:A68,H64,修正!G57:G68)</f>
        <v>0</v>
      </c>
      <c r="J64" s="842"/>
      <c r="K64" s="2484"/>
      <c r="L64" s="2543"/>
      <c r="M64" s="2543"/>
      <c r="N64" s="2543"/>
      <c r="O64" s="2543"/>
      <c r="P64" s="2543"/>
      <c r="Q64" s="2543"/>
      <c r="R64" s="2543"/>
      <c r="S64" s="2543"/>
      <c r="T64" s="2543"/>
      <c r="U64" s="2543"/>
      <c r="V64" s="2543"/>
      <c r="W64" s="2543"/>
      <c r="X64" s="2543"/>
      <c r="Y64" s="2543"/>
      <c r="Z64" s="2543"/>
      <c r="AA64" s="2543"/>
      <c r="AB64" s="2543"/>
      <c r="AC64" s="2543"/>
    </row>
    <row r="65" spans="1:29" s="611" customFormat="1" ht="13.5" thickBot="1">
      <c r="A65" s="614" t="s">
        <v>1901</v>
      </c>
      <c r="B65" s="615" t="s">
        <v>22</v>
      </c>
      <c r="C65" s="615" t="s">
        <v>23</v>
      </c>
      <c r="D65" s="615" t="s">
        <v>392</v>
      </c>
      <c r="E65" s="615">
        <f>IF(B46="楼面地价",SUM(E56:E64),'数据-汇总表'!D3)</f>
        <v>4430.01</v>
      </c>
      <c r="F65" s="616" t="e">
        <f>IF(B46="楼面地价",SUM(F56:F64),ROUND(C48*E65/10000,0))</f>
        <v>#DIV/0!</v>
      </c>
      <c r="G65" s="676"/>
      <c r="H65" s="676"/>
      <c r="I65" s="676"/>
      <c r="J65" s="676"/>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4"/>
      <c r="B66" s="655"/>
      <c r="C66" s="656"/>
      <c r="D66" s="384"/>
      <c r="E66" s="384"/>
      <c r="F66" s="384"/>
      <c r="G66" s="384"/>
      <c r="H66" s="384"/>
      <c r="I66" s="384"/>
      <c r="J66" s="860"/>
      <c r="K66" s="834"/>
      <c r="L66" s="835"/>
      <c r="M66" s="860"/>
      <c r="N66" s="860"/>
      <c r="O66" s="860"/>
      <c r="P66" s="2484"/>
      <c r="Q66" s="2484"/>
      <c r="R66" s="2484"/>
      <c r="S66" s="2484"/>
      <c r="T66" s="2484"/>
      <c r="U66" s="2484"/>
      <c r="V66" s="2484"/>
      <c r="W66" s="2484"/>
      <c r="X66" s="2484"/>
      <c r="Y66" s="2484"/>
      <c r="Z66" s="2484"/>
      <c r="AA66" s="2484"/>
      <c r="AB66" s="2484"/>
      <c r="AC66" s="2484"/>
    </row>
    <row r="67" spans="1:29">
      <c r="A67" s="384"/>
      <c r="B67" s="655"/>
      <c r="C67" s="655" t="str">
        <f>YEAR(C7)&amp;"-"&amp;MONTH(C7)&amp;"-1"</f>
        <v>2023-4-1</v>
      </c>
      <c r="D67" s="655">
        <f>EDATE(C67,-3)</f>
        <v>44927</v>
      </c>
      <c r="E67" s="655">
        <f>EDATE(D67,-3)</f>
        <v>44835</v>
      </c>
      <c r="F67" s="655">
        <f t="shared" ref="F67:O67" si="18">EDATE(E67,-3)</f>
        <v>44743</v>
      </c>
      <c r="G67" s="655">
        <f t="shared" si="18"/>
        <v>44652</v>
      </c>
      <c r="H67" s="655">
        <f t="shared" si="18"/>
        <v>44562</v>
      </c>
      <c r="I67" s="655">
        <f t="shared" si="18"/>
        <v>44470</v>
      </c>
      <c r="J67" s="655">
        <f t="shared" si="18"/>
        <v>44378</v>
      </c>
      <c r="K67" s="655">
        <f t="shared" si="18"/>
        <v>44287</v>
      </c>
      <c r="L67" s="655">
        <f t="shared" si="18"/>
        <v>44197</v>
      </c>
      <c r="M67" s="655">
        <f t="shared" si="18"/>
        <v>44105</v>
      </c>
      <c r="N67" s="655">
        <f t="shared" si="18"/>
        <v>44013</v>
      </c>
      <c r="O67" s="655">
        <f t="shared" si="18"/>
        <v>43922</v>
      </c>
      <c r="P67" s="2484"/>
      <c r="Q67" s="2484"/>
      <c r="R67" s="2484"/>
      <c r="S67" s="2484"/>
      <c r="T67" s="2484"/>
      <c r="U67" s="2484"/>
      <c r="V67" s="2484"/>
      <c r="W67" s="2484"/>
      <c r="X67" s="2484"/>
      <c r="Y67" s="2484"/>
      <c r="Z67" s="2484"/>
      <c r="AA67" s="2484"/>
      <c r="AB67" s="2484"/>
      <c r="AC67" s="2484"/>
    </row>
    <row r="68" spans="1:29" ht="21.75" thickBot="1">
      <c r="A68" s="657" t="s">
        <v>1796</v>
      </c>
      <c r="B68" s="384"/>
      <c r="C68" s="658"/>
      <c r="D68" s="658"/>
      <c r="E68" s="658"/>
      <c r="F68" s="659"/>
      <c r="G68" s="659"/>
      <c r="H68" s="658"/>
      <c r="I68" s="658"/>
      <c r="J68" s="885"/>
      <c r="K68" s="886"/>
      <c r="L68" s="887"/>
      <c r="M68" s="885"/>
      <c r="N68" s="2534"/>
      <c r="O68" s="2534"/>
      <c r="P68" s="2534"/>
      <c r="Q68" s="2505"/>
      <c r="R68" s="2484"/>
      <c r="S68" s="2484"/>
      <c r="T68" s="2484"/>
      <c r="U68" s="2484"/>
      <c r="V68" s="2484"/>
      <c r="W68" s="2484"/>
      <c r="X68" s="2484"/>
      <c r="Y68" s="2484"/>
      <c r="Z68" s="2484"/>
      <c r="AA68" s="2484"/>
      <c r="AB68" s="2484"/>
      <c r="AC68" s="2484"/>
    </row>
    <row r="69" spans="1:29" s="441" customFormat="1" ht="15">
      <c r="A69" s="1629" t="s">
        <v>1902</v>
      </c>
      <c r="B69" s="1045"/>
      <c r="C69" s="1100" t="str">
        <f>YEAR(C67)&amp;"-"&amp;ROUNDUP(MONTH(C67)/3,0)</f>
        <v>2023-2</v>
      </c>
      <c r="D69" s="1100" t="str">
        <f>YEAR(D67)&amp;"-"&amp;ROUNDUP(MONTH(D67)/3,0)</f>
        <v>2023-1</v>
      </c>
      <c r="E69" s="1100" t="str">
        <f t="shared" ref="E69:O69" si="19">YEAR(E67)&amp;"-"&amp;ROUNDUP(MONTH(E67)/3,0)</f>
        <v>2022-4</v>
      </c>
      <c r="F69" s="1100" t="str">
        <f t="shared" si="19"/>
        <v>2022-3</v>
      </c>
      <c r="G69" s="1100" t="str">
        <f t="shared" si="19"/>
        <v>2022-2</v>
      </c>
      <c r="H69" s="1100" t="str">
        <f t="shared" si="19"/>
        <v>2022-1</v>
      </c>
      <c r="I69" s="1100" t="str">
        <f t="shared" si="19"/>
        <v>2021-4</v>
      </c>
      <c r="J69" s="1100" t="str">
        <f t="shared" si="19"/>
        <v>2021-3</v>
      </c>
      <c r="K69" s="1100" t="str">
        <f t="shared" si="19"/>
        <v>2021-2</v>
      </c>
      <c r="L69" s="1100" t="str">
        <f t="shared" si="19"/>
        <v>2021-1</v>
      </c>
      <c r="M69" s="1100" t="str">
        <f t="shared" si="19"/>
        <v>2020-4</v>
      </c>
      <c r="N69" s="1100" t="str">
        <f t="shared" si="19"/>
        <v>2020-3</v>
      </c>
      <c r="O69" s="1100" t="str">
        <f t="shared" si="19"/>
        <v>2020-2</v>
      </c>
      <c r="P69" s="2507"/>
      <c r="Q69" s="2507"/>
      <c r="R69" s="2507"/>
      <c r="S69" s="2507"/>
      <c r="T69" s="2507"/>
      <c r="U69" s="2507"/>
      <c r="V69" s="2507"/>
      <c r="W69" s="2507"/>
      <c r="X69" s="2507"/>
      <c r="Y69" s="2507"/>
      <c r="Z69" s="2507"/>
      <c r="AA69" s="2507"/>
      <c r="AB69" s="2507"/>
      <c r="AC69" s="2507"/>
    </row>
    <row r="70" spans="1:29" s="102" customFormat="1" ht="30" customHeight="1">
      <c r="A70" s="1836" t="s">
        <v>1903</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5"/>
      <c r="Q70" s="2436"/>
      <c r="R70" s="2436"/>
      <c r="S70" s="2436"/>
      <c r="T70" s="2436"/>
      <c r="U70" s="2436"/>
      <c r="V70" s="2436"/>
      <c r="W70" s="2436"/>
      <c r="X70" s="2436"/>
      <c r="Y70" s="2436"/>
      <c r="Z70" s="2436"/>
      <c r="AA70" s="2436"/>
      <c r="AB70" s="2436"/>
      <c r="AC70" s="2436"/>
    </row>
    <row r="71" spans="1:29" s="102" customFormat="1" ht="15.75" thickBot="1">
      <c r="A71" s="448" t="s">
        <v>1714</v>
      </c>
      <c r="B71" s="449"/>
      <c r="C71" s="450"/>
      <c r="D71" s="451"/>
      <c r="E71" s="451"/>
      <c r="F71" s="451"/>
      <c r="G71" s="451"/>
      <c r="H71" s="451"/>
      <c r="I71" s="451"/>
      <c r="J71" s="451"/>
      <c r="K71" s="451"/>
      <c r="L71" s="451"/>
      <c r="M71" s="452"/>
      <c r="N71" s="451"/>
      <c r="O71" s="888"/>
      <c r="P71" s="2505"/>
      <c r="Q71" s="2505"/>
      <c r="R71" s="2436"/>
      <c r="S71" s="2436"/>
      <c r="T71" s="2436"/>
      <c r="U71" s="2436"/>
      <c r="V71" s="2436"/>
      <c r="W71" s="2436"/>
      <c r="X71" s="2436"/>
      <c r="Y71" s="2436"/>
      <c r="Z71" s="2436"/>
      <c r="AA71" s="2436"/>
      <c r="AB71" s="2436"/>
      <c r="AC71" s="2436"/>
    </row>
    <row r="72" spans="1:29" s="102" customFormat="1" ht="15">
      <c r="A72" s="454" t="s">
        <v>1679</v>
      </c>
      <c r="B72" s="443"/>
      <c r="C72" s="455" t="s">
        <v>1774</v>
      </c>
      <c r="D72" s="31"/>
      <c r="E72" s="31"/>
      <c r="F72" s="31"/>
      <c r="G72" s="31"/>
      <c r="H72" s="31"/>
      <c r="I72" s="31"/>
      <c r="J72" s="31"/>
      <c r="K72" s="31"/>
      <c r="L72" s="456"/>
      <c r="M72" s="457"/>
      <c r="N72" s="2517"/>
      <c r="O72" s="2517"/>
      <c r="P72" s="2541"/>
      <c r="Q72" s="2505"/>
      <c r="R72" s="2436"/>
      <c r="S72" s="2436"/>
      <c r="T72" s="2436"/>
      <c r="U72" s="2436"/>
      <c r="V72" s="2436"/>
      <c r="W72" s="2436"/>
      <c r="X72" s="2436"/>
      <c r="Y72" s="2436"/>
      <c r="Z72" s="2436"/>
      <c r="AA72" s="2436"/>
      <c r="AB72" s="2436"/>
      <c r="AC72" s="2436"/>
    </row>
    <row r="73" spans="1:29" s="102" customFormat="1" ht="15.75" thickBot="1">
      <c r="A73" s="454"/>
      <c r="B73" s="443"/>
      <c r="C73" s="562">
        <v>100</v>
      </c>
      <c r="D73" s="445"/>
      <c r="E73" s="445"/>
      <c r="F73" s="445"/>
      <c r="G73" s="445"/>
      <c r="H73" s="445"/>
      <c r="I73" s="445"/>
      <c r="J73" s="445"/>
      <c r="K73" s="445"/>
      <c r="L73" s="445"/>
      <c r="M73" s="447"/>
      <c r="N73" s="2517"/>
      <c r="O73" s="2517"/>
      <c r="P73" s="2505"/>
      <c r="Q73" s="2505"/>
      <c r="R73" s="2436"/>
      <c r="S73" s="2436"/>
      <c r="T73" s="2436"/>
      <c r="U73" s="2436"/>
      <c r="V73" s="2436"/>
      <c r="W73" s="2436"/>
      <c r="X73" s="2436"/>
      <c r="Y73" s="2436"/>
      <c r="Z73" s="2436"/>
      <c r="AA73" s="2436"/>
      <c r="AB73" s="2436"/>
      <c r="AC73" s="2436"/>
    </row>
    <row r="74" spans="1:29">
      <c r="A74" s="378" t="s">
        <v>1717</v>
      </c>
      <c r="B74" s="459" t="s">
        <v>1683</v>
      </c>
      <c r="C74" s="461"/>
      <c r="D74" s="461"/>
      <c r="E74" s="461"/>
      <c r="F74" s="461"/>
      <c r="G74" s="461"/>
      <c r="H74" s="461"/>
      <c r="I74" s="461"/>
      <c r="J74" s="461"/>
      <c r="K74" s="462"/>
      <c r="L74" s="463"/>
      <c r="M74" s="464"/>
      <c r="N74" s="2518"/>
      <c r="O74" s="2518"/>
      <c r="P74" s="2517"/>
      <c r="Q74" s="2505"/>
      <c r="R74" s="2484"/>
      <c r="S74" s="2484"/>
      <c r="T74" s="2484"/>
      <c r="U74" s="2484"/>
      <c r="V74" s="2484"/>
      <c r="W74" s="2484"/>
      <c r="X74" s="2484"/>
      <c r="Y74" s="2484"/>
      <c r="Z74" s="2484"/>
      <c r="AA74" s="2484"/>
      <c r="AB74" s="2484"/>
      <c r="AC74" s="2484"/>
    </row>
    <row r="75" spans="1:29" ht="15.75" thickBot="1">
      <c r="A75" s="366"/>
      <c r="B75" s="465"/>
      <c r="C75" s="466"/>
      <c r="D75" s="466"/>
      <c r="E75" s="466"/>
      <c r="F75" s="466"/>
      <c r="G75" s="466"/>
      <c r="H75" s="466"/>
      <c r="I75" s="466"/>
      <c r="J75" s="466"/>
      <c r="K75" s="466"/>
      <c r="L75" s="466"/>
      <c r="M75" s="467"/>
      <c r="N75" s="2519"/>
      <c r="O75" s="2519"/>
      <c r="P75" s="2517"/>
      <c r="Q75" s="2505"/>
      <c r="R75" s="2484"/>
      <c r="S75" s="2484"/>
      <c r="T75" s="2484"/>
      <c r="U75" s="2484"/>
      <c r="V75" s="2484"/>
      <c r="W75" s="2484"/>
      <c r="X75" s="2484"/>
      <c r="Y75" s="2484"/>
      <c r="Z75" s="2484"/>
      <c r="AA75" s="2484"/>
      <c r="AB75" s="2484"/>
      <c r="AC75" s="2484"/>
    </row>
    <row r="76" spans="1:29" ht="27.75" thickTop="1">
      <c r="A76" s="366"/>
      <c r="B76" s="468" t="s">
        <v>1686</v>
      </c>
      <c r="C76" s="469"/>
      <c r="D76" s="469"/>
      <c r="E76" s="469"/>
      <c r="F76" s="469"/>
      <c r="G76" s="469"/>
      <c r="H76" s="469"/>
      <c r="I76" s="469"/>
      <c r="J76" s="469"/>
      <c r="K76" s="470"/>
      <c r="L76" s="471"/>
      <c r="M76" s="472"/>
      <c r="N76" s="2518"/>
      <c r="O76" s="2518"/>
      <c r="P76" s="2517"/>
      <c r="Q76" s="2505"/>
      <c r="R76" s="2484"/>
      <c r="S76" s="2484"/>
      <c r="T76" s="2484"/>
      <c r="U76" s="2484"/>
      <c r="V76" s="2484"/>
      <c r="W76" s="2484"/>
      <c r="X76" s="2484"/>
      <c r="Y76" s="2484"/>
      <c r="Z76" s="2484"/>
      <c r="AA76" s="2484"/>
      <c r="AB76" s="2484"/>
      <c r="AC76" s="2484"/>
    </row>
    <row r="77" spans="1:29" ht="15.75" thickBot="1">
      <c r="A77" s="366"/>
      <c r="B77" s="473"/>
      <c r="C77" s="474"/>
      <c r="D77" s="474"/>
      <c r="E77" s="474"/>
      <c r="F77" s="474"/>
      <c r="G77" s="474"/>
      <c r="H77" s="474"/>
      <c r="I77" s="474"/>
      <c r="J77" s="474"/>
      <c r="K77" s="474"/>
      <c r="L77" s="474"/>
      <c r="M77" s="475"/>
      <c r="N77" s="2519"/>
      <c r="O77" s="2519"/>
      <c r="P77" s="2517"/>
      <c r="Q77" s="2505"/>
      <c r="R77" s="2484"/>
      <c r="S77" s="2484"/>
      <c r="T77" s="2484"/>
      <c r="U77" s="2484"/>
      <c r="V77" s="2484"/>
      <c r="W77" s="2484"/>
      <c r="X77" s="2484"/>
      <c r="Y77" s="2484"/>
      <c r="Z77" s="2484"/>
      <c r="AA77" s="2484"/>
      <c r="AB77" s="2484"/>
      <c r="AC77" s="2484"/>
    </row>
    <row r="78" spans="1:29" ht="15.75" thickTop="1">
      <c r="A78" s="366"/>
      <c r="B78" s="476" t="s">
        <v>1687</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9"/>
      <c r="O78" s="2519"/>
      <c r="P78" s="2517"/>
      <c r="Q78" s="2505"/>
      <c r="R78" s="2484"/>
      <c r="S78" s="2484"/>
      <c r="T78" s="2484"/>
      <c r="U78" s="2484"/>
      <c r="V78" s="2484"/>
      <c r="W78" s="2484"/>
      <c r="X78" s="2484"/>
      <c r="Y78" s="2484"/>
      <c r="Z78" s="2484"/>
      <c r="AA78" s="2484"/>
      <c r="AB78" s="2484"/>
      <c r="AC78" s="2484"/>
    </row>
    <row r="79" spans="1:29" ht="15">
      <c r="A79" s="366"/>
      <c r="B79" s="478"/>
      <c r="C79" s="479"/>
      <c r="D79" s="479"/>
      <c r="E79" s="479"/>
      <c r="F79" s="479"/>
      <c r="G79" s="479"/>
      <c r="H79" s="479"/>
      <c r="I79" s="479"/>
      <c r="J79" s="479"/>
      <c r="K79" s="480"/>
      <c r="L79" s="481"/>
      <c r="M79" s="482"/>
      <c r="N79" s="2518"/>
      <c r="O79" s="2518"/>
      <c r="P79" s="2517"/>
      <c r="Q79" s="2505"/>
      <c r="R79" s="2484"/>
      <c r="S79" s="2484"/>
      <c r="T79" s="2484"/>
      <c r="U79" s="2484"/>
      <c r="V79" s="2484"/>
      <c r="W79" s="2484"/>
      <c r="X79" s="2484"/>
      <c r="Y79" s="2484"/>
      <c r="Z79" s="2484"/>
      <c r="AA79" s="2484"/>
      <c r="AB79" s="2484"/>
      <c r="AC79" s="2484"/>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9"/>
      <c r="O80" s="2519"/>
      <c r="P80" s="2517"/>
      <c r="Q80" s="2505"/>
      <c r="R80" s="2484"/>
      <c r="S80" s="2484"/>
      <c r="T80" s="2484"/>
      <c r="U80" s="2484"/>
      <c r="V80" s="2484"/>
      <c r="W80" s="2484"/>
      <c r="X80" s="2484"/>
      <c r="Y80" s="2484"/>
      <c r="Z80" s="2484"/>
      <c r="AA80" s="2484"/>
      <c r="AB80" s="2484"/>
      <c r="AC80" s="2484"/>
    </row>
    <row r="81" spans="1:29" s="407" customFormat="1" ht="15.75" thickTop="1">
      <c r="A81" s="483"/>
      <c r="B81" s="468" t="str">
        <f>B12</f>
        <v>配建</v>
      </c>
      <c r="C81" s="484"/>
      <c r="D81" s="484"/>
      <c r="E81" s="484"/>
      <c r="F81" s="484"/>
      <c r="G81" s="484"/>
      <c r="H81" s="485"/>
      <c r="I81" s="485"/>
      <c r="J81" s="485"/>
      <c r="K81" s="485"/>
      <c r="L81" s="486"/>
      <c r="M81" s="487"/>
      <c r="N81" s="2520"/>
      <c r="O81" s="2520"/>
      <c r="P81" s="2520"/>
      <c r="Q81" s="2512"/>
      <c r="R81" s="2490"/>
      <c r="S81" s="2490"/>
      <c r="T81" s="2490"/>
      <c r="U81" s="2490"/>
      <c r="V81" s="2490"/>
      <c r="W81" s="2490"/>
      <c r="X81" s="2490"/>
      <c r="Y81" s="2490"/>
      <c r="Z81" s="2490"/>
      <c r="AA81" s="2490"/>
      <c r="AB81" s="2490"/>
      <c r="AC81" s="2490"/>
    </row>
    <row r="82" spans="1:29" s="407" customFormat="1" ht="15.75" thickBot="1">
      <c r="A82" s="483"/>
      <c r="B82" s="473"/>
      <c r="C82" s="490"/>
      <c r="D82" s="466"/>
      <c r="E82" s="466"/>
      <c r="F82" s="466"/>
      <c r="G82" s="466"/>
      <c r="H82" s="466"/>
      <c r="I82" s="466"/>
      <c r="J82" s="466"/>
      <c r="K82" s="466"/>
      <c r="L82" s="466"/>
      <c r="M82" s="467"/>
      <c r="N82" s="2519"/>
      <c r="O82" s="2519"/>
      <c r="P82" s="2520"/>
      <c r="Q82" s="2512"/>
      <c r="R82" s="2490"/>
      <c r="S82" s="2490"/>
      <c r="T82" s="2490"/>
      <c r="U82" s="2490"/>
      <c r="V82" s="2490"/>
      <c r="W82" s="2490"/>
      <c r="X82" s="2490"/>
      <c r="Y82" s="2490"/>
      <c r="Z82" s="2490"/>
      <c r="AA82" s="2490"/>
      <c r="AB82" s="2490"/>
      <c r="AC82" s="2490"/>
    </row>
    <row r="83" spans="1:29" s="407" customFormat="1" ht="15.75" thickTop="1">
      <c r="A83" s="483"/>
      <c r="B83" s="468">
        <f>B13</f>
        <v>111</v>
      </c>
      <c r="C83" s="484"/>
      <c r="D83" s="484"/>
      <c r="E83" s="484"/>
      <c r="F83" s="484"/>
      <c r="G83" s="484"/>
      <c r="H83" s="485"/>
      <c r="I83" s="485"/>
      <c r="J83" s="485"/>
      <c r="K83" s="485"/>
      <c r="L83" s="486"/>
      <c r="M83" s="487"/>
      <c r="N83" s="2520"/>
      <c r="O83" s="2520"/>
      <c r="P83" s="2490"/>
      <c r="Q83" s="2514"/>
      <c r="R83" s="2490"/>
      <c r="S83" s="2490"/>
      <c r="T83" s="2490"/>
      <c r="U83" s="2490"/>
      <c r="V83" s="2490"/>
      <c r="W83" s="2490"/>
      <c r="X83" s="2490"/>
      <c r="Y83" s="2490"/>
      <c r="Z83" s="2490"/>
      <c r="AA83" s="2490"/>
      <c r="AB83" s="2490"/>
      <c r="AC83" s="2490"/>
    </row>
    <row r="84" spans="1:29" s="407" customFormat="1" ht="15.75" thickBot="1">
      <c r="A84" s="483"/>
      <c r="B84" s="473"/>
      <c r="C84" s="490"/>
      <c r="D84" s="490"/>
      <c r="E84" s="490"/>
      <c r="F84" s="490"/>
      <c r="G84" s="490"/>
      <c r="H84" s="492"/>
      <c r="I84" s="492"/>
      <c r="J84" s="492"/>
      <c r="K84" s="492"/>
      <c r="L84" s="492"/>
      <c r="M84" s="493"/>
      <c r="N84" s="2520"/>
      <c r="O84" s="2520"/>
      <c r="P84" s="2520"/>
      <c r="Q84" s="2512"/>
      <c r="R84" s="2490"/>
      <c r="S84" s="2490"/>
      <c r="T84" s="2490"/>
      <c r="U84" s="2490"/>
      <c r="V84" s="2490"/>
      <c r="W84" s="2490"/>
      <c r="X84" s="2490"/>
      <c r="Y84" s="2490"/>
      <c r="Z84" s="2490"/>
      <c r="AA84" s="2490"/>
      <c r="AB84" s="2490"/>
      <c r="AC84" s="2490"/>
    </row>
    <row r="85" spans="1:29" s="407" customFormat="1" ht="15.75" thickTop="1">
      <c r="A85" s="483"/>
      <c r="B85" s="476">
        <f>B14</f>
        <v>111</v>
      </c>
      <c r="C85" s="31"/>
      <c r="D85" s="31"/>
      <c r="E85" s="31"/>
      <c r="F85" s="31"/>
      <c r="G85" s="31"/>
      <c r="H85" s="494"/>
      <c r="I85" s="494"/>
      <c r="J85" s="494"/>
      <c r="K85" s="494"/>
      <c r="L85" s="495"/>
      <c r="M85" s="496"/>
      <c r="N85" s="2520"/>
      <c r="O85" s="2520"/>
      <c r="P85" s="2545"/>
      <c r="Q85" s="2512"/>
      <c r="R85" s="2490"/>
      <c r="S85" s="2490"/>
      <c r="T85" s="2490"/>
      <c r="U85" s="2490"/>
      <c r="V85" s="2490"/>
      <c r="W85" s="2490"/>
      <c r="X85" s="2490"/>
      <c r="Y85" s="2490"/>
      <c r="Z85" s="2490"/>
      <c r="AA85" s="2490"/>
      <c r="AB85" s="2490"/>
      <c r="AC85" s="2490"/>
    </row>
    <row r="86" spans="1:29" s="407" customFormat="1" ht="15.75" thickBot="1">
      <c r="A86" s="498"/>
      <c r="B86" s="499"/>
      <c r="C86" s="500"/>
      <c r="D86" s="500"/>
      <c r="E86" s="500"/>
      <c r="F86" s="500"/>
      <c r="G86" s="500"/>
      <c r="H86" s="501"/>
      <c r="I86" s="501"/>
      <c r="J86" s="501"/>
      <c r="K86" s="501"/>
      <c r="L86" s="501"/>
      <c r="M86" s="502"/>
      <c r="N86" s="2520"/>
      <c r="O86" s="2520"/>
      <c r="P86" s="2520"/>
      <c r="Q86" s="2512"/>
      <c r="R86" s="2490"/>
      <c r="S86" s="2490"/>
      <c r="T86" s="2490"/>
      <c r="U86" s="2490"/>
      <c r="V86" s="2490"/>
      <c r="W86" s="2490"/>
      <c r="X86" s="2490"/>
      <c r="Y86" s="2490"/>
      <c r="Z86" s="2490"/>
      <c r="AA86" s="2490"/>
      <c r="AB86" s="2490"/>
      <c r="AC86" s="2490"/>
    </row>
    <row r="87" spans="1:29">
      <c r="A87" s="378" t="s">
        <v>1688</v>
      </c>
      <c r="B87" s="459" t="s">
        <v>1718</v>
      </c>
      <c r="C87" s="503" t="s">
        <v>1719</v>
      </c>
      <c r="D87" s="503" t="s">
        <v>1720</v>
      </c>
      <c r="E87" s="503" t="s">
        <v>1721</v>
      </c>
      <c r="F87" s="503" t="s">
        <v>1722</v>
      </c>
      <c r="G87" s="503" t="s">
        <v>1723</v>
      </c>
      <c r="H87" s="460"/>
      <c r="I87" s="460"/>
      <c r="J87" s="460"/>
      <c r="K87" s="504"/>
      <c r="L87" s="505"/>
      <c r="M87" s="506"/>
      <c r="N87" s="2518"/>
      <c r="O87" s="2518"/>
      <c r="P87" s="2542"/>
      <c r="Q87" s="2505"/>
      <c r="R87" s="2484"/>
      <c r="S87" s="2484"/>
      <c r="T87" s="2484"/>
      <c r="U87" s="2484"/>
      <c r="V87" s="2484"/>
      <c r="W87" s="2484"/>
      <c r="X87" s="2484"/>
      <c r="Y87" s="2484"/>
      <c r="Z87" s="2484"/>
      <c r="AA87" s="2484"/>
      <c r="AB87" s="2484"/>
      <c r="AC87" s="2484"/>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9"/>
      <c r="O88" s="2519"/>
      <c r="P88" s="2517"/>
      <c r="Q88" s="2505"/>
      <c r="R88" s="2484"/>
      <c r="S88" s="2484"/>
      <c r="T88" s="2484"/>
      <c r="U88" s="2484"/>
      <c r="V88" s="2484"/>
      <c r="W88" s="2484"/>
      <c r="X88" s="2484"/>
      <c r="Y88" s="2484"/>
      <c r="Z88" s="2484"/>
      <c r="AA88" s="2484"/>
      <c r="AB88" s="2484"/>
      <c r="AC88" s="2484"/>
    </row>
    <row r="89" spans="1:29" ht="15.75" thickTop="1">
      <c r="A89" s="366"/>
      <c r="B89" s="468" t="s">
        <v>1904</v>
      </c>
      <c r="C89" s="508" t="s">
        <v>1719</v>
      </c>
      <c r="D89" s="508" t="s">
        <v>1720</v>
      </c>
      <c r="E89" s="508" t="s">
        <v>1721</v>
      </c>
      <c r="F89" s="508" t="s">
        <v>1722</v>
      </c>
      <c r="G89" s="508" t="s">
        <v>1723</v>
      </c>
      <c r="H89" s="469"/>
      <c r="I89" s="469"/>
      <c r="J89" s="469"/>
      <c r="K89" s="470"/>
      <c r="L89" s="471"/>
      <c r="M89" s="472"/>
      <c r="N89" s="2518"/>
      <c r="O89" s="2518"/>
      <c r="P89" s="2517"/>
      <c r="Q89" s="2505"/>
      <c r="R89" s="2484"/>
      <c r="S89" s="2484"/>
      <c r="T89" s="2484"/>
      <c r="U89" s="2484"/>
      <c r="V89" s="2484"/>
      <c r="W89" s="2484"/>
      <c r="X89" s="2484"/>
      <c r="Y89" s="2484"/>
      <c r="Z89" s="2484"/>
      <c r="AA89" s="2484"/>
      <c r="AB89" s="2484"/>
      <c r="AC89" s="2484"/>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9"/>
      <c r="O90" s="2519"/>
      <c r="P90" s="2517"/>
      <c r="Q90" s="2505"/>
      <c r="R90" s="2484"/>
      <c r="S90" s="2484"/>
      <c r="T90" s="2484"/>
      <c r="U90" s="2484"/>
      <c r="V90" s="2484"/>
      <c r="W90" s="2484"/>
      <c r="X90" s="2484"/>
      <c r="Y90" s="2484"/>
      <c r="Z90" s="2484"/>
      <c r="AA90" s="2484"/>
      <c r="AB90" s="2484"/>
      <c r="AC90" s="2484"/>
    </row>
    <row r="91" spans="1:29" ht="15.75" thickTop="1">
      <c r="A91" s="366"/>
      <c r="B91" s="468" t="s">
        <v>1819</v>
      </c>
      <c r="C91" s="508" t="s">
        <v>1719</v>
      </c>
      <c r="D91" s="508" t="s">
        <v>1720</v>
      </c>
      <c r="E91" s="508" t="s">
        <v>1721</v>
      </c>
      <c r="F91" s="508" t="s">
        <v>1722</v>
      </c>
      <c r="G91" s="508" t="s">
        <v>1723</v>
      </c>
      <c r="H91" s="469"/>
      <c r="I91" s="469"/>
      <c r="J91" s="469"/>
      <c r="K91" s="470"/>
      <c r="L91" s="471"/>
      <c r="M91" s="472"/>
      <c r="N91" s="2518"/>
      <c r="O91" s="2518"/>
      <c r="P91" s="2517"/>
      <c r="Q91" s="2505"/>
      <c r="R91" s="2484"/>
      <c r="S91" s="2484"/>
      <c r="T91" s="2484"/>
      <c r="U91" s="2484"/>
      <c r="V91" s="2484"/>
      <c r="W91" s="2484"/>
      <c r="X91" s="2484"/>
      <c r="Y91" s="2484"/>
      <c r="Z91" s="2484"/>
      <c r="AA91" s="2484"/>
      <c r="AB91" s="2484"/>
      <c r="AC91" s="2484"/>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9"/>
      <c r="O92" s="2519"/>
      <c r="P92" s="2517"/>
      <c r="Q92" s="2505"/>
      <c r="R92" s="2484"/>
      <c r="S92" s="2484"/>
      <c r="T92" s="2484"/>
      <c r="U92" s="2484"/>
      <c r="V92" s="2484"/>
      <c r="W92" s="2484"/>
      <c r="X92" s="2484"/>
      <c r="Y92" s="2484"/>
      <c r="Z92" s="2484"/>
      <c r="AA92" s="2484"/>
      <c r="AB92" s="2484"/>
      <c r="AC92" s="2484"/>
    </row>
    <row r="93" spans="1:29" ht="15.75" thickTop="1">
      <c r="A93" s="366"/>
      <c r="B93" s="468" t="s">
        <v>1724</v>
      </c>
      <c r="C93" s="508" t="s">
        <v>1719</v>
      </c>
      <c r="D93" s="508" t="s">
        <v>1720</v>
      </c>
      <c r="E93" s="508" t="s">
        <v>1721</v>
      </c>
      <c r="F93" s="508" t="s">
        <v>1722</v>
      </c>
      <c r="G93" s="508" t="s">
        <v>1723</v>
      </c>
      <c r="H93" s="469"/>
      <c r="I93" s="469"/>
      <c r="J93" s="469"/>
      <c r="K93" s="470"/>
      <c r="L93" s="471"/>
      <c r="M93" s="472"/>
      <c r="N93" s="2518"/>
      <c r="O93" s="2518"/>
      <c r="P93" s="2517"/>
      <c r="Q93" s="2505"/>
      <c r="R93" s="2484"/>
      <c r="S93" s="2484"/>
      <c r="T93" s="2484"/>
      <c r="U93" s="2484"/>
      <c r="V93" s="2484"/>
      <c r="W93" s="2484"/>
      <c r="X93" s="2484"/>
      <c r="Y93" s="2484"/>
      <c r="Z93" s="2484"/>
      <c r="AA93" s="2484"/>
      <c r="AB93" s="2484"/>
      <c r="AC93" s="2484"/>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9"/>
      <c r="O94" s="2519"/>
      <c r="P94" s="2517"/>
      <c r="Q94" s="2505"/>
      <c r="R94" s="2484"/>
      <c r="S94" s="2484"/>
      <c r="T94" s="2484"/>
      <c r="U94" s="2484"/>
      <c r="V94" s="2484"/>
      <c r="W94" s="2484"/>
      <c r="X94" s="2484"/>
      <c r="Y94" s="2484"/>
      <c r="Z94" s="2484"/>
      <c r="AA94" s="2484"/>
      <c r="AB94" s="2484"/>
      <c r="AC94" s="2484"/>
    </row>
    <row r="95" spans="1:29" s="102" customFormat="1" ht="15.75" thickTop="1">
      <c r="A95" s="369"/>
      <c r="B95" s="468" t="s">
        <v>1905</v>
      </c>
      <c r="C95" s="508" t="s">
        <v>1719</v>
      </c>
      <c r="D95" s="508" t="s">
        <v>1720</v>
      </c>
      <c r="E95" s="508" t="s">
        <v>1721</v>
      </c>
      <c r="F95" s="508" t="s">
        <v>1722</v>
      </c>
      <c r="G95" s="508" t="s">
        <v>1723</v>
      </c>
      <c r="H95" s="508"/>
      <c r="I95" s="508"/>
      <c r="J95" s="508"/>
      <c r="K95" s="508"/>
      <c r="L95" s="617"/>
      <c r="M95" s="546"/>
      <c r="N95" s="2517"/>
      <c r="O95" s="2517"/>
      <c r="P95" s="2517"/>
      <c r="Q95" s="2505"/>
      <c r="R95" s="2436"/>
      <c r="S95" s="2436"/>
      <c r="T95" s="2436"/>
      <c r="U95" s="2436"/>
      <c r="V95" s="2436"/>
      <c r="W95" s="2436"/>
      <c r="X95" s="2436"/>
      <c r="Y95" s="2436"/>
      <c r="Z95" s="2436"/>
      <c r="AA95" s="2436"/>
      <c r="AB95" s="2436"/>
      <c r="AC95" s="2436"/>
    </row>
    <row r="96" spans="1:29" s="102" customFormat="1" ht="15.75" thickBot="1">
      <c r="A96" s="369"/>
      <c r="B96" s="473"/>
      <c r="C96" s="511">
        <v>100</v>
      </c>
      <c r="D96" s="474">
        <f>C96-$K23</f>
        <v>100</v>
      </c>
      <c r="E96" s="474">
        <f>D96-$K23</f>
        <v>100</v>
      </c>
      <c r="F96" s="474">
        <f>E96-$K23</f>
        <v>100</v>
      </c>
      <c r="G96" s="474">
        <f>F96-$K23</f>
        <v>100</v>
      </c>
      <c r="H96" s="474"/>
      <c r="I96" s="474"/>
      <c r="J96" s="474"/>
      <c r="K96" s="474"/>
      <c r="L96" s="474"/>
      <c r="M96" s="475"/>
      <c r="N96" s="2519"/>
      <c r="O96" s="2519"/>
      <c r="P96" s="2517"/>
      <c r="Q96" s="2505"/>
      <c r="R96" s="2436"/>
      <c r="S96" s="2436"/>
      <c r="T96" s="2436"/>
      <c r="U96" s="2436"/>
      <c r="V96" s="2436"/>
      <c r="W96" s="2436"/>
      <c r="X96" s="2436"/>
      <c r="Y96" s="2436"/>
      <c r="Z96" s="2436"/>
      <c r="AA96" s="2436"/>
      <c r="AB96" s="2436"/>
      <c r="AC96" s="2436"/>
    </row>
    <row r="97" spans="1:29" s="102" customFormat="1" ht="27.75" thickTop="1">
      <c r="A97" s="369"/>
      <c r="B97" s="468" t="s">
        <v>1906</v>
      </c>
      <c r="C97" s="503" t="s">
        <v>1719</v>
      </c>
      <c r="D97" s="503" t="s">
        <v>1720</v>
      </c>
      <c r="E97" s="503" t="s">
        <v>1721</v>
      </c>
      <c r="F97" s="503" t="s">
        <v>1722</v>
      </c>
      <c r="G97" s="503" t="s">
        <v>1723</v>
      </c>
      <c r="H97" s="508"/>
      <c r="I97" s="508"/>
      <c r="J97" s="508"/>
      <c r="K97" s="508"/>
      <c r="L97" s="508"/>
      <c r="M97" s="546"/>
      <c r="N97" s="2517"/>
      <c r="O97" s="2517"/>
      <c r="P97" s="2517"/>
      <c r="Q97" s="2505"/>
      <c r="R97" s="2436"/>
      <c r="S97" s="2436"/>
      <c r="T97" s="2436"/>
      <c r="U97" s="2436"/>
      <c r="V97" s="2436"/>
      <c r="W97" s="2436"/>
      <c r="X97" s="2436"/>
      <c r="Y97" s="2436"/>
      <c r="Z97" s="2436"/>
      <c r="AA97" s="2436"/>
      <c r="AB97" s="2436"/>
      <c r="AC97" s="2436"/>
    </row>
    <row r="98" spans="1:29" s="102" customFormat="1" ht="15.75" thickBot="1">
      <c r="A98" s="369"/>
      <c r="B98" s="473"/>
      <c r="C98" s="474">
        <v>100</v>
      </c>
      <c r="D98" s="474">
        <f>C98-$K25</f>
        <v>100</v>
      </c>
      <c r="E98" s="474">
        <f>D98-$K25</f>
        <v>100</v>
      </c>
      <c r="F98" s="474">
        <f>E98-$K25</f>
        <v>100</v>
      </c>
      <c r="G98" s="474">
        <f>F98-$K25</f>
        <v>100</v>
      </c>
      <c r="H98" s="474"/>
      <c r="I98" s="474"/>
      <c r="J98" s="474"/>
      <c r="K98" s="474"/>
      <c r="L98" s="474"/>
      <c r="M98" s="475"/>
      <c r="N98" s="2519"/>
      <c r="O98" s="2519"/>
      <c r="P98" s="2517"/>
      <c r="Q98" s="2505"/>
      <c r="R98" s="2436"/>
      <c r="S98" s="2436"/>
      <c r="T98" s="2436"/>
      <c r="U98" s="2436"/>
      <c r="V98" s="2436"/>
      <c r="W98" s="2436"/>
      <c r="X98" s="2436"/>
      <c r="Y98" s="2436"/>
      <c r="Z98" s="2436"/>
      <c r="AA98" s="2436"/>
      <c r="AB98" s="2436"/>
      <c r="AC98" s="2436"/>
    </row>
    <row r="99" spans="1:29" s="407" customFormat="1" ht="15.75" thickTop="1">
      <c r="A99" s="483"/>
      <c r="B99" s="468" t="s">
        <v>1776</v>
      </c>
      <c r="C99" s="503" t="s">
        <v>1719</v>
      </c>
      <c r="D99" s="503" t="s">
        <v>1720</v>
      </c>
      <c r="E99" s="503" t="s">
        <v>1721</v>
      </c>
      <c r="F99" s="503" t="s">
        <v>1722</v>
      </c>
      <c r="G99" s="503" t="s">
        <v>1723</v>
      </c>
      <c r="H99" s="526"/>
      <c r="I99" s="526"/>
      <c r="J99" s="526"/>
      <c r="K99" s="526"/>
      <c r="L99" s="527"/>
      <c r="M99" s="528"/>
      <c r="N99" s="2520"/>
      <c r="O99" s="2520"/>
      <c r="P99" s="2520"/>
      <c r="Q99" s="2512"/>
      <c r="R99" s="2490"/>
      <c r="S99" s="2490"/>
      <c r="T99" s="2490"/>
      <c r="U99" s="2490"/>
      <c r="V99" s="2490"/>
      <c r="W99" s="2490"/>
      <c r="X99" s="2490"/>
      <c r="Y99" s="2490"/>
      <c r="Z99" s="2490"/>
      <c r="AA99" s="2490"/>
      <c r="AB99" s="2490"/>
      <c r="AC99" s="2490"/>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20"/>
      <c r="O100" s="2520"/>
      <c r="P100" s="2520"/>
      <c r="Q100" s="2512"/>
      <c r="R100" s="2490"/>
      <c r="S100" s="2490"/>
      <c r="T100" s="2490"/>
      <c r="U100" s="2490"/>
      <c r="V100" s="2490"/>
      <c r="W100" s="2490"/>
      <c r="X100" s="2490"/>
      <c r="Y100" s="2490"/>
      <c r="Z100" s="2490"/>
      <c r="AA100" s="2490"/>
      <c r="AB100" s="2490"/>
      <c r="AC100" s="2490"/>
    </row>
    <row r="101" spans="1:29" s="407" customFormat="1" ht="15.75" thickTop="1">
      <c r="A101" s="483"/>
      <c r="B101" s="476" t="s">
        <v>1777</v>
      </c>
      <c r="C101" s="580" t="s">
        <v>1797</v>
      </c>
      <c r="D101" s="580" t="s">
        <v>1798</v>
      </c>
      <c r="E101" s="580" t="s">
        <v>1799</v>
      </c>
      <c r="F101" s="580" t="s">
        <v>1800</v>
      </c>
      <c r="G101" s="580" t="s">
        <v>1801</v>
      </c>
      <c r="H101" s="526"/>
      <c r="I101" s="526"/>
      <c r="J101" s="526"/>
      <c r="K101" s="526"/>
      <c r="L101" s="526"/>
      <c r="M101" s="1064"/>
      <c r="N101" s="2520"/>
      <c r="O101" s="2520"/>
      <c r="P101" s="2520"/>
      <c r="Q101" s="2512"/>
      <c r="R101" s="2490"/>
      <c r="S101" s="2490"/>
      <c r="T101" s="2490"/>
      <c r="U101" s="2490"/>
      <c r="V101" s="2490"/>
      <c r="W101" s="2490"/>
      <c r="X101" s="2490"/>
      <c r="Y101" s="2490"/>
      <c r="Z101" s="2490"/>
      <c r="AA101" s="2490"/>
      <c r="AB101" s="2490"/>
      <c r="AC101" s="2490"/>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20"/>
      <c r="O102" s="2520"/>
      <c r="P102" s="2520"/>
      <c r="Q102" s="2512"/>
      <c r="R102" s="2490"/>
      <c r="S102" s="2490"/>
      <c r="T102" s="2490"/>
      <c r="U102" s="2490"/>
      <c r="V102" s="2490"/>
      <c r="W102" s="2490"/>
      <c r="X102" s="2490"/>
      <c r="Y102" s="2490"/>
      <c r="Z102" s="2490"/>
      <c r="AA102" s="2490"/>
      <c r="AB102" s="2490"/>
      <c r="AC102" s="2490"/>
    </row>
    <row r="103" spans="1:29" ht="15.75" thickTop="1">
      <c r="A103" s="366"/>
      <c r="B103" s="468" t="str">
        <f>B31</f>
        <v>临街状况</v>
      </c>
      <c r="C103" s="469" t="s">
        <v>1907</v>
      </c>
      <c r="D103" s="469" t="s">
        <v>1908</v>
      </c>
      <c r="E103" s="469" t="s">
        <v>1909</v>
      </c>
      <c r="F103" s="469" t="s">
        <v>1910</v>
      </c>
      <c r="G103" s="469"/>
      <c r="H103" s="469"/>
      <c r="I103" s="469"/>
      <c r="J103" s="469"/>
      <c r="K103" s="470"/>
      <c r="L103" s="471"/>
      <c r="M103" s="472"/>
      <c r="N103" s="2518"/>
      <c r="O103" s="2518"/>
      <c r="P103" s="2517"/>
      <c r="Q103" s="2505"/>
      <c r="R103" s="2484"/>
      <c r="S103" s="2484"/>
      <c r="T103" s="2484"/>
      <c r="U103" s="2484"/>
      <c r="V103" s="2484"/>
      <c r="W103" s="2484"/>
      <c r="X103" s="2484"/>
      <c r="Y103" s="2484"/>
      <c r="Z103" s="2484"/>
      <c r="AA103" s="2484"/>
      <c r="AB103" s="2484"/>
      <c r="AC103" s="2484"/>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9"/>
      <c r="O104" s="2519"/>
      <c r="P104" s="2517"/>
      <c r="Q104" s="2505"/>
      <c r="R104" s="2484"/>
      <c r="S104" s="2484"/>
      <c r="T104" s="2484"/>
      <c r="U104" s="2484"/>
      <c r="V104" s="2484"/>
      <c r="W104" s="2484"/>
      <c r="X104" s="2484"/>
      <c r="Y104" s="2484"/>
      <c r="Z104" s="2484"/>
      <c r="AA104" s="2484"/>
      <c r="AB104" s="2484"/>
      <c r="AC104" s="2484"/>
    </row>
    <row r="105" spans="1:29" ht="27.75" thickTop="1">
      <c r="A105" s="366"/>
      <c r="B105" s="468" t="s">
        <v>1813</v>
      </c>
      <c r="C105" s="484"/>
      <c r="D105" s="484"/>
      <c r="E105" s="484"/>
      <c r="F105" s="484"/>
      <c r="G105" s="484"/>
      <c r="H105" s="512"/>
      <c r="I105" s="512"/>
      <c r="J105" s="512"/>
      <c r="K105" s="513"/>
      <c r="L105" s="514"/>
      <c r="M105" s="515"/>
      <c r="N105" s="2518"/>
      <c r="O105" s="2518"/>
      <c r="P105" s="2517"/>
      <c r="Q105" s="2505"/>
      <c r="R105" s="2484"/>
      <c r="S105" s="2484"/>
      <c r="T105" s="2484"/>
      <c r="U105" s="2484"/>
      <c r="V105" s="2484"/>
      <c r="W105" s="2484"/>
      <c r="X105" s="2484"/>
      <c r="Y105" s="2484"/>
      <c r="Z105" s="2484"/>
      <c r="AA105" s="2484"/>
      <c r="AB105" s="2484"/>
      <c r="AC105" s="2484"/>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9"/>
      <c r="O106" s="2519"/>
      <c r="P106" s="2517"/>
      <c r="Q106" s="2505"/>
      <c r="R106" s="2484"/>
      <c r="S106" s="2484"/>
      <c r="T106" s="2484"/>
      <c r="U106" s="2484"/>
      <c r="V106" s="2484"/>
      <c r="W106" s="2484"/>
      <c r="X106" s="2484"/>
      <c r="Y106" s="2484"/>
      <c r="Z106" s="2484"/>
      <c r="AA106" s="2484"/>
      <c r="AB106" s="2484"/>
      <c r="AC106" s="2484"/>
    </row>
    <row r="107" spans="1:29" ht="15.75" thickTop="1">
      <c r="A107" s="366"/>
      <c r="B107" s="468" t="s">
        <v>1871</v>
      </c>
      <c r="C107" s="512"/>
      <c r="D107" s="512"/>
      <c r="E107" s="512"/>
      <c r="F107" s="512"/>
      <c r="G107" s="512"/>
      <c r="H107" s="512"/>
      <c r="I107" s="512"/>
      <c r="J107" s="512"/>
      <c r="K107" s="513"/>
      <c r="L107" s="514"/>
      <c r="M107" s="515"/>
      <c r="N107" s="2518"/>
      <c r="O107" s="2518"/>
      <c r="P107" s="2517"/>
      <c r="Q107" s="2505"/>
      <c r="R107" s="2484"/>
      <c r="S107" s="2484"/>
      <c r="T107" s="2484"/>
      <c r="U107" s="2484"/>
      <c r="V107" s="2484"/>
      <c r="W107" s="2484"/>
      <c r="X107" s="2484"/>
      <c r="Y107" s="2484"/>
      <c r="Z107" s="2484"/>
      <c r="AA107" s="2484"/>
      <c r="AB107" s="2484"/>
      <c r="AC107" s="2484"/>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9"/>
      <c r="O108" s="2519"/>
      <c r="P108" s="2517"/>
      <c r="Q108" s="2505"/>
      <c r="R108" s="2484"/>
      <c r="S108" s="2484"/>
      <c r="T108" s="2484"/>
      <c r="U108" s="2484"/>
      <c r="V108" s="2484"/>
      <c r="W108" s="2484"/>
      <c r="X108" s="2484"/>
      <c r="Y108" s="2484"/>
      <c r="Z108" s="2484"/>
      <c r="AA108" s="2484"/>
      <c r="AB108" s="2484"/>
      <c r="AC108" s="2484"/>
    </row>
    <row r="109" spans="1:29" ht="15.75" thickTop="1">
      <c r="A109" s="366"/>
      <c r="B109" s="476">
        <f>B35</f>
        <v>111</v>
      </c>
      <c r="C109" s="484"/>
      <c r="D109" s="484"/>
      <c r="E109" s="484"/>
      <c r="F109" s="484"/>
      <c r="G109" s="516"/>
      <c r="H109" s="516"/>
      <c r="I109" s="516"/>
      <c r="J109" s="516"/>
      <c r="K109" s="517"/>
      <c r="L109" s="518"/>
      <c r="M109" s="519"/>
      <c r="N109" s="2518"/>
      <c r="O109" s="2518"/>
      <c r="P109" s="2517"/>
      <c r="Q109" s="2505"/>
      <c r="R109" s="2484"/>
      <c r="S109" s="2484"/>
      <c r="T109" s="2484"/>
      <c r="U109" s="2484"/>
      <c r="V109" s="2484"/>
      <c r="W109" s="2484"/>
      <c r="X109" s="2484"/>
      <c r="Y109" s="2484"/>
      <c r="Z109" s="2484"/>
      <c r="AA109" s="2484"/>
      <c r="AB109" s="2484"/>
      <c r="AC109" s="2484"/>
    </row>
    <row r="110" spans="1:29" ht="15.75" thickBot="1">
      <c r="A110" s="366"/>
      <c r="B110" s="499"/>
      <c r="C110" s="490"/>
      <c r="D110" s="490"/>
      <c r="E110" s="490"/>
      <c r="F110" s="490"/>
      <c r="G110" s="520"/>
      <c r="H110" s="520"/>
      <c r="I110" s="520"/>
      <c r="J110" s="520"/>
      <c r="K110" s="520"/>
      <c r="L110" s="520"/>
      <c r="M110" s="521"/>
      <c r="N110" s="2519"/>
      <c r="O110" s="2519"/>
      <c r="P110" s="2517"/>
      <c r="Q110" s="2505"/>
      <c r="R110" s="2484"/>
      <c r="S110" s="2484"/>
      <c r="T110" s="2484"/>
      <c r="U110" s="2484"/>
      <c r="V110" s="2484"/>
      <c r="W110" s="2484"/>
      <c r="X110" s="2484"/>
      <c r="Y110" s="2484"/>
      <c r="Z110" s="2484"/>
      <c r="AA110" s="2484"/>
      <c r="AB110" s="2484"/>
      <c r="AC110" s="2484"/>
    </row>
    <row r="111" spans="1:29" ht="15" thickTop="1">
      <c r="A111" s="594"/>
      <c r="B111" s="468">
        <f>B36</f>
        <v>111</v>
      </c>
      <c r="C111" s="31"/>
      <c r="D111" s="31"/>
      <c r="E111" s="31"/>
      <c r="F111" s="31"/>
      <c r="G111" s="512"/>
      <c r="H111" s="512"/>
      <c r="I111" s="512"/>
      <c r="J111" s="512"/>
      <c r="K111" s="513"/>
      <c r="L111" s="514"/>
      <c r="M111" s="515"/>
      <c r="N111" s="2518"/>
      <c r="O111" s="2518"/>
      <c r="P111" s="2517"/>
      <c r="Q111" s="2505"/>
      <c r="R111" s="2484"/>
      <c r="S111" s="2484"/>
      <c r="T111" s="2484"/>
      <c r="U111" s="2484"/>
      <c r="V111" s="2484"/>
      <c r="W111" s="2484"/>
      <c r="X111" s="2484"/>
      <c r="Y111" s="2484"/>
      <c r="Z111" s="2484"/>
      <c r="AA111" s="2484"/>
      <c r="AB111" s="2484"/>
      <c r="AC111" s="2484"/>
    </row>
    <row r="112" spans="1:29" ht="15.75" thickBot="1">
      <c r="A112" s="366"/>
      <c r="B112" s="473"/>
      <c r="C112" s="500"/>
      <c r="D112" s="500"/>
      <c r="E112" s="500"/>
      <c r="F112" s="500"/>
      <c r="G112" s="466"/>
      <c r="H112" s="466"/>
      <c r="I112" s="466"/>
      <c r="J112" s="466"/>
      <c r="K112" s="466"/>
      <c r="L112" s="466"/>
      <c r="M112" s="467"/>
      <c r="N112" s="2519"/>
      <c r="O112" s="2519"/>
      <c r="P112" s="2517"/>
      <c r="Q112" s="2505"/>
      <c r="R112" s="2484"/>
      <c r="S112" s="2484"/>
      <c r="T112" s="2484"/>
      <c r="U112" s="2484"/>
      <c r="V112" s="2484"/>
      <c r="W112" s="2484"/>
      <c r="X112" s="2484"/>
      <c r="Y112" s="2484"/>
      <c r="Z112" s="2484"/>
      <c r="AA112" s="2484"/>
      <c r="AB112" s="2484"/>
      <c r="AC112" s="2484"/>
    </row>
    <row r="113" spans="1:29" s="407" customFormat="1" ht="15" thickTop="1">
      <c r="A113" s="405"/>
      <c r="B113" s="522">
        <f>B37</f>
        <v>111</v>
      </c>
      <c r="C113" s="6"/>
      <c r="D113" s="6"/>
      <c r="E113" s="6"/>
      <c r="F113" s="6"/>
      <c r="G113" s="6"/>
      <c r="H113" s="6"/>
      <c r="I113" s="6"/>
      <c r="J113" s="523"/>
      <c r="K113" s="523"/>
      <c r="L113" s="524"/>
      <c r="M113" s="525"/>
      <c r="N113" s="2520"/>
      <c r="O113" s="2520"/>
      <c r="P113" s="2520"/>
      <c r="Q113" s="2512"/>
      <c r="R113" s="2490"/>
      <c r="S113" s="2490"/>
      <c r="T113" s="2490"/>
      <c r="U113" s="2490"/>
      <c r="V113" s="2490"/>
      <c r="W113" s="2490"/>
      <c r="X113" s="2490"/>
      <c r="Y113" s="2490"/>
      <c r="Z113" s="2490"/>
      <c r="AA113" s="2490"/>
      <c r="AB113" s="2490"/>
      <c r="AC113" s="2490"/>
    </row>
    <row r="114" spans="1:29" s="407" customFormat="1" ht="15.75" thickBot="1">
      <c r="A114" s="483"/>
      <c r="B114" s="476"/>
      <c r="C114" s="445"/>
      <c r="D114" s="596"/>
      <c r="E114" s="596"/>
      <c r="F114" s="596"/>
      <c r="G114" s="596"/>
      <c r="H114" s="596"/>
      <c r="I114" s="596"/>
      <c r="J114" s="596"/>
      <c r="K114" s="596"/>
      <c r="L114" s="596"/>
      <c r="M114" s="618"/>
      <c r="N114" s="2519"/>
      <c r="O114" s="2519"/>
      <c r="P114" s="2520"/>
      <c r="Q114" s="2512"/>
      <c r="R114" s="2490"/>
      <c r="S114" s="2490"/>
      <c r="T114" s="2490"/>
      <c r="U114" s="2490"/>
      <c r="V114" s="2490"/>
      <c r="W114" s="2490"/>
      <c r="X114" s="2490"/>
      <c r="Y114" s="2490"/>
      <c r="Z114" s="2490"/>
      <c r="AA114" s="2490"/>
      <c r="AB114" s="2490"/>
      <c r="AC114" s="2490"/>
    </row>
    <row r="115" spans="1:29">
      <c r="A115" s="378" t="s">
        <v>1692</v>
      </c>
      <c r="B115" s="459" t="s">
        <v>1911</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8"/>
      <c r="O115" s="2518"/>
      <c r="P115" s="2517"/>
      <c r="Q115" s="2505"/>
      <c r="R115" s="2484"/>
      <c r="S115" s="2484"/>
      <c r="T115" s="2484"/>
      <c r="U115" s="2484"/>
      <c r="V115" s="2484"/>
      <c r="W115" s="2484"/>
      <c r="X115" s="2484"/>
      <c r="Y115" s="2484"/>
      <c r="Z115" s="2484"/>
      <c r="AA115" s="2484"/>
      <c r="AB115" s="2484"/>
      <c r="AC115" s="2484"/>
    </row>
    <row r="116" spans="1:29" ht="15">
      <c r="A116" s="366"/>
      <c r="B116" s="476"/>
      <c r="C116" s="6"/>
      <c r="D116" s="6"/>
      <c r="E116" s="6"/>
      <c r="F116" s="6"/>
      <c r="G116" s="6"/>
      <c r="H116" s="6"/>
      <c r="I116" s="6"/>
      <c r="J116" s="523"/>
      <c r="K116" s="523"/>
      <c r="L116" s="524"/>
      <c r="M116" s="525"/>
      <c r="N116" s="2518"/>
      <c r="O116" s="2518"/>
      <c r="P116" s="2517"/>
      <c r="Q116" s="2505"/>
      <c r="R116" s="2484"/>
      <c r="S116" s="2484"/>
      <c r="T116" s="2484"/>
      <c r="U116" s="2484"/>
      <c r="V116" s="2484"/>
      <c r="W116" s="2484"/>
      <c r="X116" s="2484"/>
      <c r="Y116" s="2484"/>
      <c r="Z116" s="2484"/>
      <c r="AA116" s="2484"/>
      <c r="AB116" s="2484"/>
      <c r="AC116" s="2484"/>
    </row>
    <row r="117" spans="1:29" ht="15.75" thickBot="1">
      <c r="A117" s="366"/>
      <c r="B117" s="473"/>
      <c r="C117" s="500"/>
      <c r="D117" s="520"/>
      <c r="E117" s="520"/>
      <c r="F117" s="520"/>
      <c r="G117" s="520"/>
      <c r="H117" s="520"/>
      <c r="I117" s="520"/>
      <c r="J117" s="520"/>
      <c r="K117" s="520"/>
      <c r="L117" s="520"/>
      <c r="M117" s="521"/>
      <c r="N117" s="2519"/>
      <c r="O117" s="2519"/>
      <c r="P117" s="2517"/>
      <c r="Q117" s="2505"/>
      <c r="R117" s="2484"/>
      <c r="S117" s="2484"/>
      <c r="T117" s="2484"/>
      <c r="U117" s="2484"/>
      <c r="V117" s="2484"/>
      <c r="W117" s="2484"/>
      <c r="X117" s="2484"/>
      <c r="Y117" s="2484"/>
      <c r="Z117" s="2484"/>
      <c r="AA117" s="2484"/>
      <c r="AB117" s="2484"/>
      <c r="AC117" s="2484"/>
    </row>
    <row r="118" spans="1:29" ht="15" thickTop="1">
      <c r="A118" s="408"/>
      <c r="B118" s="468" t="s">
        <v>1912</v>
      </c>
      <c r="C118" s="512"/>
      <c r="D118" s="512"/>
      <c r="E118" s="512"/>
      <c r="F118" s="512"/>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8"/>
      <c r="B120" s="468" t="s">
        <v>1913</v>
      </c>
      <c r="C120" s="484"/>
      <c r="D120" s="484"/>
      <c r="E120" s="484"/>
      <c r="F120" s="512"/>
      <c r="G120" s="512"/>
      <c r="H120" s="512"/>
      <c r="I120" s="512"/>
      <c r="J120" s="512"/>
      <c r="K120" s="513"/>
      <c r="L120" s="514"/>
      <c r="M120" s="515"/>
      <c r="N120" s="2518"/>
      <c r="O120" s="2518"/>
      <c r="P120" s="2517"/>
      <c r="Q120" s="2505"/>
      <c r="R120" s="2484"/>
      <c r="S120" s="2484"/>
      <c r="T120" s="2484"/>
      <c r="U120" s="2484"/>
      <c r="V120" s="2484"/>
      <c r="W120" s="2484"/>
      <c r="X120" s="2484"/>
      <c r="Y120" s="2484"/>
      <c r="Z120" s="2484"/>
      <c r="AA120" s="2484"/>
      <c r="AB120" s="2484"/>
      <c r="AC120" s="2484"/>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9"/>
      <c r="O121" s="2519"/>
      <c r="P121" s="2517"/>
      <c r="Q121" s="2505"/>
      <c r="R121" s="2484"/>
      <c r="S121" s="2484"/>
      <c r="T121" s="2484"/>
      <c r="U121" s="2484"/>
      <c r="V121" s="2484"/>
      <c r="W121" s="2484"/>
      <c r="X121" s="2484"/>
      <c r="Y121" s="2484"/>
      <c r="Z121" s="2484"/>
      <c r="AA121" s="2484"/>
      <c r="AB121" s="2484"/>
      <c r="AC121" s="2484"/>
    </row>
    <row r="122" spans="1:29" s="407" customFormat="1" ht="15" thickTop="1">
      <c r="A122" s="405"/>
      <c r="B122" s="468" t="s">
        <v>1914</v>
      </c>
      <c r="C122" s="484"/>
      <c r="D122" s="484"/>
      <c r="E122" s="484"/>
      <c r="F122" s="484"/>
      <c r="G122" s="484"/>
      <c r="H122" s="512"/>
      <c r="I122" s="512"/>
      <c r="J122" s="512"/>
      <c r="K122" s="513"/>
      <c r="L122" s="514"/>
      <c r="M122" s="515"/>
      <c r="N122" s="2520"/>
      <c r="O122" s="2520"/>
      <c r="P122" s="2520"/>
      <c r="Q122" s="2512"/>
      <c r="R122" s="2490"/>
      <c r="S122" s="2490"/>
      <c r="T122" s="2490"/>
      <c r="U122" s="2490"/>
      <c r="V122" s="2490"/>
      <c r="W122" s="2490"/>
      <c r="X122" s="2490"/>
      <c r="Y122" s="2490"/>
      <c r="Z122" s="2490"/>
      <c r="AA122" s="2490"/>
      <c r="AB122" s="2490"/>
      <c r="AC122" s="2490"/>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8"/>
      <c r="B124" s="468" t="s">
        <v>1915</v>
      </c>
      <c r="C124" s="484"/>
      <c r="D124" s="484"/>
      <c r="E124" s="512"/>
      <c r="F124" s="512"/>
      <c r="G124" s="512"/>
      <c r="H124" s="512"/>
      <c r="I124" s="512"/>
      <c r="J124" s="512"/>
      <c r="K124" s="513"/>
      <c r="L124" s="514"/>
      <c r="M124" s="515"/>
      <c r="N124" s="2518"/>
      <c r="O124" s="2518"/>
      <c r="P124" s="2517"/>
      <c r="Q124" s="2505"/>
      <c r="R124" s="2484"/>
      <c r="S124" s="2484"/>
      <c r="T124" s="2484"/>
      <c r="U124" s="2484"/>
      <c r="V124" s="2484"/>
      <c r="W124" s="2484"/>
      <c r="X124" s="2484"/>
      <c r="Y124" s="2484"/>
      <c r="Z124" s="2484"/>
      <c r="AA124" s="2484"/>
      <c r="AB124" s="2484"/>
      <c r="AC124" s="2484"/>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9"/>
      <c r="O125" s="2519"/>
      <c r="P125" s="2517"/>
      <c r="Q125" s="2505"/>
      <c r="R125" s="2484"/>
      <c r="S125" s="2484"/>
      <c r="T125" s="2484"/>
      <c r="U125" s="2484"/>
      <c r="V125" s="2484"/>
      <c r="W125" s="2484"/>
      <c r="X125" s="2484"/>
      <c r="Y125" s="2484"/>
      <c r="Z125" s="2484"/>
      <c r="AA125" s="2484"/>
      <c r="AB125" s="2484"/>
      <c r="AC125" s="2484"/>
    </row>
    <row r="126" spans="1:29" ht="15" thickTop="1">
      <c r="A126" s="408"/>
      <c r="B126" s="468">
        <f>B43</f>
        <v>111</v>
      </c>
      <c r="C126" s="484"/>
      <c r="D126" s="484"/>
      <c r="E126" s="484"/>
      <c r="F126" s="484"/>
      <c r="G126" s="484"/>
      <c r="H126" s="512"/>
      <c r="I126" s="512"/>
      <c r="J126" s="512"/>
      <c r="K126" s="513"/>
      <c r="L126" s="514"/>
      <c r="M126" s="515"/>
      <c r="N126" s="2518"/>
      <c r="O126" s="2518"/>
      <c r="P126" s="2517"/>
      <c r="Q126" s="2505"/>
      <c r="R126" s="2484"/>
      <c r="S126" s="2484"/>
      <c r="T126" s="2484"/>
      <c r="U126" s="2484"/>
      <c r="V126" s="2484"/>
      <c r="W126" s="2484"/>
      <c r="X126" s="2484"/>
      <c r="Y126" s="2484"/>
      <c r="Z126" s="2484"/>
      <c r="AA126" s="2484"/>
      <c r="AB126" s="2484"/>
      <c r="AC126" s="2484"/>
    </row>
    <row r="127" spans="1:29" ht="15.75" thickBot="1">
      <c r="A127" s="366"/>
      <c r="B127" s="473"/>
      <c r="C127" s="490"/>
      <c r="D127" s="490"/>
      <c r="E127" s="490"/>
      <c r="F127" s="490"/>
      <c r="G127" s="466"/>
      <c r="H127" s="466"/>
      <c r="I127" s="466"/>
      <c r="J127" s="466"/>
      <c r="K127" s="466"/>
      <c r="L127" s="466"/>
      <c r="M127" s="467"/>
      <c r="N127" s="2519"/>
      <c r="O127" s="2519"/>
      <c r="P127" s="2517"/>
      <c r="Q127" s="2505"/>
      <c r="R127" s="2484"/>
      <c r="S127" s="2484"/>
      <c r="T127" s="2484"/>
      <c r="U127" s="2484"/>
      <c r="V127" s="2484"/>
      <c r="W127" s="2484"/>
      <c r="X127" s="2484"/>
      <c r="Y127" s="2484"/>
      <c r="Z127" s="2484"/>
      <c r="AA127" s="2484"/>
      <c r="AB127" s="2484"/>
      <c r="AC127" s="2484"/>
    </row>
    <row r="128" spans="1:29" ht="15" thickTop="1">
      <c r="A128" s="408"/>
      <c r="B128" s="468">
        <f>B44</f>
        <v>111</v>
      </c>
      <c r="C128" s="31"/>
      <c r="D128" s="31"/>
      <c r="E128" s="31"/>
      <c r="F128" s="31"/>
      <c r="G128" s="512"/>
      <c r="H128" s="512"/>
      <c r="I128" s="512"/>
      <c r="J128" s="512"/>
      <c r="K128" s="513"/>
      <c r="L128" s="514"/>
      <c r="M128" s="515"/>
      <c r="N128" s="2518"/>
      <c r="O128" s="2518"/>
      <c r="P128" s="2517"/>
      <c r="Q128" s="2505"/>
      <c r="R128" s="2484"/>
      <c r="S128" s="2484"/>
      <c r="T128" s="2484"/>
      <c r="U128" s="2484"/>
      <c r="V128" s="2484"/>
      <c r="W128" s="2484"/>
      <c r="X128" s="2484"/>
      <c r="Y128" s="2484"/>
      <c r="Z128" s="2484"/>
      <c r="AA128" s="2484"/>
      <c r="AB128" s="2484"/>
      <c r="AC128" s="2484"/>
    </row>
    <row r="129" spans="1:29" ht="15.75" thickBot="1">
      <c r="A129" s="366"/>
      <c r="B129" s="473"/>
      <c r="C129" s="500"/>
      <c r="D129" s="500"/>
      <c r="E129" s="500"/>
      <c r="F129" s="500"/>
      <c r="G129" s="466"/>
      <c r="H129" s="466"/>
      <c r="I129" s="466"/>
      <c r="J129" s="466"/>
      <c r="K129" s="466"/>
      <c r="L129" s="466"/>
      <c r="M129" s="467"/>
      <c r="N129" s="2519"/>
      <c r="O129" s="2519"/>
      <c r="P129" s="2517"/>
      <c r="Q129" s="2505"/>
      <c r="R129" s="2484"/>
      <c r="S129" s="2484"/>
      <c r="T129" s="2484"/>
      <c r="U129" s="2484"/>
      <c r="V129" s="2484"/>
      <c r="W129" s="2484"/>
      <c r="X129" s="2484"/>
      <c r="Y129" s="2484"/>
      <c r="Z129" s="2484"/>
      <c r="AA129" s="2484"/>
      <c r="AB129" s="2484"/>
      <c r="AC129" s="2484"/>
    </row>
    <row r="130" spans="1:29" s="407" customFormat="1" ht="15" thickTop="1">
      <c r="A130" s="405"/>
      <c r="B130" s="468">
        <f>B45</f>
        <v>111</v>
      </c>
      <c r="C130" s="31"/>
      <c r="D130" s="31"/>
      <c r="E130" s="31"/>
      <c r="F130" s="31"/>
      <c r="G130" s="485"/>
      <c r="H130" s="485"/>
      <c r="I130" s="485"/>
      <c r="J130" s="485"/>
      <c r="K130" s="485"/>
      <c r="L130" s="486"/>
      <c r="M130" s="487"/>
      <c r="N130" s="2520"/>
      <c r="O130" s="2520"/>
      <c r="P130" s="2520"/>
      <c r="Q130" s="2512"/>
      <c r="R130" s="2490"/>
      <c r="S130" s="2490"/>
      <c r="T130" s="2490"/>
      <c r="U130" s="2490"/>
      <c r="V130" s="2490"/>
      <c r="W130" s="2490"/>
      <c r="X130" s="2490"/>
      <c r="Y130" s="2490"/>
      <c r="Z130" s="2490"/>
      <c r="AA130" s="2490"/>
      <c r="AB130" s="2490"/>
      <c r="AC130" s="2490"/>
    </row>
    <row r="131" spans="1:29" s="407" customFormat="1" ht="15.75" thickBot="1">
      <c r="A131" s="498"/>
      <c r="B131" s="619"/>
      <c r="C131" s="500"/>
      <c r="D131" s="500"/>
      <c r="E131" s="500"/>
      <c r="F131" s="500"/>
      <c r="G131" s="520"/>
      <c r="H131" s="520"/>
      <c r="I131" s="520"/>
      <c r="J131" s="520"/>
      <c r="K131" s="520"/>
      <c r="L131" s="520"/>
      <c r="M131" s="521"/>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xr:uid="{00000000-0002-0000-2500-000000000000}">
      <formula1>住宅朝向</formula1>
    </dataValidation>
    <dataValidation type="list" allowBlank="1" showInputMessage="1" showErrorMessage="1" sqref="E28 C28 G28 I28" xr:uid="{00000000-0002-0000-2500-000001000000}">
      <formula1>公共配套设施</formula1>
    </dataValidation>
    <dataValidation type="list" allowBlank="1" showInputMessage="1" showErrorMessage="1" sqref="E22 C22 G22 I22" xr:uid="{00000000-0002-0000-2500-000002000000}">
      <formula1>交通便捷度</formula1>
    </dataValidation>
    <dataValidation type="list" allowBlank="1" showInputMessage="1" showErrorMessage="1" sqref="E16 G16 I16 C16" xr:uid="{00000000-0002-0000-2500-000003000000}">
      <formula1>居住社区成熟度</formula1>
    </dataValidation>
    <dataValidation type="list" allowBlank="1" showInputMessage="1" showErrorMessage="1" sqref="C26 E26 G26 I26" xr:uid="{00000000-0002-0000-2500-000004000000}">
      <formula1>环境</formula1>
    </dataValidation>
    <dataValidation type="list" allowBlank="1" showInputMessage="1" showErrorMessage="1" sqref="B46" xr:uid="{00000000-0002-0000-2500-000005000000}">
      <formula1>单价内涵</formula1>
    </dataValidation>
    <dataValidation type="list" allowBlank="1" showInputMessage="1" showErrorMessage="1" sqref="C8 E8 G8 I8" xr:uid="{00000000-0002-0000-2500-000006000000}">
      <formula1>套综交易情况</formula1>
    </dataValidation>
    <dataValidation type="list" allowBlank="1" showInputMessage="1" showErrorMessage="1" sqref="C9 E9 G9 I9" xr:uid="{00000000-0002-0000-2500-000007000000}">
      <formula1>套综用途</formula1>
    </dataValidation>
    <dataValidation type="list" allowBlank="1" showInputMessage="1" showErrorMessage="1" sqref="E18 C18 G18 I18" xr:uid="{00000000-0002-0000-2500-000008000000}">
      <formula1>商业繁华度</formula1>
    </dataValidation>
    <dataValidation type="list" allowBlank="1" showInputMessage="1" showErrorMessage="1" sqref="E20 C20 G20 I20" xr:uid="{00000000-0002-0000-2500-000009000000}">
      <formula1>办公集聚程度</formula1>
    </dataValidation>
    <dataValidation type="list" allowBlank="1" showInputMessage="1" showErrorMessage="1" sqref="C33 E33 G33 I33" xr:uid="{00000000-0002-0000-2500-00000A000000}">
      <formula1>套综道路等级</formula1>
    </dataValidation>
    <dataValidation type="list" allowBlank="1" showInputMessage="1" showErrorMessage="1" sqref="C34 E34 G34 I34" xr:uid="{00000000-0002-0000-2500-00000B000000}">
      <formula1>套综土地级别</formula1>
    </dataValidation>
    <dataValidation type="list" allowBlank="1" showInputMessage="1" showErrorMessage="1" sqref="C39 E39 G39 I39" xr:uid="{00000000-0002-0000-2500-00000C000000}">
      <formula1>套综宗地形状</formula1>
    </dataValidation>
    <dataValidation type="list" allowBlank="1" showInputMessage="1" showErrorMessage="1" sqref="C40 E40 G40 I40" xr:uid="{00000000-0002-0000-2500-00000D000000}">
      <formula1>套综临街宽度及深度</formula1>
    </dataValidation>
    <dataValidation type="list" allowBlank="1" showInputMessage="1" showErrorMessage="1" sqref="C41 E41 G41 I41" xr:uid="{00000000-0002-0000-2500-00000E000000}">
      <formula1>套综宗地内开发程度</formula1>
    </dataValidation>
    <dataValidation type="list" allowBlank="1" showInputMessage="1" showErrorMessage="1" sqref="C42 E42 G42 I42" xr:uid="{00000000-0002-0000-2500-00000F000000}">
      <formula1>套综工程地质条件</formula1>
    </dataValidation>
    <dataValidation type="list" allowBlank="1" showInputMessage="1" showErrorMessage="1" sqref="C31 E31 G31 I31" xr:uid="{00000000-0002-0000-2500-000010000000}">
      <formula1>临街状况</formula1>
    </dataValidation>
    <dataValidation type="list" allowBlank="1" showInputMessage="1" showErrorMessage="1" sqref="E24 G24 I24 C24" xr:uid="{00000000-0002-0000-2500-000011000000}">
      <formula1>区域土地利用方向</formula1>
    </dataValidation>
    <dataValidation type="list" allowBlank="1" showInputMessage="1" showErrorMessage="1" sqref="C55" xr:uid="{00000000-0002-0000-2500-000012000000}">
      <formula1>"北京市系数,其他省市系数"</formula1>
    </dataValidation>
    <dataValidation type="list" allowBlank="1" showInputMessage="1" showErrorMessage="1" sqref="G61" xr:uid="{00000000-0002-0000-2500-000013000000}">
      <formula1>"商业,办公,住宅,工业"</formula1>
    </dataValidation>
    <dataValidation type="list" allowBlank="1" showInputMessage="1" showErrorMessage="1" sqref="G62" xr:uid="{00000000-0002-0000-2500-000014000000}">
      <formula1>"住宅,工业"</formula1>
    </dataValidation>
    <dataValidation type="list" allowBlank="1" showInputMessage="1" showErrorMessage="1" sqref="C30 E30 G30 I30" xr:uid="{00000000-0002-0000-2500-000015000000}">
      <formula1>基础设施水平</formula1>
    </dataValidation>
    <dataValidation type="list" allowBlank="1" showInputMessage="1" showErrorMessage="1" sqref="A70" xr:uid="{00000000-0002-0000-2500-000016000000}">
      <formula1>"综合,商业,办公,住宅"</formula1>
    </dataValidation>
    <dataValidation type="list" allowBlank="1" showInputMessage="1" showErrorMessage="1" sqref="D47" xr:uid="{00000000-0002-0000-2500-000017000000}">
      <formula1>"简单平均,加权平均"</formula1>
    </dataValidation>
    <dataValidation type="list" allowBlank="1" showInputMessage="1" showErrorMessage="1" sqref="D57:D64" xr:uid="{00000000-0002-0000-25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6">
    <tabColor rgb="FF92D050"/>
    <pageSetUpPr fitToPage="1"/>
  </sheetPr>
  <dimension ref="A1:AE123"/>
  <sheetViews>
    <sheetView view="pageBreakPreview" zoomScale="60" zoomScaleNormal="60" workbookViewId="0">
      <selection activeCell="H43" sqref="H43"/>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1865</v>
      </c>
      <c r="B1" s="339"/>
      <c r="C1" s="340" t="s">
        <v>1916</v>
      </c>
      <c r="D1" s="650"/>
      <c r="E1" s="650"/>
      <c r="F1" s="649" t="s">
        <v>1765</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1460</v>
      </c>
      <c r="B2" s="590" t="e">
        <f>F61</f>
        <v>#DIV/0!</v>
      </c>
      <c r="C2" s="854"/>
      <c r="D2" s="854"/>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1462</v>
      </c>
      <c r="B3" s="535" t="e">
        <f>ROUND(IF(D3="",B2*10000/'数据-汇总表'!E3,B2*10000/D3),0)</f>
        <v>#DIV/0!</v>
      </c>
      <c r="C3" s="194" t="s">
        <v>1867</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5">
      <c r="A4" s="344" t="s">
        <v>1767</v>
      </c>
      <c r="B4" s="345"/>
      <c r="C4" s="3392" t="s">
        <v>1768</v>
      </c>
      <c r="D4" s="3393"/>
      <c r="E4" s="3394" t="s">
        <v>1769</v>
      </c>
      <c r="F4" s="3395"/>
      <c r="G4" s="3392" t="s">
        <v>1770</v>
      </c>
      <c r="H4" s="3393"/>
      <c r="I4" s="3392" t="s">
        <v>1771</v>
      </c>
      <c r="J4" s="3393"/>
      <c r="K4" s="536" t="s">
        <v>1772</v>
      </c>
      <c r="L4" s="2483"/>
      <c r="M4" s="2484"/>
      <c r="N4" s="2484"/>
      <c r="O4" s="2484"/>
      <c r="P4" s="3396" t="s">
        <v>1773</v>
      </c>
      <c r="Q4" s="3397"/>
      <c r="R4" s="3402" t="s">
        <v>1769</v>
      </c>
      <c r="S4" s="3403"/>
      <c r="T4" s="3402" t="s">
        <v>1770</v>
      </c>
      <c r="U4" s="3403"/>
      <c r="V4" s="3375" t="s">
        <v>1771</v>
      </c>
      <c r="W4" s="3375"/>
      <c r="X4" s="1264"/>
      <c r="Y4" s="3402" t="s">
        <v>1773</v>
      </c>
      <c r="Z4" s="3403"/>
      <c r="AA4" s="3389" t="s">
        <v>1769</v>
      </c>
      <c r="AB4" s="3390" t="s">
        <v>1770</v>
      </c>
      <c r="AC4" s="3389" t="s">
        <v>1771</v>
      </c>
    </row>
    <row r="5" spans="1:29" ht="15">
      <c r="A5" s="347"/>
      <c r="B5" s="348"/>
      <c r="C5" s="3415" t="s">
        <v>1671</v>
      </c>
      <c r="D5" s="3411"/>
      <c r="E5" s="3468" t="s">
        <v>1672</v>
      </c>
      <c r="F5" s="3419"/>
      <c r="G5" s="3415" t="s">
        <v>1673</v>
      </c>
      <c r="H5" s="3411"/>
      <c r="I5" s="3415" t="s">
        <v>1674</v>
      </c>
      <c r="J5" s="3411"/>
      <c r="K5" s="536"/>
      <c r="L5" s="2483"/>
      <c r="M5" s="2484"/>
      <c r="N5" s="2484"/>
      <c r="O5" s="2484"/>
      <c r="P5" s="3398"/>
      <c r="Q5" s="3399"/>
      <c r="R5" s="3404"/>
      <c r="S5" s="3405"/>
      <c r="T5" s="3404"/>
      <c r="U5" s="3405"/>
      <c r="V5" s="3375"/>
      <c r="W5" s="3375"/>
      <c r="X5" s="1264"/>
      <c r="Y5" s="3404"/>
      <c r="Z5" s="3405"/>
      <c r="AA5" s="3390"/>
      <c r="AB5" s="3390"/>
      <c r="AC5" s="3390"/>
    </row>
    <row r="6" spans="1:29" ht="15.75" thickBot="1">
      <c r="A6" s="349"/>
      <c r="B6" s="350"/>
      <c r="C6" s="3489" t="s">
        <v>1917</v>
      </c>
      <c r="D6" s="3490"/>
      <c r="E6" s="3491" t="s">
        <v>1917</v>
      </c>
      <c r="F6" s="3492"/>
      <c r="G6" s="3489" t="s">
        <v>1917</v>
      </c>
      <c r="H6" s="3490"/>
      <c r="I6" s="3489" t="s">
        <v>1917</v>
      </c>
      <c r="J6" s="3490"/>
      <c r="K6" s="536" t="s">
        <v>1676</v>
      </c>
      <c r="L6" s="2483"/>
      <c r="M6" s="2484"/>
      <c r="N6" s="2484"/>
      <c r="O6" s="2484"/>
      <c r="P6" s="3400"/>
      <c r="Q6" s="3401"/>
      <c r="R6" s="3404"/>
      <c r="S6" s="3405"/>
      <c r="T6" s="3406"/>
      <c r="U6" s="3407"/>
      <c r="V6" s="3375"/>
      <c r="W6" s="3375"/>
      <c r="X6" s="1264"/>
      <c r="Y6" s="3406"/>
      <c r="Z6" s="3407"/>
      <c r="AA6" s="3391"/>
      <c r="AB6" s="3391"/>
      <c r="AC6" s="3391"/>
    </row>
    <row r="7" spans="1:29" s="102" customFormat="1" ht="15.75" thickBot="1">
      <c r="A7" s="351" t="s">
        <v>1677</v>
      </c>
      <c r="B7" s="352"/>
      <c r="C7" s="353">
        <f>'数据-取费表'!B2</f>
        <v>45022</v>
      </c>
      <c r="D7" s="354">
        <v>100</v>
      </c>
      <c r="E7" s="355"/>
      <c r="F7" s="356">
        <f>SUMIF(65:65,YEAR(E7)&amp;"-"&amp;INT((MONTH(E7)+2)/3),66:66)</f>
        <v>0</v>
      </c>
      <c r="G7" s="1821"/>
      <c r="H7" s="354">
        <f>SUMIF(65:65,YEAR(G7)&amp;"-"&amp;INT((MONTH(G7)+2)/3),66:66)</f>
        <v>0</v>
      </c>
      <c r="I7" s="1821"/>
      <c r="J7" s="354">
        <f>SUMIF(65:65,YEAR(I7)&amp;"-"&amp;INT((MONTH(I7)+2)/3),66:66)</f>
        <v>0</v>
      </c>
      <c r="K7" s="38"/>
      <c r="L7" s="2485"/>
      <c r="M7" s="2436"/>
      <c r="N7" s="2436"/>
      <c r="O7" s="2436"/>
      <c r="P7" s="3412" t="s">
        <v>1678</v>
      </c>
      <c r="Q7" s="3414"/>
      <c r="R7" s="663" t="s">
        <v>14</v>
      </c>
      <c r="S7" s="664">
        <f t="shared" ref="S7:S15" si="0">F7</f>
        <v>0</v>
      </c>
      <c r="T7" s="663" t="s">
        <v>14</v>
      </c>
      <c r="U7" s="664">
        <f t="shared" ref="U7:U15" si="1">H7</f>
        <v>0</v>
      </c>
      <c r="V7" s="663" t="s">
        <v>14</v>
      </c>
      <c r="W7" s="664">
        <f t="shared" ref="W7:W15" si="2">J7</f>
        <v>0</v>
      </c>
      <c r="X7" s="665"/>
      <c r="Y7" s="3412" t="s">
        <v>1678</v>
      </c>
      <c r="Z7" s="3413"/>
      <c r="AA7" s="50" t="e">
        <f>D7/F7</f>
        <v>#DIV/0!</v>
      </c>
      <c r="AB7" s="50" t="e">
        <f>D7/H7</f>
        <v>#DIV/0!</v>
      </c>
      <c r="AC7" s="50" t="e">
        <f>D7/J7</f>
        <v>#DIV/0!</v>
      </c>
    </row>
    <row r="8" spans="1:29" s="102" customFormat="1" ht="15.75" thickBot="1">
      <c r="A8" s="351" t="s">
        <v>1679</v>
      </c>
      <c r="B8" s="352"/>
      <c r="C8" s="357" t="s">
        <v>1680</v>
      </c>
      <c r="D8" s="354">
        <v>100</v>
      </c>
      <c r="E8" s="357"/>
      <c r="F8" s="356">
        <f>SUMIF(68:68,E8,69:69)-SUMIF(68:68,C8,69:69)+100</f>
        <v>0</v>
      </c>
      <c r="G8" s="357"/>
      <c r="H8" s="354">
        <f>SUMIF(68:68,G8,69:69)-SUMIF(68:68,C8,69:69)+100</f>
        <v>0</v>
      </c>
      <c r="I8" s="357"/>
      <c r="J8" s="354">
        <f>SUMIF(68:68,I8,69:69)-SUMIF(68:68,C8,69:69)+100</f>
        <v>0</v>
      </c>
      <c r="K8" s="38"/>
      <c r="L8" s="2485"/>
      <c r="M8" s="2436"/>
      <c r="N8" s="2436"/>
      <c r="O8" s="2436"/>
      <c r="P8" s="3412" t="s">
        <v>1681</v>
      </c>
      <c r="Q8" s="3413"/>
      <c r="R8" s="663" t="s">
        <v>14</v>
      </c>
      <c r="S8" s="664">
        <f t="shared" si="0"/>
        <v>0</v>
      </c>
      <c r="T8" s="663" t="s">
        <v>14</v>
      </c>
      <c r="U8" s="664">
        <f t="shared" si="1"/>
        <v>0</v>
      </c>
      <c r="V8" s="663" t="s">
        <v>14</v>
      </c>
      <c r="W8" s="664">
        <f t="shared" si="2"/>
        <v>0</v>
      </c>
      <c r="X8" s="665"/>
      <c r="Y8" s="3412" t="s">
        <v>1681</v>
      </c>
      <c r="Z8" s="3413"/>
      <c r="AA8" s="50" t="e">
        <f t="shared" ref="AA8:AA40" si="3">D8/F8</f>
        <v>#DIV/0!</v>
      </c>
      <c r="AB8" s="50" t="e">
        <f t="shared" ref="AB8:AB40" si="4">D8/H8</f>
        <v>#DIV/0!</v>
      </c>
      <c r="AC8" s="50" t="e">
        <f t="shared" ref="AC8:AC40" si="5">D8/J8</f>
        <v>#DIV/0!</v>
      </c>
    </row>
    <row r="9" spans="1:29" s="102" customFormat="1">
      <c r="A9" s="358" t="s">
        <v>1682</v>
      </c>
      <c r="B9" s="60" t="s">
        <v>1683</v>
      </c>
      <c r="C9" s="1824"/>
      <c r="D9" s="59">
        <v>100</v>
      </c>
      <c r="E9" s="1824"/>
      <c r="F9" s="59">
        <f>SUMIF(70:70,E9,71:71)-SUMIF(70:70,C9,71:71)+100</f>
        <v>100</v>
      </c>
      <c r="G9" s="1824"/>
      <c r="H9" s="59">
        <f>SUMIF(70:70,G9,71:71)-SUMIF(70:70,C9,71:71)+100</f>
        <v>100</v>
      </c>
      <c r="I9" s="1824"/>
      <c r="J9" s="59">
        <f>SUMIF(70:70,I9,71:71)-SUMIF(70:70,C9,71:71)+100</f>
        <v>100</v>
      </c>
      <c r="K9" s="38"/>
      <c r="L9" s="2485"/>
      <c r="M9" s="2436"/>
      <c r="N9" s="2436"/>
      <c r="O9" s="2537"/>
      <c r="P9" s="3374" t="s">
        <v>1684</v>
      </c>
      <c r="Q9" s="529" t="str">
        <f t="shared" ref="Q9:Q15" si="6">B9</f>
        <v>用途</v>
      </c>
      <c r="R9" s="663" t="s">
        <v>14</v>
      </c>
      <c r="S9" s="664">
        <f t="shared" si="0"/>
        <v>100</v>
      </c>
      <c r="T9" s="663" t="s">
        <v>14</v>
      </c>
      <c r="U9" s="664">
        <f t="shared" si="1"/>
        <v>100</v>
      </c>
      <c r="V9" s="663" t="s">
        <v>14</v>
      </c>
      <c r="W9" s="664">
        <f t="shared" si="2"/>
        <v>100</v>
      </c>
      <c r="X9" s="665"/>
      <c r="Y9" s="3281" t="s">
        <v>1685</v>
      </c>
      <c r="Z9" s="50" t="str">
        <f t="shared" ref="Z9:Z15" si="7">Q9</f>
        <v>用途</v>
      </c>
      <c r="AA9" s="50">
        <f t="shared" si="3"/>
        <v>1</v>
      </c>
      <c r="AB9" s="50">
        <f t="shared" si="4"/>
        <v>1</v>
      </c>
      <c r="AC9" s="50">
        <f t="shared" si="5"/>
        <v>1</v>
      </c>
    </row>
    <row r="10" spans="1:29" s="365" customFormat="1" ht="27">
      <c r="A10" s="362"/>
      <c r="B10" s="363" t="s">
        <v>1686</v>
      </c>
      <c r="C10" s="370"/>
      <c r="D10" s="119">
        <v>100</v>
      </c>
      <c r="E10" s="370"/>
      <c r="F10" s="119">
        <f>ROUND(100/'数据-取费表'!G16,0)</f>
        <v>100</v>
      </c>
      <c r="G10" s="370"/>
      <c r="H10" s="119">
        <f>ROUND(100/'数据-取费表'!G16,0)</f>
        <v>100</v>
      </c>
      <c r="I10" s="370"/>
      <c r="J10" s="119">
        <f>ROUND(100/'数据-取费表'!G16,0)</f>
        <v>100</v>
      </c>
      <c r="K10" s="591"/>
      <c r="L10" s="2486"/>
      <c r="M10" s="2487"/>
      <c r="N10" s="2487"/>
      <c r="O10" s="2538"/>
      <c r="P10" s="3374"/>
      <c r="Q10" s="529" t="str">
        <f t="shared" si="6"/>
        <v>土地使用年限（年）</v>
      </c>
      <c r="R10" s="663" t="s">
        <v>14</v>
      </c>
      <c r="S10" s="664">
        <f t="shared" si="0"/>
        <v>100</v>
      </c>
      <c r="T10" s="663" t="s">
        <v>14</v>
      </c>
      <c r="U10" s="664">
        <f t="shared" si="1"/>
        <v>100</v>
      </c>
      <c r="V10" s="663" t="s">
        <v>14</v>
      </c>
      <c r="W10" s="664">
        <f t="shared" si="2"/>
        <v>100</v>
      </c>
      <c r="X10" s="665"/>
      <c r="Y10" s="3281"/>
      <c r="Z10" s="50" t="str">
        <f t="shared" si="7"/>
        <v>土地使用年限（年）</v>
      </c>
      <c r="AA10" s="50">
        <f t="shared" si="3"/>
        <v>1</v>
      </c>
      <c r="AB10" s="50">
        <f t="shared" si="4"/>
        <v>1</v>
      </c>
      <c r="AC10" s="50">
        <f t="shared" si="5"/>
        <v>1</v>
      </c>
    </row>
    <row r="11" spans="1:29" ht="15">
      <c r="A11" s="366"/>
      <c r="B11" s="363" t="s">
        <v>1687</v>
      </c>
      <c r="C11" s="367"/>
      <c r="D11" s="119">
        <v>100</v>
      </c>
      <c r="E11" s="367"/>
      <c r="F11" s="119" t="e">
        <f>LOOKUP(E11,75:75,76:76)-LOOKUP(C11,75:75,76:76)+100</f>
        <v>#N/A</v>
      </c>
      <c r="G11" s="368"/>
      <c r="H11" s="119" t="e">
        <f>LOOKUP(G11,75:75,76:76)-LOOKUP(C11,75:75,76:76)+100</f>
        <v>#N/A</v>
      </c>
      <c r="I11" s="367"/>
      <c r="J11" s="119" t="e">
        <f>LOOKUP(I11,75:75,76:76)-LOOKUP(C11,75:75,76:76)+100</f>
        <v>#N/A</v>
      </c>
      <c r="K11" s="592"/>
      <c r="L11" s="2488"/>
      <c r="M11" s="2484"/>
      <c r="N11" s="2484"/>
      <c r="O11" s="2539"/>
      <c r="P11" s="3374"/>
      <c r="Q11" s="529" t="str">
        <f t="shared" si="6"/>
        <v>容积率</v>
      </c>
      <c r="R11" s="663" t="s">
        <v>14</v>
      </c>
      <c r="S11" s="664" t="e">
        <f t="shared" si="0"/>
        <v>#N/A</v>
      </c>
      <c r="T11" s="663" t="s">
        <v>14</v>
      </c>
      <c r="U11" s="664" t="e">
        <f t="shared" si="1"/>
        <v>#N/A</v>
      </c>
      <c r="V11" s="663" t="s">
        <v>14</v>
      </c>
      <c r="W11" s="664" t="e">
        <f t="shared" si="2"/>
        <v>#N/A</v>
      </c>
      <c r="X11" s="665"/>
      <c r="Y11" s="3281"/>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9">
        <f>SUMIF(77:77,E12,78:78)-SUMIF(77:77,C12,78:78)+100</f>
        <v>100</v>
      </c>
      <c r="G12" s="593"/>
      <c r="H12" s="119">
        <f>SUMIF(77:77,G12,78:78)-SUMIF(77:77,C12,78:78)+100</f>
        <v>100</v>
      </c>
      <c r="I12" s="479"/>
      <c r="J12" s="119">
        <f>SUMIF(77:77,I12,78:78)-SUMIF(77:77,C12,78:78)+100</f>
        <v>100</v>
      </c>
      <c r="K12" s="591"/>
      <c r="L12" s="2485"/>
      <c r="M12" s="2436"/>
      <c r="N12" s="2436"/>
      <c r="O12" s="2537"/>
      <c r="P12" s="3374"/>
      <c r="Q12" s="529">
        <f t="shared" si="6"/>
        <v>111</v>
      </c>
      <c r="R12" s="663" t="s">
        <v>14</v>
      </c>
      <c r="S12" s="664">
        <f t="shared" si="0"/>
        <v>100</v>
      </c>
      <c r="T12" s="663" t="s">
        <v>14</v>
      </c>
      <c r="U12" s="664">
        <f t="shared" si="1"/>
        <v>100</v>
      </c>
      <c r="V12" s="663" t="s">
        <v>14</v>
      </c>
      <c r="W12" s="664">
        <f t="shared" si="2"/>
        <v>100</v>
      </c>
      <c r="X12" s="665"/>
      <c r="Y12" s="3281"/>
      <c r="Z12" s="50">
        <f t="shared" si="7"/>
        <v>111</v>
      </c>
      <c r="AA12" s="50">
        <f>D12/F12</f>
        <v>1</v>
      </c>
      <c r="AB12" s="50">
        <f>D12/H12</f>
        <v>1</v>
      </c>
      <c r="AC12" s="50">
        <f>D12/J12</f>
        <v>1</v>
      </c>
    </row>
    <row r="13" spans="1:29" ht="15">
      <c r="A13" s="366"/>
      <c r="B13" s="446">
        <v>111</v>
      </c>
      <c r="C13" s="372"/>
      <c r="D13" s="373">
        <v>100</v>
      </c>
      <c r="E13" s="479"/>
      <c r="F13" s="119">
        <f>SUMIF(79:79,E13,80:80)-SUMIF(79:79,C13,80:80)+100</f>
        <v>100</v>
      </c>
      <c r="G13" s="593"/>
      <c r="H13" s="373">
        <f>SUMIF(79:79,G13,80:80)-SUMIF(79:79,C13,80:80)+100</f>
        <v>100</v>
      </c>
      <c r="I13" s="479"/>
      <c r="J13" s="373">
        <f>SUMIF(79:79,I13,80:80)-SUMIF(79:79,C13,80:80)+100</f>
        <v>100</v>
      </c>
      <c r="K13" s="591"/>
      <c r="L13" s="2489"/>
      <c r="M13" s="2484"/>
      <c r="N13" s="2484"/>
      <c r="O13" s="2539"/>
      <c r="P13" s="3374"/>
      <c r="Q13" s="529">
        <f t="shared" si="6"/>
        <v>111</v>
      </c>
      <c r="R13" s="663" t="s">
        <v>14</v>
      </c>
      <c r="S13" s="664">
        <f t="shared" si="0"/>
        <v>100</v>
      </c>
      <c r="T13" s="663" t="s">
        <v>14</v>
      </c>
      <c r="U13" s="664">
        <f t="shared" si="1"/>
        <v>100</v>
      </c>
      <c r="V13" s="663" t="s">
        <v>14</v>
      </c>
      <c r="W13" s="664">
        <f t="shared" si="2"/>
        <v>100</v>
      </c>
      <c r="X13" s="665"/>
      <c r="Y13" s="3281"/>
      <c r="Z13" s="50">
        <f t="shared" si="7"/>
        <v>111</v>
      </c>
      <c r="AA13" s="50">
        <f t="shared" si="3"/>
        <v>1</v>
      </c>
      <c r="AB13" s="50">
        <f t="shared" si="4"/>
        <v>1</v>
      </c>
      <c r="AC13" s="50">
        <f t="shared" si="5"/>
        <v>1</v>
      </c>
    </row>
    <row r="14" spans="1:29" ht="15.75"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89"/>
      <c r="M14" s="2484"/>
      <c r="N14" s="2484"/>
      <c r="O14" s="2539"/>
      <c r="P14" s="3374"/>
      <c r="Q14" s="529">
        <f t="shared" si="6"/>
        <v>111</v>
      </c>
      <c r="R14" s="663" t="s">
        <v>14</v>
      </c>
      <c r="S14" s="664">
        <f t="shared" si="0"/>
        <v>100</v>
      </c>
      <c r="T14" s="663" t="s">
        <v>14</v>
      </c>
      <c r="U14" s="664">
        <f t="shared" si="1"/>
        <v>100</v>
      </c>
      <c r="V14" s="663" t="s">
        <v>14</v>
      </c>
      <c r="W14" s="664">
        <f t="shared" si="2"/>
        <v>100</v>
      </c>
      <c r="X14" s="665"/>
      <c r="Y14" s="3281"/>
      <c r="Z14" s="50">
        <f t="shared" si="7"/>
        <v>111</v>
      </c>
      <c r="AA14" s="50">
        <f t="shared" si="3"/>
        <v>1</v>
      </c>
      <c r="AB14" s="50">
        <f t="shared" si="4"/>
        <v>1</v>
      </c>
      <c r="AC14" s="50">
        <f t="shared" si="5"/>
        <v>1</v>
      </c>
    </row>
    <row r="15" spans="1:29" ht="15">
      <c r="A15" s="378" t="s">
        <v>1688</v>
      </c>
      <c r="B15" s="553" t="s">
        <v>1918</v>
      </c>
      <c r="C15" s="1818">
        <f>估价对象房地状况!G15</f>
        <v>0</v>
      </c>
      <c r="D15" s="379">
        <v>100</v>
      </c>
      <c r="E15" s="380"/>
      <c r="F15" s="379">
        <f>SUMIF(83:83,E16,84:84)-SUMIF(83:83,C16,84:84)+100</f>
        <v>100</v>
      </c>
      <c r="G15" s="380"/>
      <c r="H15" s="379">
        <f>SUMIF(83:83,G16,84:84)-SUMIF(83:83,C16,84:84)+100</f>
        <v>100</v>
      </c>
      <c r="I15" s="382"/>
      <c r="J15" s="379">
        <f>SUMIF(83:83,I16,84:84)-SUMIF(83:83,C16,84:84)+100</f>
        <v>100</v>
      </c>
      <c r="K15" s="592"/>
      <c r="L15" s="2489"/>
      <c r="M15" s="2484"/>
      <c r="N15" s="2484"/>
      <c r="O15" s="2539"/>
      <c r="P15" s="3381" t="s">
        <v>1689</v>
      </c>
      <c r="Q15" s="1262" t="str">
        <f t="shared" si="6"/>
        <v>产业集聚程度</v>
      </c>
      <c r="R15" s="666" t="s">
        <v>14</v>
      </c>
      <c r="S15" s="667">
        <f t="shared" si="0"/>
        <v>100</v>
      </c>
      <c r="T15" s="666" t="s">
        <v>14</v>
      </c>
      <c r="U15" s="667">
        <f t="shared" si="1"/>
        <v>100</v>
      </c>
      <c r="V15" s="666" t="s">
        <v>14</v>
      </c>
      <c r="W15" s="667">
        <f t="shared" si="2"/>
        <v>100</v>
      </c>
      <c r="X15" s="1264"/>
      <c r="Y15" s="3381" t="s">
        <v>1689</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89"/>
      <c r="M16" s="2484"/>
      <c r="N16" s="2484"/>
      <c r="O16" s="2539"/>
      <c r="P16" s="3382"/>
      <c r="Q16" s="1262"/>
      <c r="R16" s="666"/>
      <c r="S16" s="667"/>
      <c r="T16" s="666"/>
      <c r="U16" s="667"/>
      <c r="V16" s="666"/>
      <c r="W16" s="667"/>
      <c r="X16" s="1264"/>
      <c r="Y16" s="3382"/>
      <c r="Z16" s="1263"/>
      <c r="AA16" s="1263">
        <v>1</v>
      </c>
      <c r="AB16" s="1263">
        <v>1</v>
      </c>
      <c r="AC16" s="1263">
        <v>1</v>
      </c>
    </row>
    <row r="17" spans="1:29" ht="15">
      <c r="A17" s="366"/>
      <c r="B17" s="555" t="s">
        <v>1831</v>
      </c>
      <c r="C17" s="1753">
        <f>估价对象房地状况!G16</f>
        <v>0</v>
      </c>
      <c r="D17" s="388">
        <v>100</v>
      </c>
      <c r="E17" s="390"/>
      <c r="F17" s="393">
        <f>SUMIF(85:85,E18,86:86)-SUMIF(85:85,C18,86:86)+100</f>
        <v>100</v>
      </c>
      <c r="G17" s="390"/>
      <c r="H17" s="393">
        <f>SUMIF(85:85,G18,86:86)-SUMIF(85:85,C18,86:86)+100</f>
        <v>100</v>
      </c>
      <c r="I17" s="392"/>
      <c r="J17" s="388">
        <f>SUMIF(85:85,I18,86:86)-SUMIF(85:85,C18,86:86)+100</f>
        <v>100</v>
      </c>
      <c r="K17" s="592"/>
      <c r="L17" s="2489"/>
      <c r="M17" s="2484"/>
      <c r="N17" s="2484"/>
      <c r="O17" s="2539"/>
      <c r="P17" s="3382"/>
      <c r="Q17" s="1262" t="str">
        <f>B17</f>
        <v>交通便捷度</v>
      </c>
      <c r="R17" s="666" t="s">
        <v>14</v>
      </c>
      <c r="S17" s="667">
        <f>F17</f>
        <v>100</v>
      </c>
      <c r="T17" s="666" t="s">
        <v>14</v>
      </c>
      <c r="U17" s="667">
        <f>H17</f>
        <v>100</v>
      </c>
      <c r="V17" s="666" t="s">
        <v>14</v>
      </c>
      <c r="W17" s="667">
        <f>J17</f>
        <v>100</v>
      </c>
      <c r="X17" s="1264"/>
      <c r="Y17" s="3382"/>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89"/>
      <c r="M18" s="2484"/>
      <c r="N18" s="2484"/>
      <c r="O18" s="2539"/>
      <c r="P18" s="3382"/>
      <c r="Q18" s="1262"/>
      <c r="R18" s="666"/>
      <c r="S18" s="667"/>
      <c r="T18" s="666"/>
      <c r="U18" s="667"/>
      <c r="V18" s="666"/>
      <c r="W18" s="667"/>
      <c r="X18" s="1264"/>
      <c r="Y18" s="3382"/>
      <c r="Z18" s="1263"/>
      <c r="AA18" s="1263">
        <v>1</v>
      </c>
      <c r="AB18" s="1263">
        <v>1</v>
      </c>
      <c r="AC18" s="1263">
        <v>1</v>
      </c>
    </row>
    <row r="19" spans="1:29" ht="15">
      <c r="A19" s="366"/>
      <c r="B19" s="555" t="s">
        <v>1869</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9"/>
      <c r="M19" s="2484"/>
      <c r="N19" s="2484"/>
      <c r="O19" s="2539"/>
      <c r="P19" s="3382"/>
      <c r="Q19" s="1262" t="str">
        <f t="shared" ref="Q19:Q33" si="8">B19</f>
        <v>区域土地利用方向</v>
      </c>
      <c r="R19" s="666" t="s">
        <v>14</v>
      </c>
      <c r="S19" s="667">
        <f>F19</f>
        <v>100</v>
      </c>
      <c r="T19" s="666" t="s">
        <v>14</v>
      </c>
      <c r="U19" s="667">
        <f>H19</f>
        <v>100</v>
      </c>
      <c r="V19" s="666" t="s">
        <v>14</v>
      </c>
      <c r="W19" s="667">
        <f>J19</f>
        <v>100</v>
      </c>
      <c r="X19" s="1264"/>
      <c r="Y19" s="3382"/>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89"/>
      <c r="M20" s="2484"/>
      <c r="N20" s="2484"/>
      <c r="O20" s="2539"/>
      <c r="P20" s="3382"/>
      <c r="Q20" s="1262"/>
      <c r="R20" s="666"/>
      <c r="S20" s="667"/>
      <c r="T20" s="666"/>
      <c r="U20" s="667"/>
      <c r="V20" s="666"/>
      <c r="W20" s="667"/>
      <c r="X20" s="1264"/>
      <c r="Y20" s="3382"/>
      <c r="Z20" s="1263"/>
      <c r="AA20" s="1263"/>
      <c r="AB20" s="1263"/>
      <c r="AC20" s="1263"/>
    </row>
    <row r="21" spans="1:29" ht="15">
      <c r="A21" s="347"/>
      <c r="B21" s="555" t="s">
        <v>1919</v>
      </c>
      <c r="C21" s="1753">
        <f>估价对象房地状况!G18</f>
        <v>0</v>
      </c>
      <c r="D21" s="388">
        <v>100</v>
      </c>
      <c r="E21" s="390"/>
      <c r="F21" s="388">
        <f>SUMIF(89:89,E22,90:90)-SUMIF(89:89,C22,90:90)+100</f>
        <v>100</v>
      </c>
      <c r="G21" s="390"/>
      <c r="H21" s="388">
        <f>SUMIF(89:89,G22,90:90)-SUMIF(89:89,C22,90:90)+100</f>
        <v>100</v>
      </c>
      <c r="I21" s="392"/>
      <c r="J21" s="388">
        <f>SUMIF(89:89,I22,90:90)-SUMIF(89:89,C22,90:90)+100</f>
        <v>100</v>
      </c>
      <c r="K21" s="592"/>
      <c r="L21" s="2489"/>
      <c r="M21" s="2484"/>
      <c r="N21" s="2484"/>
      <c r="O21" s="2539"/>
      <c r="P21" s="3382"/>
      <c r="Q21" s="1262" t="str">
        <f t="shared" si="8"/>
        <v>环境状况</v>
      </c>
      <c r="R21" s="666" t="s">
        <v>14</v>
      </c>
      <c r="S21" s="667">
        <f>F21</f>
        <v>100</v>
      </c>
      <c r="T21" s="666" t="s">
        <v>14</v>
      </c>
      <c r="U21" s="667">
        <f>H21</f>
        <v>100</v>
      </c>
      <c r="V21" s="666" t="s">
        <v>14</v>
      </c>
      <c r="W21" s="667">
        <f>J21</f>
        <v>100</v>
      </c>
      <c r="X21" s="1264"/>
      <c r="Y21" s="3382"/>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89"/>
      <c r="M22" s="2484"/>
      <c r="N22" s="2484"/>
      <c r="O22" s="2539"/>
      <c r="P22" s="3382"/>
      <c r="Q22" s="1262"/>
      <c r="R22" s="666"/>
      <c r="S22" s="667"/>
      <c r="T22" s="666"/>
      <c r="U22" s="667"/>
      <c r="V22" s="666"/>
      <c r="W22" s="667"/>
      <c r="X22" s="1264"/>
      <c r="Y22" s="3382"/>
      <c r="Z22" s="1263"/>
      <c r="AA22" s="1263">
        <v>1</v>
      </c>
      <c r="AB22" s="1263">
        <v>1</v>
      </c>
      <c r="AC22" s="1263">
        <v>1</v>
      </c>
    </row>
    <row r="23" spans="1:29" s="102" customFormat="1" ht="15">
      <c r="A23" s="442"/>
      <c r="B23" s="556" t="s">
        <v>1776</v>
      </c>
      <c r="C23" s="1753">
        <f>估价对象房地状况!G19</f>
        <v>0</v>
      </c>
      <c r="D23" s="388">
        <v>100</v>
      </c>
      <c r="E23" s="390"/>
      <c r="F23" s="388">
        <f>SUMIF(91:91,E24,92:92)-SUMIF(91:91,C24,92:92)+100</f>
        <v>100</v>
      </c>
      <c r="G23" s="390"/>
      <c r="H23" s="388">
        <f>SUMIF(91:91,G24,92:92)-SUMIF(91:91,C24,92:92)+100</f>
        <v>100</v>
      </c>
      <c r="I23" s="392"/>
      <c r="J23" s="388">
        <f>SUMIF(91:91,I24,92:92)-SUMIF(91:91,C24,92:92)+100</f>
        <v>100</v>
      </c>
      <c r="K23" s="592"/>
      <c r="L23" s="2485"/>
      <c r="M23" s="2436"/>
      <c r="N23" s="2436"/>
      <c r="O23" s="2537"/>
      <c r="P23" s="3382"/>
      <c r="Q23" s="529" t="str">
        <f t="shared" si="8"/>
        <v>公共配套设施</v>
      </c>
      <c r="R23" s="663" t="s">
        <v>14</v>
      </c>
      <c r="S23" s="664">
        <f>F23</f>
        <v>100</v>
      </c>
      <c r="T23" s="663" t="s">
        <v>14</v>
      </c>
      <c r="U23" s="664">
        <f>H23</f>
        <v>100</v>
      </c>
      <c r="V23" s="663" t="s">
        <v>14</v>
      </c>
      <c r="W23" s="664">
        <f>J23</f>
        <v>100</v>
      </c>
      <c r="X23" s="665"/>
      <c r="Y23" s="3382"/>
      <c r="Z23" s="50" t="str">
        <f>Q23</f>
        <v>公共配套设施</v>
      </c>
      <c r="AA23" s="1263">
        <f>D23/F23</f>
        <v>1</v>
      </c>
      <c r="AB23" s="1263">
        <f>D23/H23</f>
        <v>1</v>
      </c>
      <c r="AC23" s="1263">
        <f>D23/J23</f>
        <v>1</v>
      </c>
    </row>
    <row r="24" spans="1:29" s="102" customFormat="1" ht="15">
      <c r="A24" s="442"/>
      <c r="B24" s="400"/>
      <c r="C24" s="1825"/>
      <c r="D24" s="386"/>
      <c r="E24" s="1757"/>
      <c r="F24" s="386"/>
      <c r="G24" s="1757"/>
      <c r="H24" s="386"/>
      <c r="I24" s="385"/>
      <c r="J24" s="386"/>
      <c r="K24" s="591"/>
      <c r="L24" s="2485"/>
      <c r="M24" s="2436"/>
      <c r="N24" s="2436"/>
      <c r="O24" s="2537"/>
      <c r="P24" s="3382"/>
      <c r="Q24" s="529"/>
      <c r="R24" s="663"/>
      <c r="S24" s="664"/>
      <c r="T24" s="663"/>
      <c r="U24" s="664"/>
      <c r="V24" s="663"/>
      <c r="W24" s="664"/>
      <c r="X24" s="665"/>
      <c r="Y24" s="3382"/>
      <c r="Z24" s="50"/>
      <c r="AA24" s="50">
        <v>1</v>
      </c>
      <c r="AB24" s="50">
        <v>1</v>
      </c>
      <c r="AC24" s="50">
        <v>1</v>
      </c>
    </row>
    <row r="25" spans="1:29" s="102" customFormat="1" ht="15">
      <c r="A25" s="442"/>
      <c r="B25" s="556" t="s">
        <v>1777</v>
      </c>
      <c r="C25" s="1753">
        <f>估价对象房地状况!G20</f>
        <v>0</v>
      </c>
      <c r="D25" s="388">
        <v>100</v>
      </c>
      <c r="E25" s="390"/>
      <c r="F25" s="388">
        <f>SUMIF(93:93,E26,94:94)-SUMIF(93:93,C26,94:94)+100</f>
        <v>100</v>
      </c>
      <c r="G25" s="390"/>
      <c r="H25" s="388">
        <f>SUMIF(93:93,G26,94:94)-SUMIF(93:93,C26,94:94)+100</f>
        <v>100</v>
      </c>
      <c r="I25" s="392"/>
      <c r="J25" s="388">
        <f>SUMIF(93:93,I26,94:94)-SUMIF(93:93,C26,94:94)+100</f>
        <v>100</v>
      </c>
      <c r="K25" s="592"/>
      <c r="L25" s="2485"/>
      <c r="M25" s="2436"/>
      <c r="N25" s="2436"/>
      <c r="O25" s="2537"/>
      <c r="P25" s="3382"/>
      <c r="Q25" s="529" t="str">
        <f t="shared" ref="Q25" si="9">B25</f>
        <v>基础设施水平</v>
      </c>
      <c r="R25" s="663" t="s">
        <v>14</v>
      </c>
      <c r="S25" s="664">
        <f>F25</f>
        <v>100</v>
      </c>
      <c r="T25" s="663" t="s">
        <v>14</v>
      </c>
      <c r="U25" s="664">
        <f>H25</f>
        <v>100</v>
      </c>
      <c r="V25" s="663" t="s">
        <v>14</v>
      </c>
      <c r="W25" s="664">
        <f>J25</f>
        <v>100</v>
      </c>
      <c r="X25" s="665"/>
      <c r="Y25" s="3382"/>
      <c r="Z25" s="50" t="str">
        <f>Q25</f>
        <v>基础设施水平</v>
      </c>
      <c r="AA25" s="1263">
        <f>D25/F25</f>
        <v>1</v>
      </c>
      <c r="AB25" s="1263">
        <f>D25/H25</f>
        <v>1</v>
      </c>
      <c r="AC25" s="1263">
        <f>D25/J25</f>
        <v>1</v>
      </c>
    </row>
    <row r="26" spans="1:29" s="102" customFormat="1" ht="15">
      <c r="A26" s="442"/>
      <c r="B26" s="400"/>
      <c r="C26" s="1825"/>
      <c r="D26" s="386"/>
      <c r="E26" s="1826"/>
      <c r="F26" s="386"/>
      <c r="G26" s="1826"/>
      <c r="H26" s="386"/>
      <c r="I26" s="1826"/>
      <c r="J26" s="386"/>
      <c r="K26" s="591"/>
      <c r="L26" s="2485"/>
      <c r="M26" s="2436"/>
      <c r="N26" s="2436"/>
      <c r="O26" s="2537"/>
      <c r="P26" s="3382"/>
      <c r="Q26" s="529"/>
      <c r="R26" s="663"/>
      <c r="S26" s="664"/>
      <c r="T26" s="663"/>
      <c r="U26" s="664"/>
      <c r="V26" s="663"/>
      <c r="W26" s="664"/>
      <c r="X26" s="665"/>
      <c r="Y26" s="3382"/>
      <c r="Z26" s="50"/>
      <c r="AA26" s="50">
        <v>1</v>
      </c>
      <c r="AB26" s="50">
        <v>1</v>
      </c>
      <c r="AC26" s="50">
        <v>1</v>
      </c>
    </row>
    <row r="27" spans="1:29" ht="15">
      <c r="A27" s="366"/>
      <c r="B27" s="400" t="s">
        <v>1778</v>
      </c>
      <c r="C27" s="541"/>
      <c r="D27" s="373">
        <v>100</v>
      </c>
      <c r="E27" s="557"/>
      <c r="F27" s="373">
        <f>SUMIF(95:95,E27,96:96)-SUMIF(95:95,C27,96:96)+100</f>
        <v>100</v>
      </c>
      <c r="G27" s="557"/>
      <c r="H27" s="373">
        <f>SUMIF(95:95,G27,96:96)-SUMIF(95:95,C27,96:96)+100</f>
        <v>100</v>
      </c>
      <c r="I27" s="557"/>
      <c r="J27" s="373">
        <f>SUMIF(95:95,I27,96:96)-SUMIF(95:95,C27,96:96)+100</f>
        <v>100</v>
      </c>
      <c r="K27" s="592"/>
      <c r="L27" s="2489"/>
      <c r="M27" s="2484"/>
      <c r="N27" s="2484"/>
      <c r="O27" s="2539"/>
      <c r="P27" s="3382"/>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82"/>
      <c r="Z27" s="1263" t="str">
        <f t="shared" ref="Z27:Z40" si="13">Q27</f>
        <v>临街状况</v>
      </c>
      <c r="AA27" s="1263">
        <f t="shared" si="3"/>
        <v>1</v>
      </c>
      <c r="AB27" s="1263">
        <f t="shared" si="4"/>
        <v>1</v>
      </c>
      <c r="AC27" s="1263">
        <f t="shared" si="5"/>
        <v>1</v>
      </c>
    </row>
    <row r="28" spans="1:29" ht="27">
      <c r="A28" s="366"/>
      <c r="B28" s="556" t="s">
        <v>1813</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9"/>
      <c r="M28" s="2484"/>
      <c r="N28" s="2484"/>
      <c r="O28" s="2539"/>
      <c r="P28" s="3382"/>
      <c r="Q28" s="1262" t="str">
        <f t="shared" si="8"/>
        <v>毗邻道路的类型与等级</v>
      </c>
      <c r="R28" s="666" t="s">
        <v>14</v>
      </c>
      <c r="S28" s="667">
        <f t="shared" si="10"/>
        <v>100</v>
      </c>
      <c r="T28" s="666" t="s">
        <v>14</v>
      </c>
      <c r="U28" s="667">
        <f t="shared" si="11"/>
        <v>100</v>
      </c>
      <c r="V28" s="666" t="s">
        <v>14</v>
      </c>
      <c r="W28" s="667">
        <f t="shared" si="12"/>
        <v>100</v>
      </c>
      <c r="X28" s="1264"/>
      <c r="Y28" s="3382"/>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89"/>
      <c r="M29" s="2484"/>
      <c r="N29" s="2484"/>
      <c r="O29" s="2539"/>
      <c r="P29" s="3382"/>
      <c r="Q29" s="1262"/>
      <c r="R29" s="666"/>
      <c r="S29" s="667"/>
      <c r="T29" s="666"/>
      <c r="U29" s="667"/>
      <c r="V29" s="666"/>
      <c r="W29" s="667"/>
      <c r="X29" s="1264"/>
      <c r="Y29" s="3382"/>
      <c r="Z29" s="1263"/>
      <c r="AA29" s="1263">
        <v>1</v>
      </c>
      <c r="AB29" s="1263">
        <v>1</v>
      </c>
      <c r="AC29" s="1263">
        <v>1</v>
      </c>
    </row>
    <row r="30" spans="1:29" ht="15">
      <c r="A30" s="366"/>
      <c r="B30" s="119" t="s">
        <v>1871</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9"/>
      <c r="M30" s="2484"/>
      <c r="N30" s="2484"/>
      <c r="O30" s="2539"/>
      <c r="P30" s="3382"/>
      <c r="Q30" s="1262" t="str">
        <f t="shared" si="8"/>
        <v>土地级别</v>
      </c>
      <c r="R30" s="666" t="s">
        <v>14</v>
      </c>
      <c r="S30" s="667">
        <f t="shared" si="10"/>
        <v>100</v>
      </c>
      <c r="T30" s="666" t="s">
        <v>14</v>
      </c>
      <c r="U30" s="667">
        <f t="shared" si="11"/>
        <v>100</v>
      </c>
      <c r="V30" s="666" t="s">
        <v>14</v>
      </c>
      <c r="W30" s="667">
        <f t="shared" si="12"/>
        <v>100</v>
      </c>
      <c r="X30" s="1264"/>
      <c r="Y30" s="3382"/>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9"/>
      <c r="M31" s="2484"/>
      <c r="N31" s="2484"/>
      <c r="O31" s="2539"/>
      <c r="P31" s="3382"/>
      <c r="Q31" s="1262">
        <f t="shared" si="8"/>
        <v>111</v>
      </c>
      <c r="R31" s="666" t="s">
        <v>14</v>
      </c>
      <c r="S31" s="667">
        <f t="shared" si="10"/>
        <v>100</v>
      </c>
      <c r="T31" s="666" t="s">
        <v>14</v>
      </c>
      <c r="U31" s="667">
        <f t="shared" si="11"/>
        <v>100</v>
      </c>
      <c r="V31" s="666" t="s">
        <v>14</v>
      </c>
      <c r="W31" s="667">
        <f t="shared" si="12"/>
        <v>100</v>
      </c>
      <c r="X31" s="1264"/>
      <c r="Y31" s="3382"/>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9"/>
      <c r="M32" s="2484"/>
      <c r="N32" s="2484"/>
      <c r="O32" s="2539"/>
      <c r="P32" s="3484" t="s">
        <v>1694</v>
      </c>
      <c r="Q32" s="1262">
        <f t="shared" si="8"/>
        <v>111</v>
      </c>
      <c r="R32" s="666" t="s">
        <v>14</v>
      </c>
      <c r="S32" s="667">
        <f t="shared" si="10"/>
        <v>100</v>
      </c>
      <c r="T32" s="666" t="s">
        <v>14</v>
      </c>
      <c r="U32" s="667">
        <f t="shared" si="11"/>
        <v>100</v>
      </c>
      <c r="V32" s="666" t="s">
        <v>14</v>
      </c>
      <c r="W32" s="667">
        <f t="shared" si="12"/>
        <v>100</v>
      </c>
      <c r="X32" s="1264"/>
      <c r="Y32" s="3386" t="s">
        <v>1694</v>
      </c>
      <c r="Z32" s="1263">
        <f t="shared" si="13"/>
        <v>111</v>
      </c>
      <c r="AA32" s="1263">
        <f t="shared" si="3"/>
        <v>1</v>
      </c>
      <c r="AB32" s="1263">
        <f t="shared" si="4"/>
        <v>1</v>
      </c>
      <c r="AC32" s="1263">
        <f t="shared" si="5"/>
        <v>1</v>
      </c>
    </row>
    <row r="33" spans="1:31" s="407" customFormat="1" ht="15.75" thickBot="1">
      <c r="A33" s="595"/>
      <c r="B33" s="1839">
        <v>111</v>
      </c>
      <c r="C33" s="597"/>
      <c r="D33" s="120">
        <v>100</v>
      </c>
      <c r="E33" s="620"/>
      <c r="F33" s="376">
        <f>SUMIF(105:105,E33,106:106)-SUMIF(105:105,C33,106:106)+100</f>
        <v>100</v>
      </c>
      <c r="G33" s="620"/>
      <c r="H33" s="376">
        <f>SUMIF(105:105,G33,106:106)-SUMIF(105:105,C33,106:106)+100</f>
        <v>100</v>
      </c>
      <c r="I33" s="597"/>
      <c r="J33" s="376">
        <f>SUMIF(105:105,I33,106:106)-SUMIF(105:105,C33,106:106)+100</f>
        <v>100</v>
      </c>
      <c r="K33" s="538"/>
      <c r="L33" s="2488"/>
      <c r="M33" s="2490"/>
      <c r="N33" s="2490"/>
      <c r="O33" s="2540"/>
      <c r="P33" s="3386"/>
      <c r="Q33" s="1262">
        <f t="shared" si="8"/>
        <v>111</v>
      </c>
      <c r="R33" s="668" t="s">
        <v>14</v>
      </c>
      <c r="S33" s="669">
        <f t="shared" si="10"/>
        <v>100</v>
      </c>
      <c r="T33" s="668" t="s">
        <v>14</v>
      </c>
      <c r="U33" s="669">
        <f t="shared" si="11"/>
        <v>100</v>
      </c>
      <c r="V33" s="668" t="s">
        <v>14</v>
      </c>
      <c r="W33" s="669">
        <f t="shared" si="12"/>
        <v>100</v>
      </c>
      <c r="X33" s="670"/>
      <c r="Y33" s="3386"/>
      <c r="Z33" s="671">
        <f t="shared" si="13"/>
        <v>111</v>
      </c>
      <c r="AA33" s="1263">
        <f t="shared" si="3"/>
        <v>1</v>
      </c>
      <c r="AB33" s="1263">
        <f t="shared" si="4"/>
        <v>1</v>
      </c>
      <c r="AC33" s="1263">
        <f t="shared" si="5"/>
        <v>1</v>
      </c>
    </row>
    <row r="34" spans="1:31" ht="15">
      <c r="A34" s="378" t="s">
        <v>1692</v>
      </c>
      <c r="B34" s="394" t="s">
        <v>1872</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9"/>
      <c r="M34" s="2484"/>
      <c r="N34" s="2484"/>
      <c r="O34" s="2539"/>
      <c r="P34" s="3386"/>
      <c r="Q34" s="1262" t="str">
        <f>B34</f>
        <v>宗地面积</v>
      </c>
      <c r="R34" s="666" t="s">
        <v>14</v>
      </c>
      <c r="S34" s="667" t="e">
        <f t="shared" si="10"/>
        <v>#N/A</v>
      </c>
      <c r="T34" s="666" t="s">
        <v>14</v>
      </c>
      <c r="U34" s="667" t="e">
        <f t="shared" si="11"/>
        <v>#N/A</v>
      </c>
      <c r="V34" s="666" t="s">
        <v>14</v>
      </c>
      <c r="W34" s="667" t="e">
        <f t="shared" si="12"/>
        <v>#N/A</v>
      </c>
      <c r="X34" s="1264"/>
      <c r="Y34" s="3386"/>
      <c r="Z34" s="1263" t="str">
        <f t="shared" si="13"/>
        <v>宗地面积</v>
      </c>
      <c r="AA34" s="1263" t="e">
        <f t="shared" si="3"/>
        <v>#N/A</v>
      </c>
      <c r="AB34" s="1263" t="e">
        <f t="shared" si="4"/>
        <v>#N/A</v>
      </c>
      <c r="AC34" s="1263" t="e">
        <f t="shared" si="5"/>
        <v>#N/A</v>
      </c>
    </row>
    <row r="35" spans="1:31" ht="15">
      <c r="A35" s="408"/>
      <c r="B35" s="363" t="s">
        <v>1873</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89"/>
      <c r="M35" s="2484"/>
      <c r="N35" s="2484"/>
      <c r="O35" s="2539"/>
      <c r="P35" s="3386"/>
      <c r="Q35" s="1262" t="str">
        <f t="shared" ref="Q35:Q40" si="14">B35</f>
        <v>宗地形状</v>
      </c>
      <c r="R35" s="666" t="s">
        <v>14</v>
      </c>
      <c r="S35" s="667">
        <f t="shared" si="10"/>
        <v>100</v>
      </c>
      <c r="T35" s="666" t="s">
        <v>14</v>
      </c>
      <c r="U35" s="667">
        <f t="shared" si="11"/>
        <v>100</v>
      </c>
      <c r="V35" s="666" t="s">
        <v>14</v>
      </c>
      <c r="W35" s="667">
        <f t="shared" si="12"/>
        <v>100</v>
      </c>
      <c r="X35" s="1264"/>
      <c r="Y35" s="3386"/>
      <c r="Z35" s="1263" t="str">
        <f t="shared" si="13"/>
        <v>宗地形状</v>
      </c>
      <c r="AA35" s="1263">
        <f t="shared" si="3"/>
        <v>1</v>
      </c>
      <c r="AB35" s="1263">
        <f t="shared" si="4"/>
        <v>1</v>
      </c>
      <c r="AC35" s="1263">
        <f t="shared" si="5"/>
        <v>1</v>
      </c>
    </row>
    <row r="36" spans="1:31" s="102" customFormat="1" ht="15">
      <c r="A36" s="409"/>
      <c r="B36" s="363" t="s">
        <v>1875</v>
      </c>
      <c r="C36" s="1827"/>
      <c r="D36" s="119">
        <v>100</v>
      </c>
      <c r="E36" s="1827"/>
      <c r="F36" s="373">
        <f>SUMIF(112:112,E36,113:113)-SUMIF(112:112,C36,113:113)+100</f>
        <v>100</v>
      </c>
      <c r="G36" s="1827"/>
      <c r="H36" s="373">
        <f>SUMIF(112:112,G36,113:113)-SUMIF(112:112,C36,113:113)+100</f>
        <v>100</v>
      </c>
      <c r="I36" s="1827"/>
      <c r="J36" s="373">
        <f>SUMIF(112:112,I36,113:113)-SUMIF(112:112,C36,113:113)+100</f>
        <v>100</v>
      </c>
      <c r="K36" s="537"/>
      <c r="L36" s="2485"/>
      <c r="M36" s="2436"/>
      <c r="N36" s="2436"/>
      <c r="O36" s="2537"/>
      <c r="P36" s="3386"/>
      <c r="Q36" s="1262" t="str">
        <f t="shared" si="14"/>
        <v>宗地开发程度</v>
      </c>
      <c r="R36" s="663" t="s">
        <v>14</v>
      </c>
      <c r="S36" s="664">
        <f t="shared" si="10"/>
        <v>100</v>
      </c>
      <c r="T36" s="663" t="s">
        <v>14</v>
      </c>
      <c r="U36" s="664">
        <f t="shared" si="11"/>
        <v>100</v>
      </c>
      <c r="V36" s="663" t="s">
        <v>14</v>
      </c>
      <c r="W36" s="664">
        <f t="shared" si="12"/>
        <v>100</v>
      </c>
      <c r="X36" s="665"/>
      <c r="Y36" s="3386"/>
      <c r="Z36" s="50" t="str">
        <f t="shared" si="13"/>
        <v>宗地开发程度</v>
      </c>
      <c r="AA36" s="50">
        <f t="shared" si="3"/>
        <v>1</v>
      </c>
      <c r="AB36" s="50">
        <f t="shared" si="4"/>
        <v>1</v>
      </c>
      <c r="AC36" s="50">
        <f t="shared" si="5"/>
        <v>1</v>
      </c>
    </row>
    <row r="37" spans="1:31" ht="15">
      <c r="A37" s="408"/>
      <c r="B37" s="363" t="s">
        <v>1876</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89"/>
      <c r="M37" s="2484"/>
      <c r="N37" s="2484"/>
      <c r="O37" s="2539"/>
      <c r="P37" s="3386" t="s">
        <v>1694</v>
      </c>
      <c r="Q37" s="1262" t="str">
        <f t="shared" si="14"/>
        <v>工程地质条件</v>
      </c>
      <c r="R37" s="666" t="s">
        <v>14</v>
      </c>
      <c r="S37" s="667">
        <f t="shared" si="10"/>
        <v>100</v>
      </c>
      <c r="T37" s="666" t="s">
        <v>14</v>
      </c>
      <c r="U37" s="667">
        <f t="shared" si="11"/>
        <v>100</v>
      </c>
      <c r="V37" s="666" t="s">
        <v>14</v>
      </c>
      <c r="W37" s="667">
        <f t="shared" si="12"/>
        <v>100</v>
      </c>
      <c r="X37" s="1264"/>
      <c r="Y37" s="3386" t="s">
        <v>1694</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9"/>
      <c r="M38" s="2484"/>
      <c r="N38" s="2484"/>
      <c r="O38" s="2539"/>
      <c r="P38" s="3386"/>
      <c r="Q38" s="1262">
        <f t="shared" si="14"/>
        <v>111</v>
      </c>
      <c r="R38" s="666" t="s">
        <v>14</v>
      </c>
      <c r="S38" s="667">
        <f t="shared" si="10"/>
        <v>100</v>
      </c>
      <c r="T38" s="666" t="s">
        <v>14</v>
      </c>
      <c r="U38" s="667">
        <f t="shared" si="11"/>
        <v>100</v>
      </c>
      <c r="V38" s="666" t="s">
        <v>14</v>
      </c>
      <c r="W38" s="667">
        <f t="shared" si="12"/>
        <v>100</v>
      </c>
      <c r="X38" s="1264"/>
      <c r="Y38" s="3386"/>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9"/>
      <c r="M39" s="2484"/>
      <c r="N39" s="2484"/>
      <c r="O39" s="2539"/>
      <c r="P39" s="3386"/>
      <c r="Q39" s="1262">
        <f t="shared" si="14"/>
        <v>111</v>
      </c>
      <c r="R39" s="666" t="s">
        <v>14</v>
      </c>
      <c r="S39" s="667">
        <f t="shared" si="10"/>
        <v>100</v>
      </c>
      <c r="T39" s="666" t="s">
        <v>14</v>
      </c>
      <c r="U39" s="667">
        <f t="shared" si="11"/>
        <v>100</v>
      </c>
      <c r="V39" s="666" t="s">
        <v>14</v>
      </c>
      <c r="W39" s="667">
        <f t="shared" si="12"/>
        <v>100</v>
      </c>
      <c r="X39" s="1264"/>
      <c r="Y39" s="3386"/>
      <c r="Z39" s="1263">
        <f t="shared" si="13"/>
        <v>111</v>
      </c>
      <c r="AA39" s="1263">
        <f t="shared" si="3"/>
        <v>1</v>
      </c>
      <c r="AB39" s="1263">
        <f t="shared" si="4"/>
        <v>1</v>
      </c>
      <c r="AC39" s="1263">
        <f t="shared" si="5"/>
        <v>1</v>
      </c>
    </row>
    <row r="40" spans="1:31" s="407" customFormat="1" ht="15.75" thickBot="1">
      <c r="A40" s="405"/>
      <c r="B40" s="1066">
        <v>111</v>
      </c>
      <c r="C40" s="1828"/>
      <c r="D40" s="120">
        <v>100</v>
      </c>
      <c r="E40" s="593"/>
      <c r="F40" s="376">
        <f>SUMIF(120:120,E40,121:121)-SUMIF(120:120,C40,121:121)+100</f>
        <v>100</v>
      </c>
      <c r="G40" s="593"/>
      <c r="H40" s="376">
        <f>SUMIF(120:120,G40,121:121)-SUMIF(120:120,C40,121:121)+100</f>
        <v>100</v>
      </c>
      <c r="I40" s="479"/>
      <c r="J40" s="376">
        <f>SUMIF(120:120,I40,121:121)-SUMIF(120:120,C40,121:121)+100</f>
        <v>100</v>
      </c>
      <c r="K40" s="600"/>
      <c r="L40" s="2488"/>
      <c r="M40" s="2490"/>
      <c r="N40" s="2490"/>
      <c r="O40" s="2540"/>
      <c r="P40" s="3386"/>
      <c r="Q40" s="1262">
        <f t="shared" si="14"/>
        <v>111</v>
      </c>
      <c r="R40" s="668" t="s">
        <v>14</v>
      </c>
      <c r="S40" s="669">
        <f t="shared" si="10"/>
        <v>100</v>
      </c>
      <c r="T40" s="668" t="s">
        <v>14</v>
      </c>
      <c r="U40" s="669">
        <f t="shared" si="11"/>
        <v>100</v>
      </c>
      <c r="V40" s="668" t="s">
        <v>14</v>
      </c>
      <c r="W40" s="669">
        <f t="shared" si="12"/>
        <v>100</v>
      </c>
      <c r="X40" s="670"/>
      <c r="Y40" s="3386"/>
      <c r="Z40" s="671">
        <f t="shared" si="13"/>
        <v>111</v>
      </c>
      <c r="AA40" s="1263">
        <f t="shared" si="3"/>
        <v>1</v>
      </c>
      <c r="AB40" s="1263">
        <f t="shared" si="4"/>
        <v>1</v>
      </c>
      <c r="AC40" s="1263">
        <f t="shared" si="5"/>
        <v>1</v>
      </c>
    </row>
    <row r="41" spans="1:31" ht="15">
      <c r="A41" s="415" t="s">
        <v>1842</v>
      </c>
      <c r="B41" s="1829" t="s">
        <v>1920</v>
      </c>
      <c r="C41" s="601" t="s">
        <v>0</v>
      </c>
      <c r="D41" s="417"/>
      <c r="E41" s="418"/>
      <c r="F41" s="419"/>
      <c r="G41" s="420"/>
      <c r="H41" s="421"/>
      <c r="I41" s="418"/>
      <c r="J41" s="421"/>
      <c r="K41" s="673"/>
      <c r="L41" s="2491"/>
      <c r="M41" s="2484"/>
      <c r="N41" s="2484"/>
      <c r="O41" s="2484"/>
      <c r="P41" s="3374" t="str">
        <f>A41</f>
        <v>成交单价</v>
      </c>
      <c r="Q41" s="3374"/>
      <c r="R41" s="3375">
        <f>E41</f>
        <v>0</v>
      </c>
      <c r="S41" s="3375"/>
      <c r="T41" s="3375">
        <f>G41</f>
        <v>0</v>
      </c>
      <c r="U41" s="3375"/>
      <c r="V41" s="3375">
        <f>I41</f>
        <v>0</v>
      </c>
      <c r="W41" s="3375"/>
      <c r="X41" s="384"/>
      <c r="Y41" s="672"/>
      <c r="Z41" s="384"/>
      <c r="AA41" s="384"/>
      <c r="AB41" s="384"/>
      <c r="AC41" s="384"/>
    </row>
    <row r="42" spans="1:31" ht="15.75" thickBot="1">
      <c r="A42" s="422" t="s">
        <v>1791</v>
      </c>
      <c r="B42" s="602"/>
      <c r="C42" s="425" t="e">
        <f>R43</f>
        <v>#DIV/0!</v>
      </c>
      <c r="D42" s="2139" t="s">
        <v>2134</v>
      </c>
      <c r="E42" s="425" t="e">
        <f>R42</f>
        <v>#DIV/0!</v>
      </c>
      <c r="F42" s="2140"/>
      <c r="G42" s="424" t="e">
        <f>T42</f>
        <v>#DIV/0!</v>
      </c>
      <c r="H42" s="2140"/>
      <c r="I42" s="425" t="e">
        <f>V42</f>
        <v>#DIV/0!</v>
      </c>
      <c r="J42" s="2140"/>
      <c r="K42" s="2142">
        <f>F42+H42+J42</f>
        <v>0</v>
      </c>
      <c r="L42" s="2491"/>
      <c r="M42" s="2484"/>
      <c r="N42" s="2484"/>
      <c r="O42" s="2484"/>
      <c r="P42" s="3374" t="str">
        <f>A42</f>
        <v>比较价值（元/平方米）</v>
      </c>
      <c r="Q42" s="3374"/>
      <c r="R42" s="3486" t="e">
        <f>ROUND(PRODUCT(R41,AA7:AA40),0)</f>
        <v>#DIV/0!</v>
      </c>
      <c r="S42" s="3486"/>
      <c r="T42" s="3486" t="e">
        <f>ROUND(PRODUCT(T41,AB7:AB40),0)</f>
        <v>#DIV/0!</v>
      </c>
      <c r="U42" s="3486"/>
      <c r="V42" s="3486" t="e">
        <f>ROUND(PRODUCT(V41,AC7:AC40),0)</f>
        <v>#DIV/0!</v>
      </c>
      <c r="W42" s="3486"/>
      <c r="X42" s="384"/>
      <c r="Y42" s="384"/>
      <c r="Z42" s="384"/>
      <c r="AA42" s="384"/>
      <c r="AB42" s="384"/>
      <c r="AC42" s="384"/>
    </row>
    <row r="43" spans="1:31" ht="15.75" thickBot="1">
      <c r="A43" s="426" t="s">
        <v>1792</v>
      </c>
      <c r="B43" s="427"/>
      <c r="C43" s="428" t="e">
        <f>R43</f>
        <v>#DIV/0!</v>
      </c>
      <c r="D43" s="428"/>
      <c r="E43" s="428"/>
      <c r="F43" s="428"/>
      <c r="G43" s="428"/>
      <c r="H43" s="428"/>
      <c r="I43" s="428"/>
      <c r="J43" s="428"/>
      <c r="K43" s="674"/>
      <c r="L43" s="2491"/>
      <c r="M43" s="2484"/>
      <c r="N43" s="2484"/>
      <c r="O43" s="2484"/>
      <c r="P43" s="3376" t="str">
        <f>A43</f>
        <v>估价对象XX用房的比较价值（楼面单价，元/平方米）</v>
      </c>
      <c r="Q43" s="3377"/>
      <c r="R43" s="3487" t="e">
        <f>ROUND(IF(D42="简单平均",AVERAGE(R42:W42),R42*F42+T42*H42+V42*J42),0)</f>
        <v>#DIV/0!</v>
      </c>
      <c r="S43" s="3487"/>
      <c r="T43" s="3487"/>
      <c r="U43" s="3487"/>
      <c r="V43" s="3487"/>
      <c r="W43" s="3487"/>
      <c r="X43" s="384"/>
      <c r="Y43" s="384"/>
      <c r="Z43" s="384"/>
      <c r="AA43" s="384"/>
      <c r="AB43" s="384"/>
      <c r="AC43" s="384"/>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1" t="s">
        <v>1793</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1" t="s">
        <v>1794</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6" customFormat="1" ht="13.5" customHeight="1">
      <c r="A48" s="2494"/>
      <c r="B48" s="2494"/>
      <c r="C48" s="431" t="s">
        <v>1795</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6" customFormat="1" ht="15" thickBot="1">
      <c r="A49" s="2494"/>
      <c r="B49" s="2497"/>
      <c r="C49" s="656"/>
      <c r="D49" s="654"/>
      <c r="E49" s="654"/>
      <c r="F49" s="654"/>
      <c r="G49" s="654"/>
      <c r="H49" s="654"/>
      <c r="I49" s="654"/>
      <c r="J49" s="654"/>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7">
      <c r="A50" s="603" t="s">
        <v>1879</v>
      </c>
      <c r="B50" s="604" t="s">
        <v>1880</v>
      </c>
      <c r="C50" s="1830" t="s">
        <v>1881</v>
      </c>
      <c r="D50" s="1831" t="s">
        <v>1882</v>
      </c>
      <c r="E50" s="605" t="s">
        <v>1883</v>
      </c>
      <c r="F50" s="606" t="s">
        <v>1884</v>
      </c>
      <c r="G50" s="3392" t="s">
        <v>1885</v>
      </c>
      <c r="H50" s="3488"/>
      <c r="I50" s="1263" t="s">
        <v>1921</v>
      </c>
      <c r="J50" s="1263">
        <f>项目基本情况!F35</f>
        <v>0</v>
      </c>
      <c r="K50" s="1833" t="s">
        <v>1887</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1" customFormat="1">
      <c r="A51" s="607" t="s">
        <v>1888</v>
      </c>
      <c r="B51" s="608" t="e">
        <f>C43</f>
        <v>#DIV/0!</v>
      </c>
      <c r="C51" s="609">
        <v>1</v>
      </c>
      <c r="D51" s="889">
        <v>1</v>
      </c>
      <c r="E51" s="609">
        <f>'数据-汇总表'!E8+'数据-汇总表'!E9</f>
        <v>4430.01</v>
      </c>
      <c r="F51" s="610" t="e">
        <f t="shared" ref="F51:F60" si="15">ROUND(B51*E51/10000,0)</f>
        <v>#DIV/0!</v>
      </c>
      <c r="G51" s="3388"/>
      <c r="H51" s="3374"/>
      <c r="I51" s="726">
        <v>1</v>
      </c>
      <c r="J51" s="726">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1" customFormat="1">
      <c r="A52" s="612" t="s">
        <v>1889</v>
      </c>
      <c r="B52" s="209" t="e">
        <f>ROUND($C$43*C52*D52,0)</f>
        <v>#DIV/0!</v>
      </c>
      <c r="C52" s="163">
        <f t="shared" ref="C52:C60" si="16">IF($C$50="北京市系数",I52,J52)</f>
        <v>0.7</v>
      </c>
      <c r="D52" s="890">
        <v>0.25</v>
      </c>
      <c r="E52" s="613"/>
      <c r="F52" s="610" t="e">
        <f t="shared" si="15"/>
        <v>#DIV/0!</v>
      </c>
      <c r="G52" s="2747" t="s">
        <v>1890</v>
      </c>
      <c r="H52" s="833" t="str">
        <f>项目基本情况!B37</f>
        <v>二级</v>
      </c>
      <c r="I52" s="726">
        <f>SUMIF(修正!A57:A68,H52,修正!B57:B68)</f>
        <v>0.7</v>
      </c>
      <c r="J52" s="727"/>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1" customFormat="1">
      <c r="A53" s="612" t="s">
        <v>1891</v>
      </c>
      <c r="B53" s="209" t="e">
        <f t="shared" ref="B53:B60" si="17">ROUND($C$43*C53*D53,0)</f>
        <v>#DIV/0!</v>
      </c>
      <c r="C53" s="163">
        <f t="shared" si="16"/>
        <v>0.4</v>
      </c>
      <c r="D53" s="890">
        <v>0.25</v>
      </c>
      <c r="E53" s="613"/>
      <c r="F53" s="610" t="e">
        <f t="shared" si="15"/>
        <v>#DIV/0!</v>
      </c>
      <c r="G53" s="2748"/>
      <c r="H53" s="833" t="str">
        <f>项目基本情况!B37</f>
        <v>二级</v>
      </c>
      <c r="I53" s="726">
        <f>SUMIF(修正!A57:A68,H53,修正!C57:C68)</f>
        <v>0.4</v>
      </c>
      <c r="J53" s="727"/>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1" customFormat="1">
      <c r="A54" s="612" t="s">
        <v>1892</v>
      </c>
      <c r="B54" s="209" t="e">
        <f t="shared" si="17"/>
        <v>#DIV/0!</v>
      </c>
      <c r="C54" s="163">
        <f t="shared" si="16"/>
        <v>0.3</v>
      </c>
      <c r="D54" s="890">
        <v>0.25</v>
      </c>
      <c r="E54" s="613"/>
      <c r="F54" s="610" t="e">
        <f t="shared" si="15"/>
        <v>#DIV/0!</v>
      </c>
      <c r="G54" s="2748"/>
      <c r="H54" s="833" t="str">
        <f>项目基本情况!B37</f>
        <v>二级</v>
      </c>
      <c r="I54" s="726">
        <f>SUMIF(修正!A57:A68,H54,修正!D57:D68)</f>
        <v>0.3</v>
      </c>
      <c r="J54" s="727"/>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1" customFormat="1" hidden="1">
      <c r="A55" s="612"/>
      <c r="B55" s="209"/>
      <c r="C55" s="163"/>
      <c r="D55" s="890"/>
      <c r="E55" s="613"/>
      <c r="F55" s="610"/>
      <c r="G55" s="2749"/>
      <c r="H55" s="833"/>
      <c r="I55" s="726"/>
      <c r="J55" s="727"/>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1" customFormat="1">
      <c r="A56" s="612" t="s">
        <v>1893</v>
      </c>
      <c r="B56" s="209" t="e">
        <f t="shared" si="17"/>
        <v>#DIV/0!</v>
      </c>
      <c r="C56" s="163">
        <f t="shared" si="16"/>
        <v>0</v>
      </c>
      <c r="D56" s="890">
        <v>0.25</v>
      </c>
      <c r="E56" s="208">
        <f>'数据-汇总表'!E11</f>
        <v>0</v>
      </c>
      <c r="F56" s="610" t="e">
        <f t="shared" si="15"/>
        <v>#DIV/0!</v>
      </c>
      <c r="G56" s="1834" t="s">
        <v>1894</v>
      </c>
      <c r="H56" s="833">
        <f>项目基本情况!C37</f>
        <v>0</v>
      </c>
      <c r="I56" s="726">
        <f>SUMIF(修正!A57:A68,H56,修正!E57:E68)</f>
        <v>0</v>
      </c>
      <c r="J56" s="727"/>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1" customFormat="1">
      <c r="A57" s="612" t="s">
        <v>1895</v>
      </c>
      <c r="B57" s="209" t="e">
        <f t="shared" si="17"/>
        <v>#DIV/0!</v>
      </c>
      <c r="C57" s="163">
        <f t="shared" si="16"/>
        <v>0</v>
      </c>
      <c r="D57" s="890">
        <v>0.25</v>
      </c>
      <c r="E57" s="208">
        <f>'数据-汇总表'!E12</f>
        <v>0</v>
      </c>
      <c r="F57" s="610" t="e">
        <f t="shared" si="15"/>
        <v>#DIV/0!</v>
      </c>
      <c r="G57" s="838" t="s">
        <v>1896</v>
      </c>
      <c r="H57" s="833">
        <f>IF(G57="商业",项目基本情况!B37,IF(G57="办公",项目基本情况!C37,IF(G57="住宅",项目基本情况!D37,项目基本情况!E37)))</f>
        <v>0</v>
      </c>
      <c r="I57" s="726">
        <f>SUMIF(修正!A57:A68,H57,修正!F57:F68)</f>
        <v>0</v>
      </c>
      <c r="J57" s="727"/>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1" customFormat="1">
      <c r="A58" s="612" t="s">
        <v>1897</v>
      </c>
      <c r="B58" s="209" t="e">
        <f t="shared" si="17"/>
        <v>#DIV/0!</v>
      </c>
      <c r="C58" s="163">
        <f t="shared" si="16"/>
        <v>0</v>
      </c>
      <c r="D58" s="890">
        <v>0.25</v>
      </c>
      <c r="E58" s="208">
        <f>'数据-汇总表'!E13</f>
        <v>0</v>
      </c>
      <c r="F58" s="610" t="e">
        <f t="shared" si="15"/>
        <v>#DIV/0!</v>
      </c>
      <c r="G58" s="838" t="s">
        <v>1898</v>
      </c>
      <c r="H58" s="833">
        <f>IF(G58="商业",项目基本情况!B37,IF(G58="办公",项目基本情况!C37,IF(G58="住宅",项目基本情况!D37,项目基本情况!E37)))</f>
        <v>0</v>
      </c>
      <c r="I58" s="726">
        <f>SUMIF(修正!A57:A68,H58,修正!G57:G68)</f>
        <v>0</v>
      </c>
      <c r="J58" s="727"/>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1" customFormat="1">
      <c r="A59" s="612" t="s">
        <v>1899</v>
      </c>
      <c r="B59" s="209" t="e">
        <f t="shared" si="17"/>
        <v>#DIV/0!</v>
      </c>
      <c r="C59" s="163">
        <f t="shared" si="16"/>
        <v>0.2</v>
      </c>
      <c r="D59" s="890">
        <v>0.25</v>
      </c>
      <c r="E59" s="208">
        <f>'数据-汇总表'!E14</f>
        <v>0</v>
      </c>
      <c r="F59" s="610" t="e">
        <f t="shared" si="15"/>
        <v>#DIV/0!</v>
      </c>
      <c r="G59" s="1834" t="s">
        <v>1890</v>
      </c>
      <c r="H59" s="833" t="str">
        <f>项目基本情况!B37</f>
        <v>二级</v>
      </c>
      <c r="I59" s="726">
        <f>SUMIF(修正!A57:A68,H59,修正!G57:G68)</f>
        <v>0.2</v>
      </c>
      <c r="J59" s="727"/>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1" customFormat="1" ht="15" thickBot="1">
      <c r="A60" s="612" t="s">
        <v>1900</v>
      </c>
      <c r="B60" s="209" t="e">
        <f t="shared" si="17"/>
        <v>#DIV/0!</v>
      </c>
      <c r="C60" s="163">
        <f t="shared" si="16"/>
        <v>0</v>
      </c>
      <c r="D60" s="890">
        <v>0.25</v>
      </c>
      <c r="E60" s="208">
        <f>'数据-汇总表'!E15</f>
        <v>0</v>
      </c>
      <c r="F60" s="610" t="e">
        <f t="shared" si="15"/>
        <v>#DIV/0!</v>
      </c>
      <c r="G60" s="1835" t="s">
        <v>1894</v>
      </c>
      <c r="H60" s="843">
        <f>项目基本情况!C37</f>
        <v>0</v>
      </c>
      <c r="I60" s="726">
        <f>SUMIF(修正!A57:A68,H60,修正!G57:G68)</f>
        <v>0</v>
      </c>
      <c r="J60" s="727"/>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1" customFormat="1" ht="15" thickBot="1">
      <c r="A61" s="614" t="s">
        <v>1901</v>
      </c>
      <c r="B61" s="615" t="s">
        <v>22</v>
      </c>
      <c r="C61" s="615" t="s">
        <v>23</v>
      </c>
      <c r="D61" s="615" t="s">
        <v>392</v>
      </c>
      <c r="E61" s="615">
        <f>IF(B41="楼面地价",SUM(E51:E60),'数据-汇总表'!D3)</f>
        <v>0</v>
      </c>
      <c r="F61" s="616" t="e">
        <f>IF(B41="楼面地价",SUM(F51:F60),ROUND(C43*E61/10000,0))</f>
        <v>#DIV/0!</v>
      </c>
      <c r="G61" s="884"/>
      <c r="H61" s="884"/>
      <c r="I61" s="884"/>
      <c r="J61" s="884"/>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0"/>
      <c r="B62" s="874"/>
      <c r="C62" s="876"/>
      <c r="D62" s="860"/>
      <c r="E62" s="860"/>
      <c r="F62" s="860"/>
      <c r="G62" s="860"/>
      <c r="H62" s="860"/>
      <c r="I62" s="860"/>
      <c r="J62" s="860"/>
      <c r="K62" s="834"/>
      <c r="L62" s="835"/>
      <c r="M62" s="860"/>
      <c r="N62" s="860"/>
      <c r="O62" s="860"/>
      <c r="P62" s="2484"/>
      <c r="Q62" s="2484"/>
      <c r="R62" s="2484"/>
      <c r="S62" s="2484"/>
      <c r="T62" s="2484"/>
      <c r="U62" s="2484"/>
      <c r="V62" s="2484"/>
      <c r="W62" s="2484"/>
      <c r="X62" s="2484"/>
      <c r="Y62" s="2484"/>
      <c r="Z62" s="2484"/>
      <c r="AA62" s="2484"/>
      <c r="AB62" s="2484"/>
      <c r="AC62" s="2484"/>
      <c r="AD62" s="2484"/>
      <c r="AE62" s="2484"/>
    </row>
    <row r="63" spans="1:31">
      <c r="A63" s="860"/>
      <c r="B63" s="874"/>
      <c r="C63" s="655" t="str">
        <f>YEAR(C7)&amp;"-"&amp;MONTH(C7)&amp;"-1"</f>
        <v>2023-4-1</v>
      </c>
      <c r="D63" s="655">
        <f>EDATE(C63,-3)</f>
        <v>44927</v>
      </c>
      <c r="E63" s="655">
        <f>EDATE(D63,-3)</f>
        <v>44835</v>
      </c>
      <c r="F63" s="655">
        <f t="shared" ref="F63:O63" si="18">EDATE(E63,-3)</f>
        <v>44743</v>
      </c>
      <c r="G63" s="655">
        <f t="shared" si="18"/>
        <v>44652</v>
      </c>
      <c r="H63" s="655">
        <f t="shared" si="18"/>
        <v>44562</v>
      </c>
      <c r="I63" s="655">
        <f t="shared" si="18"/>
        <v>44470</v>
      </c>
      <c r="J63" s="655">
        <f t="shared" si="18"/>
        <v>44378</v>
      </c>
      <c r="K63" s="655">
        <f t="shared" si="18"/>
        <v>44287</v>
      </c>
      <c r="L63" s="655">
        <f t="shared" si="18"/>
        <v>44197</v>
      </c>
      <c r="M63" s="655">
        <f t="shared" si="18"/>
        <v>44105</v>
      </c>
      <c r="N63" s="655">
        <f t="shared" si="18"/>
        <v>44013</v>
      </c>
      <c r="O63" s="655">
        <f t="shared" si="18"/>
        <v>43922</v>
      </c>
      <c r="P63" s="2484"/>
      <c r="Q63" s="2484"/>
      <c r="R63" s="2484"/>
      <c r="S63" s="2484"/>
      <c r="T63" s="2484"/>
      <c r="U63" s="2484"/>
      <c r="V63" s="2484"/>
      <c r="W63" s="2484"/>
      <c r="X63" s="2484"/>
      <c r="Y63" s="2484"/>
      <c r="Z63" s="2484"/>
      <c r="AA63" s="2484"/>
      <c r="AB63" s="2484"/>
      <c r="AC63" s="2484"/>
      <c r="AD63" s="2484"/>
      <c r="AE63" s="2484"/>
    </row>
    <row r="64" spans="1:31" ht="21.75" thickBot="1">
      <c r="A64" s="657" t="s">
        <v>1796</v>
      </c>
      <c r="B64" s="384"/>
      <c r="C64" s="658"/>
      <c r="D64" s="658"/>
      <c r="E64" s="658"/>
      <c r="F64" s="659"/>
      <c r="G64" s="659"/>
      <c r="H64" s="658"/>
      <c r="I64" s="658"/>
      <c r="J64" s="658"/>
      <c r="K64" s="660"/>
      <c r="L64" s="661"/>
      <c r="M64" s="658"/>
      <c r="N64" s="658"/>
      <c r="O64" s="885"/>
      <c r="P64" s="2534"/>
      <c r="Q64" s="2505"/>
      <c r="R64" s="2484"/>
      <c r="S64" s="2484"/>
      <c r="T64" s="2484"/>
      <c r="U64" s="2484"/>
      <c r="V64" s="2484"/>
      <c r="W64" s="2484"/>
      <c r="X64" s="2484"/>
      <c r="Y64" s="2484"/>
      <c r="Z64" s="2484"/>
      <c r="AA64" s="2484"/>
      <c r="AB64" s="2484"/>
      <c r="AC64" s="2484"/>
      <c r="AD64" s="2484"/>
      <c r="AE64" s="2484"/>
    </row>
    <row r="65" spans="1:31" s="441" customFormat="1" ht="15">
      <c r="A65" s="1629" t="s">
        <v>1902</v>
      </c>
      <c r="B65" s="1045"/>
      <c r="C65" s="1100" t="str">
        <f>YEAR(C63)&amp;"-"&amp;ROUNDUP(MONTH(C63)/3,0)</f>
        <v>2023-2</v>
      </c>
      <c r="D65" s="1100" t="str">
        <f t="shared" ref="D65:O65" si="19">YEAR(D63)&amp;"-"&amp;ROUNDUP(MONTH(D63)/3,0)</f>
        <v>2023-1</v>
      </c>
      <c r="E65" s="1100" t="str">
        <f t="shared" si="19"/>
        <v>2022-4</v>
      </c>
      <c r="F65" s="1100" t="str">
        <f t="shared" si="19"/>
        <v>2022-3</v>
      </c>
      <c r="G65" s="1100" t="str">
        <f t="shared" si="19"/>
        <v>2022-2</v>
      </c>
      <c r="H65" s="1100" t="str">
        <f t="shared" si="19"/>
        <v>2022-1</v>
      </c>
      <c r="I65" s="1100" t="str">
        <f t="shared" si="19"/>
        <v>2021-4</v>
      </c>
      <c r="J65" s="1100" t="str">
        <f t="shared" si="19"/>
        <v>2021-3</v>
      </c>
      <c r="K65" s="1100" t="str">
        <f t="shared" si="19"/>
        <v>2021-2</v>
      </c>
      <c r="L65" s="1100" t="str">
        <f t="shared" si="19"/>
        <v>2021-1</v>
      </c>
      <c r="M65" s="1100" t="str">
        <f t="shared" si="19"/>
        <v>2020-4</v>
      </c>
      <c r="N65" s="1100" t="str">
        <f t="shared" si="19"/>
        <v>2020-3</v>
      </c>
      <c r="O65" s="1100" t="str">
        <f t="shared" si="19"/>
        <v>2020-2</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40" t="s">
        <v>1922</v>
      </c>
      <c r="B66" s="279" t="str">
        <f>"北京市平均增长率"&amp;TEXT(基准地价修正!P28,"0.00%")</f>
        <v>北京市平均增长率0.00%</v>
      </c>
      <c r="C66" s="529">
        <v>100</v>
      </c>
      <c r="D66" s="6"/>
      <c r="E66" s="6"/>
      <c r="F66" s="6"/>
      <c r="G66" s="6"/>
      <c r="H66" s="6"/>
      <c r="I66" s="6"/>
      <c r="J66" s="6"/>
      <c r="K66" s="6"/>
      <c r="L66" s="6"/>
      <c r="M66" s="1065"/>
      <c r="N66" s="1065"/>
      <c r="O66" s="1098"/>
      <c r="P66" s="2505"/>
      <c r="Q66" s="2436"/>
      <c r="R66" s="2436"/>
      <c r="S66" s="2436"/>
      <c r="T66" s="2436"/>
      <c r="U66" s="2436"/>
      <c r="V66" s="2436"/>
      <c r="W66" s="2436"/>
      <c r="X66" s="2436"/>
      <c r="Y66" s="2436"/>
      <c r="Z66" s="2436"/>
      <c r="AA66" s="2436"/>
      <c r="AB66" s="2436"/>
      <c r="AC66" s="2436"/>
      <c r="AD66" s="2436"/>
      <c r="AE66" s="2436"/>
    </row>
    <row r="67" spans="1:31" s="102" customFormat="1" ht="15.75" thickBot="1">
      <c r="A67" s="448" t="s">
        <v>1714</v>
      </c>
      <c r="B67" s="449"/>
      <c r="C67" s="450"/>
      <c r="D67" s="451"/>
      <c r="E67" s="451"/>
      <c r="F67" s="451"/>
      <c r="G67" s="451"/>
      <c r="H67" s="451"/>
      <c r="I67" s="451"/>
      <c r="J67" s="451"/>
      <c r="K67" s="451"/>
      <c r="L67" s="451"/>
      <c r="M67" s="452"/>
      <c r="N67" s="452"/>
      <c r="O67" s="453"/>
      <c r="P67" s="2505"/>
      <c r="Q67" s="2505"/>
      <c r="R67" s="2436"/>
      <c r="S67" s="2436"/>
      <c r="T67" s="2436"/>
      <c r="U67" s="2436"/>
      <c r="V67" s="2436"/>
      <c r="W67" s="2436"/>
      <c r="X67" s="2436"/>
      <c r="Y67" s="2436"/>
      <c r="Z67" s="2436"/>
      <c r="AA67" s="2436"/>
      <c r="AB67" s="2436"/>
      <c r="AC67" s="2436"/>
      <c r="AD67" s="2436"/>
      <c r="AE67" s="2436"/>
    </row>
    <row r="68" spans="1:31" s="102" customFormat="1" ht="15">
      <c r="A68" s="454" t="s">
        <v>1679</v>
      </c>
      <c r="B68" s="443"/>
      <c r="C68" s="455" t="s">
        <v>1774</v>
      </c>
      <c r="D68" s="31"/>
      <c r="E68" s="31"/>
      <c r="F68" s="31"/>
      <c r="G68" s="31"/>
      <c r="H68" s="31"/>
      <c r="I68" s="31"/>
      <c r="J68" s="31"/>
      <c r="K68" s="31"/>
      <c r="L68" s="456"/>
      <c r="M68" s="457"/>
      <c r="N68" s="2517"/>
      <c r="O68" s="2517"/>
      <c r="P68" s="2541"/>
      <c r="Q68" s="2505"/>
      <c r="R68" s="2436"/>
      <c r="S68" s="2436"/>
      <c r="T68" s="2436"/>
      <c r="U68" s="2436"/>
      <c r="V68" s="2436"/>
      <c r="W68" s="2436"/>
      <c r="X68" s="2436"/>
      <c r="Y68" s="2436"/>
      <c r="Z68" s="2436"/>
      <c r="AA68" s="2436"/>
      <c r="AB68" s="2436"/>
      <c r="AC68" s="2436"/>
      <c r="AD68" s="2436"/>
      <c r="AE68" s="2436"/>
    </row>
    <row r="69" spans="1:31" s="102" customFormat="1" ht="15.75" thickBot="1">
      <c r="A69" s="454"/>
      <c r="B69" s="443"/>
      <c r="C69" s="562">
        <v>100</v>
      </c>
      <c r="D69" s="445"/>
      <c r="E69" s="445"/>
      <c r="F69" s="445"/>
      <c r="G69" s="445"/>
      <c r="H69" s="445"/>
      <c r="I69" s="445"/>
      <c r="J69" s="445"/>
      <c r="K69" s="445"/>
      <c r="L69" s="445"/>
      <c r="M69" s="447"/>
      <c r="N69" s="2517"/>
      <c r="O69" s="2517"/>
      <c r="P69" s="2505"/>
      <c r="Q69" s="2505"/>
      <c r="R69" s="2436"/>
      <c r="S69" s="2436"/>
      <c r="T69" s="2436"/>
      <c r="U69" s="2436"/>
      <c r="V69" s="2436"/>
      <c r="W69" s="2436"/>
      <c r="X69" s="2436"/>
      <c r="Y69" s="2436"/>
      <c r="Z69" s="2436"/>
      <c r="AA69" s="2436"/>
      <c r="AB69" s="2436"/>
      <c r="AC69" s="2436"/>
      <c r="AD69" s="2436"/>
      <c r="AE69" s="2436"/>
    </row>
    <row r="70" spans="1:31">
      <c r="A70" s="378" t="s">
        <v>1717</v>
      </c>
      <c r="B70" s="459" t="s">
        <v>1683</v>
      </c>
      <c r="C70" s="461"/>
      <c r="D70" s="461"/>
      <c r="E70" s="461"/>
      <c r="F70" s="461"/>
      <c r="G70" s="461"/>
      <c r="H70" s="461"/>
      <c r="I70" s="461"/>
      <c r="J70" s="461"/>
      <c r="K70" s="462"/>
      <c r="L70" s="463"/>
      <c r="M70" s="464"/>
      <c r="N70" s="2518"/>
      <c r="O70" s="2518"/>
      <c r="P70" s="2517"/>
      <c r="Q70" s="2505"/>
      <c r="R70" s="2484"/>
      <c r="S70" s="2484"/>
      <c r="T70" s="2484"/>
      <c r="U70" s="2484"/>
      <c r="V70" s="2484"/>
      <c r="W70" s="2484"/>
      <c r="X70" s="2484"/>
      <c r="Y70" s="2484"/>
      <c r="Z70" s="2484"/>
      <c r="AA70" s="2484"/>
      <c r="AB70" s="2484"/>
      <c r="AC70" s="2484"/>
      <c r="AD70" s="2484"/>
      <c r="AE70" s="2484"/>
    </row>
    <row r="71" spans="1:31" ht="15.75" thickBot="1">
      <c r="A71" s="366"/>
      <c r="B71" s="465"/>
      <c r="C71" s="466"/>
      <c r="D71" s="466"/>
      <c r="E71" s="466"/>
      <c r="F71" s="466"/>
      <c r="G71" s="466"/>
      <c r="H71" s="466"/>
      <c r="I71" s="466"/>
      <c r="J71" s="466"/>
      <c r="K71" s="466"/>
      <c r="L71" s="466"/>
      <c r="M71" s="467"/>
      <c r="N71" s="2519"/>
      <c r="O71" s="2519"/>
      <c r="P71" s="2517"/>
      <c r="Q71" s="2505"/>
      <c r="R71" s="2484"/>
      <c r="S71" s="2484"/>
      <c r="T71" s="2484"/>
      <c r="U71" s="2484"/>
      <c r="V71" s="2484"/>
      <c r="W71" s="2484"/>
      <c r="X71" s="2484"/>
      <c r="Y71" s="2484"/>
      <c r="Z71" s="2484"/>
      <c r="AA71" s="2484"/>
      <c r="AB71" s="2484"/>
      <c r="AC71" s="2484"/>
      <c r="AD71" s="2484"/>
      <c r="AE71" s="2484"/>
    </row>
    <row r="72" spans="1:31" ht="27.75" thickTop="1">
      <c r="A72" s="366"/>
      <c r="B72" s="468" t="s">
        <v>1686</v>
      </c>
      <c r="C72" s="469"/>
      <c r="D72" s="469"/>
      <c r="E72" s="469"/>
      <c r="F72" s="469"/>
      <c r="G72" s="469"/>
      <c r="H72" s="469"/>
      <c r="I72" s="469"/>
      <c r="J72" s="469"/>
      <c r="K72" s="470"/>
      <c r="L72" s="471"/>
      <c r="M72" s="472"/>
      <c r="N72" s="2518"/>
      <c r="O72" s="2518"/>
      <c r="P72" s="2517"/>
      <c r="Q72" s="2505"/>
      <c r="R72" s="2484"/>
      <c r="S72" s="2484"/>
      <c r="T72" s="2484"/>
      <c r="U72" s="2484"/>
      <c r="V72" s="2484"/>
      <c r="W72" s="2484"/>
      <c r="X72" s="2484"/>
      <c r="Y72" s="2484"/>
      <c r="Z72" s="2484"/>
      <c r="AA72" s="2484"/>
      <c r="AB72" s="2484"/>
      <c r="AC72" s="2484"/>
      <c r="AD72" s="2484"/>
      <c r="AE72" s="2484"/>
    </row>
    <row r="73" spans="1:31" ht="15.75" thickBot="1">
      <c r="A73" s="366"/>
      <c r="B73" s="473"/>
      <c r="C73" s="474"/>
      <c r="D73" s="474"/>
      <c r="E73" s="474"/>
      <c r="F73" s="474"/>
      <c r="G73" s="474"/>
      <c r="H73" s="474"/>
      <c r="I73" s="474"/>
      <c r="J73" s="474"/>
      <c r="K73" s="474"/>
      <c r="L73" s="474"/>
      <c r="M73" s="475"/>
      <c r="N73" s="2519"/>
      <c r="O73" s="2519"/>
      <c r="P73" s="2517"/>
      <c r="Q73" s="2505"/>
      <c r="R73" s="2484"/>
      <c r="S73" s="2484"/>
      <c r="T73" s="2484"/>
      <c r="U73" s="2484"/>
      <c r="V73" s="2484"/>
      <c r="W73" s="2484"/>
      <c r="X73" s="2484"/>
      <c r="Y73" s="2484"/>
      <c r="Z73" s="2484"/>
      <c r="AA73" s="2484"/>
      <c r="AB73" s="2484"/>
      <c r="AC73" s="2484"/>
      <c r="AD73" s="2484"/>
      <c r="AE73" s="2484"/>
    </row>
    <row r="74" spans="1:31" ht="15.75" thickTop="1">
      <c r="A74" s="366"/>
      <c r="B74" s="476" t="s">
        <v>1687</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ht="15">
      <c r="A75" s="366"/>
      <c r="B75" s="478"/>
      <c r="C75" s="479"/>
      <c r="D75" s="479"/>
      <c r="E75" s="479"/>
      <c r="F75" s="479"/>
      <c r="G75" s="479"/>
      <c r="H75" s="479"/>
      <c r="I75" s="479"/>
      <c r="J75" s="479"/>
      <c r="K75" s="480"/>
      <c r="L75" s="481"/>
      <c r="M75" s="482"/>
      <c r="N75" s="2518"/>
      <c r="O75" s="2518"/>
      <c r="P75" s="2517"/>
      <c r="Q75" s="2505"/>
      <c r="R75" s="2484"/>
      <c r="S75" s="2484"/>
      <c r="T75" s="2484"/>
      <c r="U75" s="2484"/>
      <c r="V75" s="2484"/>
      <c r="W75" s="2484"/>
      <c r="X75" s="2484"/>
      <c r="Y75" s="2484"/>
      <c r="Z75" s="2484"/>
      <c r="AA75" s="2484"/>
      <c r="AB75" s="2484"/>
      <c r="AC75" s="2484"/>
      <c r="AD75" s="2484"/>
      <c r="AE75" s="2484"/>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7" customFormat="1" ht="15.75" thickTop="1">
      <c r="A77" s="483"/>
      <c r="B77" s="468">
        <f>B12</f>
        <v>111</v>
      </c>
      <c r="C77" s="484"/>
      <c r="D77" s="484"/>
      <c r="E77" s="484"/>
      <c r="F77" s="484"/>
      <c r="G77" s="484"/>
      <c r="H77" s="485"/>
      <c r="I77" s="485"/>
      <c r="J77" s="485"/>
      <c r="K77" s="485"/>
      <c r="L77" s="486"/>
      <c r="M77" s="487"/>
      <c r="N77" s="2520"/>
      <c r="O77" s="2520"/>
      <c r="P77" s="2520"/>
      <c r="Q77" s="2512"/>
      <c r="R77" s="2490"/>
      <c r="S77" s="2490"/>
      <c r="T77" s="2490"/>
      <c r="U77" s="2490"/>
      <c r="V77" s="2490"/>
      <c r="W77" s="2490"/>
      <c r="X77" s="2490"/>
      <c r="Y77" s="2490"/>
      <c r="Z77" s="2490"/>
      <c r="AA77" s="2490"/>
      <c r="AB77" s="2490"/>
      <c r="AC77" s="2490"/>
      <c r="AD77" s="2490"/>
      <c r="AE77" s="2490"/>
    </row>
    <row r="78" spans="1:31" s="407" customFormat="1" ht="15.75" thickBot="1">
      <c r="A78" s="483"/>
      <c r="B78" s="473"/>
      <c r="C78" s="490"/>
      <c r="D78" s="466"/>
      <c r="E78" s="466"/>
      <c r="F78" s="466"/>
      <c r="G78" s="466"/>
      <c r="H78" s="466"/>
      <c r="I78" s="466"/>
      <c r="J78" s="466"/>
      <c r="K78" s="466"/>
      <c r="L78" s="466"/>
      <c r="M78" s="467"/>
      <c r="N78" s="2519"/>
      <c r="O78" s="2519"/>
      <c r="P78" s="2520"/>
      <c r="Q78" s="2512"/>
      <c r="R78" s="2490"/>
      <c r="S78" s="2490"/>
      <c r="T78" s="2490"/>
      <c r="U78" s="2490"/>
      <c r="V78" s="2490"/>
      <c r="W78" s="2490"/>
      <c r="X78" s="2490"/>
      <c r="Y78" s="2490"/>
      <c r="Z78" s="2490"/>
      <c r="AA78" s="2490"/>
      <c r="AB78" s="2490"/>
      <c r="AC78" s="2490"/>
      <c r="AD78" s="2490"/>
      <c r="AE78" s="2490"/>
    </row>
    <row r="79" spans="1:31" s="407" customFormat="1" ht="15.75" thickTop="1">
      <c r="A79" s="483"/>
      <c r="B79" s="468">
        <f>B13</f>
        <v>111</v>
      </c>
      <c r="C79" s="484"/>
      <c r="D79" s="484"/>
      <c r="E79" s="484"/>
      <c r="F79" s="484"/>
      <c r="G79" s="484"/>
      <c r="H79" s="485"/>
      <c r="I79" s="485"/>
      <c r="J79" s="485"/>
      <c r="K79" s="485"/>
      <c r="L79" s="486"/>
      <c r="M79" s="487"/>
      <c r="N79" s="2520"/>
      <c r="O79" s="2520"/>
      <c r="P79" s="2490"/>
      <c r="Q79" s="2514"/>
      <c r="R79" s="2490"/>
      <c r="S79" s="2490"/>
      <c r="T79" s="2490"/>
      <c r="U79" s="2490"/>
      <c r="V79" s="2490"/>
      <c r="W79" s="2490"/>
      <c r="X79" s="2490"/>
      <c r="Y79" s="2490"/>
      <c r="Z79" s="2490"/>
      <c r="AA79" s="2490"/>
      <c r="AB79" s="2490"/>
      <c r="AC79" s="2490"/>
      <c r="AD79" s="2490"/>
      <c r="AE79" s="2490"/>
    </row>
    <row r="80" spans="1:31" s="407" customFormat="1" ht="15.75" thickBot="1">
      <c r="A80" s="483"/>
      <c r="B80" s="473"/>
      <c r="C80" s="490"/>
      <c r="D80" s="490"/>
      <c r="E80" s="490"/>
      <c r="F80" s="490"/>
      <c r="G80" s="490"/>
      <c r="H80" s="492"/>
      <c r="I80" s="492"/>
      <c r="J80" s="492"/>
      <c r="K80" s="492"/>
      <c r="L80" s="492"/>
      <c r="M80" s="493"/>
      <c r="N80" s="2520"/>
      <c r="O80" s="2520"/>
      <c r="P80" s="2520"/>
      <c r="Q80" s="2512"/>
      <c r="R80" s="2490"/>
      <c r="S80" s="2490"/>
      <c r="T80" s="2490"/>
      <c r="U80" s="2490"/>
      <c r="V80" s="2490"/>
      <c r="W80" s="2490"/>
      <c r="X80" s="2490"/>
      <c r="Y80" s="2490"/>
      <c r="Z80" s="2490"/>
      <c r="AA80" s="2490"/>
      <c r="AB80" s="2490"/>
      <c r="AC80" s="2490"/>
      <c r="AD80" s="2490"/>
      <c r="AE80" s="2490"/>
    </row>
    <row r="81" spans="1:31" s="407" customFormat="1" ht="15.75" thickTop="1">
      <c r="A81" s="483"/>
      <c r="B81" s="476">
        <f>B14</f>
        <v>111</v>
      </c>
      <c r="C81" s="31"/>
      <c r="D81" s="31"/>
      <c r="E81" s="31"/>
      <c r="F81" s="31"/>
      <c r="G81" s="31"/>
      <c r="H81" s="494"/>
      <c r="I81" s="494"/>
      <c r="J81" s="494"/>
      <c r="K81" s="494"/>
      <c r="L81" s="495"/>
      <c r="M81" s="496"/>
      <c r="N81" s="2520"/>
      <c r="O81" s="2520"/>
      <c r="P81" s="2545"/>
      <c r="Q81" s="2512"/>
      <c r="R81" s="2490"/>
      <c r="S81" s="2490"/>
      <c r="T81" s="2490"/>
      <c r="U81" s="2490"/>
      <c r="V81" s="2490"/>
      <c r="W81" s="2490"/>
      <c r="X81" s="2490"/>
      <c r="Y81" s="2490"/>
      <c r="Z81" s="2490"/>
      <c r="AA81" s="2490"/>
      <c r="AB81" s="2490"/>
      <c r="AC81" s="2490"/>
      <c r="AD81" s="2490"/>
      <c r="AE81" s="2490"/>
    </row>
    <row r="82" spans="1:31" s="407" customFormat="1" ht="15.75" thickBot="1">
      <c r="A82" s="498"/>
      <c r="B82" s="499"/>
      <c r="C82" s="500"/>
      <c r="D82" s="500"/>
      <c r="E82" s="500"/>
      <c r="F82" s="500"/>
      <c r="G82" s="500"/>
      <c r="H82" s="501"/>
      <c r="I82" s="501"/>
      <c r="J82" s="501"/>
      <c r="K82" s="501"/>
      <c r="L82" s="501"/>
      <c r="M82" s="502"/>
      <c r="N82" s="2520"/>
      <c r="O82" s="2520"/>
      <c r="P82" s="2520"/>
      <c r="Q82" s="2512"/>
      <c r="R82" s="2490"/>
      <c r="S82" s="2490"/>
      <c r="T82" s="2490"/>
      <c r="U82" s="2490"/>
      <c r="V82" s="2490"/>
      <c r="W82" s="2490"/>
      <c r="X82" s="2490"/>
      <c r="Y82" s="2490"/>
      <c r="Z82" s="2490"/>
      <c r="AA82" s="2490"/>
      <c r="AB82" s="2490"/>
      <c r="AC82" s="2490"/>
      <c r="AD82" s="2490"/>
      <c r="AE82" s="2490"/>
    </row>
    <row r="83" spans="1:31">
      <c r="A83" s="378" t="s">
        <v>1688</v>
      </c>
      <c r="B83" s="459" t="s">
        <v>1827</v>
      </c>
      <c r="C83" s="503" t="s">
        <v>1719</v>
      </c>
      <c r="D83" s="503" t="s">
        <v>1720</v>
      </c>
      <c r="E83" s="503" t="s">
        <v>1721</v>
      </c>
      <c r="F83" s="503" t="s">
        <v>1722</v>
      </c>
      <c r="G83" s="503" t="s">
        <v>1723</v>
      </c>
      <c r="H83" s="460"/>
      <c r="I83" s="460"/>
      <c r="J83" s="460"/>
      <c r="K83" s="504"/>
      <c r="L83" s="505"/>
      <c r="M83" s="506"/>
      <c r="N83" s="2518"/>
      <c r="O83" s="2518"/>
      <c r="P83" s="2542"/>
      <c r="Q83" s="2505"/>
      <c r="R83" s="2484"/>
      <c r="S83" s="2484"/>
      <c r="T83" s="2484"/>
      <c r="U83" s="2484"/>
      <c r="V83" s="2484"/>
      <c r="W83" s="2484"/>
      <c r="X83" s="2484"/>
      <c r="Y83" s="2484"/>
      <c r="Z83" s="2484"/>
      <c r="AA83" s="2484"/>
      <c r="AB83" s="2484"/>
      <c r="AC83" s="2484"/>
      <c r="AD83" s="2484"/>
      <c r="AE83" s="2484"/>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9"/>
      <c r="O84" s="2519"/>
      <c r="P84" s="2517"/>
      <c r="Q84" s="2505"/>
      <c r="R84" s="2484"/>
      <c r="S84" s="2484"/>
      <c r="T84" s="2484"/>
      <c r="U84" s="2484"/>
      <c r="V84" s="2484"/>
      <c r="W84" s="2484"/>
      <c r="X84" s="2484"/>
      <c r="Y84" s="2484"/>
      <c r="Z84" s="2484"/>
      <c r="AA84" s="2484"/>
      <c r="AB84" s="2484"/>
      <c r="AC84" s="2484"/>
      <c r="AD84" s="2484"/>
      <c r="AE84" s="2484"/>
    </row>
    <row r="85" spans="1:31" ht="15.75" thickTop="1">
      <c r="A85" s="366"/>
      <c r="B85" s="468" t="s">
        <v>1724</v>
      </c>
      <c r="C85" s="508" t="s">
        <v>1719</v>
      </c>
      <c r="D85" s="508" t="s">
        <v>1720</v>
      </c>
      <c r="E85" s="508" t="s">
        <v>1721</v>
      </c>
      <c r="F85" s="508" t="s">
        <v>1722</v>
      </c>
      <c r="G85" s="508" t="s">
        <v>1723</v>
      </c>
      <c r="H85" s="469"/>
      <c r="I85" s="469"/>
      <c r="J85" s="469"/>
      <c r="K85" s="470"/>
      <c r="L85" s="471"/>
      <c r="M85" s="472"/>
      <c r="N85" s="2518"/>
      <c r="O85" s="2518"/>
      <c r="P85" s="2517"/>
      <c r="Q85" s="2505"/>
      <c r="R85" s="2484"/>
      <c r="S85" s="2484"/>
      <c r="T85" s="2484"/>
      <c r="U85" s="2484"/>
      <c r="V85" s="2484"/>
      <c r="W85" s="2484"/>
      <c r="X85" s="2484"/>
      <c r="Y85" s="2484"/>
      <c r="Z85" s="2484"/>
      <c r="AA85" s="2484"/>
      <c r="AB85" s="2484"/>
      <c r="AC85" s="2484"/>
      <c r="AD85" s="2484"/>
      <c r="AE85" s="2484"/>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15.75" thickTop="1">
      <c r="A87" s="369"/>
      <c r="B87" s="468" t="s">
        <v>1905</v>
      </c>
      <c r="C87" s="503" t="s">
        <v>1719</v>
      </c>
      <c r="D87" s="503" t="s">
        <v>1720</v>
      </c>
      <c r="E87" s="503" t="s">
        <v>1721</v>
      </c>
      <c r="F87" s="503" t="s">
        <v>1722</v>
      </c>
      <c r="G87" s="503" t="s">
        <v>1723</v>
      </c>
      <c r="H87" s="508"/>
      <c r="I87" s="508"/>
      <c r="J87" s="508"/>
      <c r="K87" s="508"/>
      <c r="L87" s="617"/>
      <c r="M87" s="546"/>
      <c r="N87" s="2517"/>
      <c r="O87" s="2517"/>
      <c r="P87" s="2517"/>
      <c r="Q87" s="2505"/>
      <c r="R87" s="2436"/>
      <c r="S87" s="2436"/>
      <c r="T87" s="2436"/>
      <c r="U87" s="2436"/>
      <c r="V87" s="2436"/>
      <c r="W87" s="2436"/>
      <c r="X87" s="2436"/>
      <c r="Y87" s="2436"/>
      <c r="Z87" s="2436"/>
      <c r="AA87" s="2436"/>
      <c r="AB87" s="2436"/>
      <c r="AC87" s="2436"/>
      <c r="AD87" s="2436"/>
      <c r="AE87" s="2436"/>
    </row>
    <row r="88" spans="1:31" s="102" customFormat="1" ht="15.75" thickBot="1">
      <c r="A88" s="369"/>
      <c r="B88" s="473"/>
      <c r="C88" s="511">
        <v>100</v>
      </c>
      <c r="D88" s="474">
        <f>C88-$K19</f>
        <v>100</v>
      </c>
      <c r="E88" s="474">
        <f>D88-$K19</f>
        <v>100</v>
      </c>
      <c r="F88" s="474">
        <f>E88-$K19</f>
        <v>100</v>
      </c>
      <c r="G88" s="474">
        <f>F88-$K19</f>
        <v>100</v>
      </c>
      <c r="H88" s="474"/>
      <c r="I88" s="474"/>
      <c r="J88" s="474"/>
      <c r="K88" s="474"/>
      <c r="L88" s="474"/>
      <c r="M88" s="475"/>
      <c r="N88" s="2519"/>
      <c r="O88" s="2519"/>
      <c r="P88" s="2517"/>
      <c r="Q88" s="2505"/>
      <c r="R88" s="2436"/>
      <c r="S88" s="2436"/>
      <c r="T88" s="2436"/>
      <c r="U88" s="2436"/>
      <c r="V88" s="2436"/>
      <c r="W88" s="2436"/>
      <c r="X88" s="2436"/>
      <c r="Y88" s="2436"/>
      <c r="Z88" s="2436"/>
      <c r="AA88" s="2436"/>
      <c r="AB88" s="2436"/>
      <c r="AC88" s="2436"/>
      <c r="AD88" s="2436"/>
      <c r="AE88" s="2436"/>
    </row>
    <row r="89" spans="1:31" s="102" customFormat="1" ht="27.75" thickTop="1">
      <c r="A89" s="369"/>
      <c r="B89" s="468" t="s">
        <v>1906</v>
      </c>
      <c r="C89" s="503" t="s">
        <v>1719</v>
      </c>
      <c r="D89" s="503" t="s">
        <v>1720</v>
      </c>
      <c r="E89" s="503" t="s">
        <v>1721</v>
      </c>
      <c r="F89" s="503" t="s">
        <v>1722</v>
      </c>
      <c r="G89" s="503" t="s">
        <v>1723</v>
      </c>
      <c r="H89" s="508"/>
      <c r="I89" s="508"/>
      <c r="J89" s="508"/>
      <c r="K89" s="508"/>
      <c r="L89" s="508"/>
      <c r="M89" s="546"/>
      <c r="N89" s="2517"/>
      <c r="O89" s="2517"/>
      <c r="P89" s="2517"/>
      <c r="Q89" s="2505"/>
      <c r="R89" s="2436"/>
      <c r="S89" s="2436"/>
      <c r="T89" s="2436"/>
      <c r="U89" s="2436"/>
      <c r="V89" s="2436"/>
      <c r="W89" s="2436"/>
      <c r="X89" s="2436"/>
      <c r="Y89" s="2436"/>
      <c r="Z89" s="2436"/>
      <c r="AA89" s="2436"/>
      <c r="AB89" s="2436"/>
      <c r="AC89" s="2436"/>
      <c r="AD89" s="2436"/>
      <c r="AE89" s="2436"/>
    </row>
    <row r="90" spans="1:31" s="102" customFormat="1" ht="15.75" thickBot="1">
      <c r="A90" s="369"/>
      <c r="B90" s="473"/>
      <c r="C90" s="474">
        <v>100</v>
      </c>
      <c r="D90" s="474">
        <f>C90-$K21</f>
        <v>100</v>
      </c>
      <c r="E90" s="474">
        <f>D90-$K21</f>
        <v>100</v>
      </c>
      <c r="F90" s="474">
        <f>E90-$K21</f>
        <v>100</v>
      </c>
      <c r="G90" s="474">
        <f>F90-$K21</f>
        <v>100</v>
      </c>
      <c r="H90" s="474"/>
      <c r="I90" s="474"/>
      <c r="J90" s="474"/>
      <c r="K90" s="474"/>
      <c r="L90" s="474"/>
      <c r="M90" s="475"/>
      <c r="N90" s="2519"/>
      <c r="O90" s="2519"/>
      <c r="P90" s="2517"/>
      <c r="Q90" s="2505"/>
      <c r="R90" s="2436"/>
      <c r="S90" s="2436"/>
      <c r="T90" s="2436"/>
      <c r="U90" s="2436"/>
      <c r="V90" s="2436"/>
      <c r="W90" s="2436"/>
      <c r="X90" s="2436"/>
      <c r="Y90" s="2436"/>
      <c r="Z90" s="2436"/>
      <c r="AA90" s="2436"/>
      <c r="AB90" s="2436"/>
      <c r="AC90" s="2436"/>
      <c r="AD90" s="2436"/>
      <c r="AE90" s="2436"/>
    </row>
    <row r="91" spans="1:31" s="407" customFormat="1" ht="15.75" thickTop="1">
      <c r="A91" s="483"/>
      <c r="B91" s="468" t="s">
        <v>1776</v>
      </c>
      <c r="C91" s="503" t="s">
        <v>1719</v>
      </c>
      <c r="D91" s="503" t="s">
        <v>1720</v>
      </c>
      <c r="E91" s="503" t="s">
        <v>1721</v>
      </c>
      <c r="F91" s="503" t="s">
        <v>1722</v>
      </c>
      <c r="G91" s="503" t="s">
        <v>1723</v>
      </c>
      <c r="H91" s="526"/>
      <c r="I91" s="526"/>
      <c r="J91" s="526"/>
      <c r="K91" s="526"/>
      <c r="L91" s="527"/>
      <c r="M91" s="528"/>
      <c r="N91" s="2520"/>
      <c r="O91" s="2520"/>
      <c r="P91" s="2520"/>
      <c r="Q91" s="2512"/>
      <c r="R91" s="2490"/>
      <c r="S91" s="2490"/>
      <c r="T91" s="2490"/>
      <c r="U91" s="2490"/>
      <c r="V91" s="2490"/>
      <c r="W91" s="2490"/>
      <c r="X91" s="2490"/>
      <c r="Y91" s="2490"/>
      <c r="Z91" s="2490"/>
      <c r="AA91" s="2490"/>
      <c r="AB91" s="2490"/>
      <c r="AC91" s="2490"/>
      <c r="AD91" s="2490"/>
      <c r="AE91" s="2490"/>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0"/>
      <c r="O92" s="2520"/>
      <c r="P92" s="2520"/>
      <c r="Q92" s="2512"/>
      <c r="R92" s="2490"/>
      <c r="S92" s="2490"/>
      <c r="T92" s="2490"/>
      <c r="U92" s="2490"/>
      <c r="V92" s="2490"/>
      <c r="W92" s="2490"/>
      <c r="X92" s="2490"/>
      <c r="Y92" s="2490"/>
      <c r="Z92" s="2490"/>
      <c r="AA92" s="2490"/>
      <c r="AB92" s="2490"/>
      <c r="AC92" s="2490"/>
      <c r="AD92" s="2490"/>
      <c r="AE92" s="2490"/>
    </row>
    <row r="93" spans="1:31" s="407" customFormat="1" ht="15.75" thickTop="1">
      <c r="A93" s="483"/>
      <c r="B93" s="476" t="s">
        <v>1923</v>
      </c>
      <c r="C93" s="580" t="s">
        <v>1797</v>
      </c>
      <c r="D93" s="580" t="s">
        <v>1798</v>
      </c>
      <c r="E93" s="580" t="s">
        <v>1799</v>
      </c>
      <c r="F93" s="580" t="s">
        <v>1800</v>
      </c>
      <c r="G93" s="580" t="s">
        <v>1801</v>
      </c>
      <c r="H93" s="526"/>
      <c r="I93" s="526"/>
      <c r="J93" s="526"/>
      <c r="K93" s="526"/>
      <c r="L93" s="526"/>
      <c r="M93" s="528"/>
      <c r="N93" s="2520"/>
      <c r="O93" s="2520"/>
      <c r="P93" s="2520"/>
      <c r="Q93" s="2512"/>
      <c r="R93" s="2490"/>
      <c r="S93" s="2490"/>
      <c r="T93" s="2490"/>
      <c r="U93" s="2490"/>
      <c r="V93" s="2490"/>
      <c r="W93" s="2490"/>
      <c r="X93" s="2490"/>
      <c r="Y93" s="2490"/>
      <c r="Z93" s="2490"/>
      <c r="AA93" s="2490"/>
      <c r="AB93" s="2490"/>
      <c r="AC93" s="2490"/>
      <c r="AD93" s="2490"/>
      <c r="AE93" s="2490"/>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20"/>
      <c r="O94" s="2520"/>
      <c r="P94" s="2520"/>
      <c r="Q94" s="2512"/>
      <c r="R94" s="2490"/>
      <c r="S94" s="2490"/>
      <c r="T94" s="2490"/>
      <c r="U94" s="2490"/>
      <c r="V94" s="2490"/>
      <c r="W94" s="2490"/>
      <c r="X94" s="2490"/>
      <c r="Y94" s="2490"/>
      <c r="Z94" s="2490"/>
      <c r="AA94" s="2490"/>
      <c r="AB94" s="2490"/>
      <c r="AC94" s="2490"/>
      <c r="AD94" s="2490"/>
      <c r="AE94" s="2490"/>
    </row>
    <row r="95" spans="1:31" ht="15.75" thickTop="1">
      <c r="A95" s="366"/>
      <c r="B95" s="468" t="str">
        <f>B27</f>
        <v>临街状况</v>
      </c>
      <c r="C95" s="469" t="s">
        <v>1907</v>
      </c>
      <c r="D95" s="469" t="s">
        <v>1908</v>
      </c>
      <c r="E95" s="469" t="s">
        <v>1909</v>
      </c>
      <c r="F95" s="469" t="s">
        <v>1910</v>
      </c>
      <c r="G95" s="469"/>
      <c r="H95" s="469"/>
      <c r="I95" s="469"/>
      <c r="J95" s="469"/>
      <c r="K95" s="470"/>
      <c r="L95" s="471"/>
      <c r="M95" s="472"/>
      <c r="N95" s="2518"/>
      <c r="O95" s="2518"/>
      <c r="P95" s="2517"/>
      <c r="Q95" s="2505"/>
      <c r="R95" s="2484"/>
      <c r="S95" s="2484"/>
      <c r="T95" s="2484"/>
      <c r="U95" s="2484"/>
      <c r="V95" s="2484"/>
      <c r="W95" s="2484"/>
      <c r="X95" s="2484"/>
      <c r="Y95" s="2484"/>
      <c r="Z95" s="2484"/>
      <c r="AA95" s="2484"/>
      <c r="AB95" s="2484"/>
      <c r="AC95" s="2484"/>
      <c r="AD95" s="2484"/>
      <c r="AE95" s="2484"/>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7.75" thickTop="1">
      <c r="A97" s="366"/>
      <c r="B97" s="468" t="s">
        <v>1813</v>
      </c>
      <c r="C97" s="484"/>
      <c r="D97" s="484"/>
      <c r="E97" s="484"/>
      <c r="F97" s="484"/>
      <c r="G97" s="484"/>
      <c r="H97" s="512"/>
      <c r="I97" s="512"/>
      <c r="J97" s="512"/>
      <c r="K97" s="513"/>
      <c r="L97" s="514"/>
      <c r="M97" s="515"/>
      <c r="N97" s="2518"/>
      <c r="O97" s="2518"/>
      <c r="P97" s="2517"/>
      <c r="Q97" s="2505"/>
      <c r="R97" s="2484"/>
      <c r="S97" s="2484"/>
      <c r="T97" s="2484"/>
      <c r="U97" s="2484"/>
      <c r="V97" s="2484"/>
      <c r="W97" s="2484"/>
      <c r="X97" s="2484"/>
      <c r="Y97" s="2484"/>
      <c r="Z97" s="2484"/>
      <c r="AA97" s="2484"/>
      <c r="AB97" s="2484"/>
      <c r="AC97" s="2484"/>
      <c r="AD97" s="2484"/>
      <c r="AE97" s="2484"/>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75" thickTop="1">
      <c r="A99" s="366"/>
      <c r="B99" s="468" t="s">
        <v>1871</v>
      </c>
      <c r="C99" s="512"/>
      <c r="D99" s="512"/>
      <c r="E99" s="512"/>
      <c r="F99" s="512"/>
      <c r="G99" s="512"/>
      <c r="H99" s="512"/>
      <c r="I99" s="512"/>
      <c r="J99" s="512"/>
      <c r="K99" s="513"/>
      <c r="L99" s="514"/>
      <c r="M99" s="515"/>
      <c r="N99" s="2518"/>
      <c r="O99" s="2518"/>
      <c r="P99" s="2517"/>
      <c r="Q99" s="2505"/>
      <c r="R99" s="2484"/>
      <c r="S99" s="2484"/>
      <c r="T99" s="2484"/>
      <c r="U99" s="2484"/>
      <c r="V99" s="2484"/>
      <c r="W99" s="2484"/>
      <c r="X99" s="2484"/>
      <c r="Y99" s="2484"/>
      <c r="Z99" s="2484"/>
      <c r="AA99" s="2484"/>
      <c r="AB99" s="2484"/>
      <c r="AC99" s="2484"/>
      <c r="AD99" s="2484"/>
      <c r="AE99" s="2484"/>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5.75" thickTop="1">
      <c r="A101" s="366"/>
      <c r="B101" s="476">
        <f>B31</f>
        <v>111</v>
      </c>
      <c r="C101" s="484"/>
      <c r="D101" s="484"/>
      <c r="E101" s="484"/>
      <c r="F101" s="484"/>
      <c r="G101" s="516"/>
      <c r="H101" s="516"/>
      <c r="I101" s="516"/>
      <c r="J101" s="516"/>
      <c r="K101" s="517"/>
      <c r="L101" s="518"/>
      <c r="M101" s="519"/>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5.75" thickBot="1">
      <c r="A102" s="366"/>
      <c r="B102" s="499"/>
      <c r="C102" s="490"/>
      <c r="D102" s="466"/>
      <c r="E102" s="466"/>
      <c r="F102" s="466"/>
      <c r="G102" s="520"/>
      <c r="H102" s="520"/>
      <c r="I102" s="520"/>
      <c r="J102" s="520"/>
      <c r="K102" s="520"/>
      <c r="L102" s="520"/>
      <c r="M102" s="521"/>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5" thickTop="1">
      <c r="A103" s="594"/>
      <c r="B103" s="468">
        <f>B32</f>
        <v>111</v>
      </c>
      <c r="C103" s="484"/>
      <c r="D103" s="484"/>
      <c r="E103" s="484"/>
      <c r="F103" s="484"/>
      <c r="G103" s="512"/>
      <c r="H103" s="512"/>
      <c r="I103" s="512"/>
      <c r="J103" s="512"/>
      <c r="K103" s="513"/>
      <c r="L103" s="514"/>
      <c r="M103" s="515"/>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5.75" thickBot="1">
      <c r="A104" s="366"/>
      <c r="B104" s="473"/>
      <c r="C104" s="490"/>
      <c r="D104" s="490"/>
      <c r="E104" s="490"/>
      <c r="F104" s="490"/>
      <c r="G104" s="466"/>
      <c r="H104" s="466"/>
      <c r="I104" s="466"/>
      <c r="J104" s="466"/>
      <c r="K104" s="466"/>
      <c r="L104" s="466"/>
      <c r="M104" s="467"/>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7" customFormat="1" ht="15" thickTop="1">
      <c r="A105" s="405"/>
      <c r="B105" s="522">
        <f>B33</f>
        <v>111</v>
      </c>
      <c r="C105" s="31"/>
      <c r="D105" s="31"/>
      <c r="E105" s="31"/>
      <c r="F105" s="31"/>
      <c r="G105" s="6"/>
      <c r="H105" s="6"/>
      <c r="I105" s="6"/>
      <c r="J105" s="523"/>
      <c r="K105" s="523"/>
      <c r="L105" s="524"/>
      <c r="M105" s="525"/>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7" customFormat="1" ht="15.75" thickBot="1">
      <c r="A106" s="483"/>
      <c r="B106" s="476"/>
      <c r="C106" s="500"/>
      <c r="D106" s="500"/>
      <c r="E106" s="500"/>
      <c r="F106" s="500"/>
      <c r="G106" s="596"/>
      <c r="H106" s="596"/>
      <c r="I106" s="596"/>
      <c r="J106" s="596"/>
      <c r="K106" s="596"/>
      <c r="L106" s="596"/>
      <c r="M106" s="618"/>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c r="A107" s="378" t="s">
        <v>1692</v>
      </c>
      <c r="B107" s="459" t="s">
        <v>1911</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ht="15">
      <c r="A108" s="366"/>
      <c r="B108" s="476"/>
      <c r="C108" s="6"/>
      <c r="D108" s="6"/>
      <c r="E108" s="6"/>
      <c r="F108" s="6"/>
      <c r="G108" s="6"/>
      <c r="H108" s="6"/>
      <c r="I108" s="6"/>
      <c r="J108" s="523"/>
      <c r="K108" s="523"/>
      <c r="L108" s="524"/>
      <c r="M108" s="525"/>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5.75" thickBot="1">
      <c r="A109" s="366"/>
      <c r="B109" s="473"/>
      <c r="C109" s="500"/>
      <c r="D109" s="520"/>
      <c r="E109" s="520"/>
      <c r="F109" s="520"/>
      <c r="G109" s="520"/>
      <c r="H109" s="520"/>
      <c r="I109" s="520"/>
      <c r="J109" s="520"/>
      <c r="K109" s="520"/>
      <c r="L109" s="520"/>
      <c r="M109" s="521"/>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8"/>
      <c r="B110" s="468" t="s">
        <v>1912</v>
      </c>
      <c r="C110" s="512"/>
      <c r="D110" s="512"/>
      <c r="E110" s="512"/>
      <c r="F110" s="512"/>
      <c r="G110" s="512"/>
      <c r="H110" s="512"/>
      <c r="I110" s="512"/>
      <c r="J110" s="512"/>
      <c r="K110" s="513"/>
      <c r="L110" s="514"/>
      <c r="M110" s="515"/>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7" customFormat="1" ht="15" thickTop="1">
      <c r="A112" s="405"/>
      <c r="B112" s="468" t="s">
        <v>1914</v>
      </c>
      <c r="C112" s="484"/>
      <c r="D112" s="484"/>
      <c r="E112" s="484"/>
      <c r="F112" s="484"/>
      <c r="G112" s="484"/>
      <c r="H112" s="512"/>
      <c r="I112" s="512"/>
      <c r="J112" s="512"/>
      <c r="K112" s="513"/>
      <c r="L112" s="514"/>
      <c r="M112" s="515"/>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8"/>
      <c r="B114" s="468" t="s">
        <v>1915</v>
      </c>
      <c r="C114" s="484"/>
      <c r="D114" s="484"/>
      <c r="E114" s="512"/>
      <c r="F114" s="512"/>
      <c r="G114" s="512"/>
      <c r="H114" s="512"/>
      <c r="I114" s="512"/>
      <c r="J114" s="512"/>
      <c r="K114" s="513"/>
      <c r="L114" s="514"/>
      <c r="M114" s="515"/>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5" thickTop="1">
      <c r="A116" s="408"/>
      <c r="B116" s="468">
        <f>B38</f>
        <v>111</v>
      </c>
      <c r="C116" s="484"/>
      <c r="D116" s="484"/>
      <c r="E116" s="484"/>
      <c r="F116" s="484"/>
      <c r="G116" s="484"/>
      <c r="H116" s="512"/>
      <c r="I116" s="512"/>
      <c r="J116" s="512"/>
      <c r="K116" s="513"/>
      <c r="L116" s="514"/>
      <c r="M116" s="515"/>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5.75" thickBot="1">
      <c r="A117" s="366"/>
      <c r="B117" s="473"/>
      <c r="C117" s="490"/>
      <c r="D117" s="466"/>
      <c r="E117" s="466"/>
      <c r="F117" s="466"/>
      <c r="G117" s="466"/>
      <c r="H117" s="466"/>
      <c r="I117" s="466"/>
      <c r="J117" s="466"/>
      <c r="K117" s="466"/>
      <c r="L117" s="466"/>
      <c r="M117" s="467"/>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5" thickTop="1">
      <c r="A118" s="408"/>
      <c r="B118" s="468">
        <f>B39</f>
        <v>111</v>
      </c>
      <c r="C118" s="484"/>
      <c r="D118" s="484"/>
      <c r="E118" s="484"/>
      <c r="F118" s="484"/>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5.75" thickBot="1">
      <c r="A119" s="366"/>
      <c r="B119" s="473"/>
      <c r="C119" s="490"/>
      <c r="D119" s="490"/>
      <c r="E119" s="490"/>
      <c r="F119" s="490"/>
      <c r="G119" s="466"/>
      <c r="H119" s="466"/>
      <c r="I119" s="466"/>
      <c r="J119" s="466"/>
      <c r="K119" s="466"/>
      <c r="L119" s="466"/>
      <c r="M119" s="467"/>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7" customFormat="1" ht="15" thickTop="1">
      <c r="A120" s="405"/>
      <c r="B120" s="468">
        <f>B40</f>
        <v>111</v>
      </c>
      <c r="C120" s="31"/>
      <c r="D120" s="31"/>
      <c r="E120" s="31"/>
      <c r="F120" s="31"/>
      <c r="G120" s="485"/>
      <c r="H120" s="485"/>
      <c r="I120" s="485"/>
      <c r="J120" s="485"/>
      <c r="K120" s="485"/>
      <c r="L120" s="486"/>
      <c r="M120" s="487"/>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7" customFormat="1" ht="15.75" thickBot="1">
      <c r="A121" s="498"/>
      <c r="B121" s="619"/>
      <c r="C121" s="500"/>
      <c r="D121" s="500"/>
      <c r="E121" s="500"/>
      <c r="F121" s="500"/>
      <c r="G121" s="520"/>
      <c r="H121" s="520"/>
      <c r="I121" s="520"/>
      <c r="J121" s="520"/>
      <c r="K121" s="520"/>
      <c r="L121" s="520"/>
      <c r="M121" s="521"/>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xr:uid="{00000000-0002-0000-2600-000000000000}">
      <formula1>单价内涵</formula1>
    </dataValidation>
    <dataValidation type="list" allowBlank="1" showInputMessage="1" showErrorMessage="1" sqref="C22 E22 G22 I22" xr:uid="{00000000-0002-0000-2600-000001000000}">
      <formula1>环境</formula1>
    </dataValidation>
    <dataValidation type="list" allowBlank="1" showInputMessage="1" showErrorMessage="1" sqref="E18 C18 G18 I18" xr:uid="{00000000-0002-0000-2600-000002000000}">
      <formula1>交通便捷度</formula1>
    </dataValidation>
    <dataValidation type="list" allowBlank="1" showInputMessage="1" showErrorMessage="1" sqref="E24 C24 G24 I24" xr:uid="{00000000-0002-0000-2600-000003000000}">
      <formula1>公共配套设施</formula1>
    </dataValidation>
    <dataValidation type="list" allowBlank="1" showInputMessage="1" showErrorMessage="1" sqref="C8 E8 G8 I8" xr:uid="{00000000-0002-0000-2600-000004000000}">
      <formula1>套工交易情况</formula1>
    </dataValidation>
    <dataValidation type="list" allowBlank="1" showInputMessage="1" showErrorMessage="1" sqref="C9 E9 G9 I9" xr:uid="{00000000-0002-0000-2600-000005000000}">
      <formula1>套工用途</formula1>
    </dataValidation>
    <dataValidation type="list" allowBlank="1" showInputMessage="1" showErrorMessage="1" sqref="I30 E30 G30" xr:uid="{00000000-0002-0000-2600-000006000000}">
      <formula1>套工土地级别</formula1>
    </dataValidation>
    <dataValidation type="list" allowBlank="1" showInputMessage="1" showErrorMessage="1" sqref="C27 E27 G27 I27" xr:uid="{00000000-0002-0000-2600-000007000000}">
      <formula1>临街状况</formula1>
    </dataValidation>
    <dataValidation type="list" allowBlank="1" showInputMessage="1" showErrorMessage="1" sqref="E20 G20 I20 C20" xr:uid="{00000000-0002-0000-2600-000008000000}">
      <formula1>区域土地利用方向</formula1>
    </dataValidation>
    <dataValidation type="list" allowBlank="1" showInputMessage="1" showErrorMessage="1" sqref="C50" xr:uid="{00000000-0002-0000-2600-000009000000}">
      <formula1>"北京市系数,其他省市系数"</formula1>
    </dataValidation>
    <dataValidation type="list" allowBlank="1" showInputMessage="1" showErrorMessage="1" sqref="C16 E16 G16 I16" xr:uid="{00000000-0002-0000-2600-00000A000000}">
      <formula1>产业集聚程度</formula1>
    </dataValidation>
    <dataValidation type="list" allowBlank="1" showInputMessage="1" showErrorMessage="1" sqref="C29 E29 G29 I29" xr:uid="{00000000-0002-0000-2600-00000B000000}">
      <formula1>套工道路等级</formula1>
    </dataValidation>
    <dataValidation type="list" allowBlank="1" showInputMessage="1" showErrorMessage="1" sqref="C35 E35 G35 I35" xr:uid="{00000000-0002-0000-2600-00000C000000}">
      <formula1>套工宗地形状</formula1>
    </dataValidation>
    <dataValidation type="list" allowBlank="1" showInputMessage="1" showErrorMessage="1" sqref="C36 E36 G36 I36" xr:uid="{00000000-0002-0000-2600-00000D000000}">
      <formula1>套工宗地开发程度</formula1>
    </dataValidation>
    <dataValidation type="list" allowBlank="1" showInputMessage="1" showErrorMessage="1" sqref="C37 E37 G37 I37" xr:uid="{00000000-0002-0000-2600-00000E000000}">
      <formula1>套工地质条件</formula1>
    </dataValidation>
    <dataValidation type="list" allowBlank="1" showInputMessage="1" showErrorMessage="1" sqref="G58" xr:uid="{00000000-0002-0000-2600-00000F000000}">
      <formula1>"住宅,工业"</formula1>
    </dataValidation>
    <dataValidation type="list" allowBlank="1" showInputMessage="1" showErrorMessage="1" sqref="G57" xr:uid="{00000000-0002-0000-2600-000010000000}">
      <formula1>"商业,办公,住宅,工业"</formula1>
    </dataValidation>
    <dataValidation type="list" allowBlank="1" showInputMessage="1" showErrorMessage="1" sqref="D52:D60" xr:uid="{00000000-0002-0000-2600-000011000000}">
      <formula1>"25%,1"</formula1>
    </dataValidation>
    <dataValidation type="list" allowBlank="1" showInputMessage="1" showErrorMessage="1" sqref="C26 E26 G26 I26" xr:uid="{00000000-0002-0000-2600-000012000000}">
      <formula1>基础设施水平</formula1>
    </dataValidation>
    <dataValidation type="list" allowBlank="1" showInputMessage="1" showErrorMessage="1" sqref="D42" xr:uid="{00000000-0002-0000-26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4"/>
      <c r="C2" s="3194"/>
      <c r="D2" s="3194"/>
      <c r="E2" s="3194"/>
    </row>
    <row r="3" spans="1:5" ht="18">
      <c r="A3" s="3195" t="str">
        <f>IF(项目基本情况!B9="房地产市场价值","估价结果一览表（市场价值不需“结果表-1”）","估价结果一览表")</f>
        <v>估价结果一览表</v>
      </c>
      <c r="B3" s="3195"/>
      <c r="C3" s="3195"/>
      <c r="D3" s="3195"/>
      <c r="E3" s="3195"/>
    </row>
    <row r="4" spans="1:5" ht="19.5" thickBot="1">
      <c r="A4" s="1390"/>
      <c r="B4" s="3193" t="s">
        <v>917</v>
      </c>
      <c r="C4" s="3193"/>
      <c r="D4" s="3193"/>
      <c r="E4" s="1390"/>
    </row>
    <row r="5" spans="1:5" ht="16.5" thickTop="1">
      <c r="B5" s="3191" t="s">
        <v>909</v>
      </c>
      <c r="C5" s="1391" t="s">
        <v>910</v>
      </c>
      <c r="D5" s="796">
        <f ca="1">结果表!H101</f>
        <v>823</v>
      </c>
    </row>
    <row r="6" spans="1:5" ht="15.75">
      <c r="B6" s="3191"/>
      <c r="C6" s="1391" t="s">
        <v>911</v>
      </c>
      <c r="D6" s="796" t="str">
        <f ca="1">NUMBERSTRING(INT(D5*10000),2)&amp;"元整"</f>
        <v>捌佰贰拾叁万元整</v>
      </c>
    </row>
    <row r="7" spans="1:5" ht="15.75">
      <c r="B7" s="3196"/>
      <c r="C7" s="1392" t="s">
        <v>912</v>
      </c>
      <c r="D7" s="797">
        <f ca="1">结果表!H102</f>
        <v>1295</v>
      </c>
    </row>
    <row r="8" spans="1:5" ht="15.75">
      <c r="B8" s="3197" t="str">
        <f>结果表!E103</f>
        <v>2.估价师知悉的法定优先受偿款</v>
      </c>
      <c r="C8" s="1393" t="s">
        <v>913</v>
      </c>
      <c r="D8" s="797">
        <f>结果表!H103</f>
        <v>0</v>
      </c>
    </row>
    <row r="9" spans="1:5" ht="15.75">
      <c r="B9" s="3199"/>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90" t="str">
        <f>结果表!E107</f>
        <v>3.房地产抵押价值</v>
      </c>
      <c r="C13" s="1396" t="s">
        <v>910</v>
      </c>
      <c r="D13" s="799">
        <f ca="1">结果表!H107</f>
        <v>823</v>
      </c>
    </row>
    <row r="14" spans="1:5" ht="15.75">
      <c r="B14" s="3191"/>
      <c r="C14" s="1391" t="s">
        <v>911</v>
      </c>
      <c r="D14" s="796" t="str">
        <f ca="1">NUMBERSTRING(INT(D13*10000),2)&amp;"元整"</f>
        <v>捌佰贰拾叁万元整</v>
      </c>
    </row>
    <row r="15" spans="1:5" ht="15">
      <c r="B15" s="3196"/>
      <c r="C15" s="1392" t="s">
        <v>921</v>
      </c>
      <c r="D15" s="805">
        <f ca="1">结果表!H108</f>
        <v>1295</v>
      </c>
    </row>
    <row r="16" spans="1:5" ht="15">
      <c r="B16" s="3197" t="str">
        <f>结果表!E109</f>
        <v>——</v>
      </c>
      <c r="C16" s="1396" t="s">
        <v>922</v>
      </c>
      <c r="D16" s="1397" t="str">
        <f>结果表!H109</f>
        <v>——</v>
      </c>
    </row>
    <row r="17" spans="1:5" ht="15.75">
      <c r="B17" s="3198"/>
      <c r="C17" s="1391" t="s">
        <v>923</v>
      </c>
      <c r="D17" s="796" t="e">
        <f>NUMBERSTRING(INT(D16*10000),2)&amp;"元整"</f>
        <v>#VALUE!</v>
      </c>
    </row>
    <row r="18" spans="1:5" ht="15">
      <c r="B18" s="3199"/>
      <c r="C18" s="1392" t="s">
        <v>912</v>
      </c>
      <c r="D18" s="805" t="str">
        <f>结果表!H110</f>
        <v>——</v>
      </c>
    </row>
    <row r="19" spans="1:5" ht="15.75">
      <c r="B19" s="3190" t="str">
        <f>结果表!E111</f>
        <v>4.抵押净值</v>
      </c>
      <c r="C19" s="1396" t="s">
        <v>910</v>
      </c>
      <c r="D19" s="797">
        <f ca="1">结果表!H111</f>
        <v>794</v>
      </c>
    </row>
    <row r="20" spans="1:5" ht="15.75">
      <c r="B20" s="3191"/>
      <c r="C20" s="1391" t="s">
        <v>923</v>
      </c>
      <c r="D20" s="796" t="str">
        <f ca="1">NUMBERSTRING(INT(D19*10000),2)&amp;"元整"</f>
        <v>柒佰玖拾肆万元整</v>
      </c>
    </row>
    <row r="21" spans="1:5" ht="15.75" thickBot="1">
      <c r="B21" s="3192"/>
      <c r="C21" s="1398" t="s">
        <v>921</v>
      </c>
      <c r="D21" s="806">
        <f ca="1">结果表!H112</f>
        <v>1249</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selection activeCell="S24" sqref="S24"/>
    </sheetView>
  </sheetViews>
  <sheetFormatPr defaultColWidth="9" defaultRowHeight="12.75"/>
  <cols>
    <col min="1" max="1" width="33.625" style="122" customWidth="1"/>
    <col min="2" max="2" width="9.25" style="24" customWidth="1"/>
    <col min="3" max="3" width="5" style="24" customWidth="1"/>
    <col min="4" max="4" width="9" style="24"/>
    <col min="5" max="5" width="5" style="24" customWidth="1"/>
    <col min="6" max="6" width="0" style="24" hidden="1" customWidth="1"/>
    <col min="7" max="7" width="5" style="24" hidden="1" customWidth="1"/>
    <col min="8" max="8" width="0" style="24" hidden="1" customWidth="1"/>
    <col min="9" max="9" width="5" style="24" hidden="1" customWidth="1"/>
    <col min="10" max="10" width="0" style="24" hidden="1" customWidth="1"/>
    <col min="11" max="11" width="5" style="24" hidden="1" customWidth="1"/>
    <col min="12" max="12" width="0" style="24" hidden="1" customWidth="1"/>
    <col min="13" max="13" width="5" style="24" hidden="1" customWidth="1"/>
    <col min="14" max="14" width="0" style="24" hidden="1" customWidth="1"/>
    <col min="15" max="15" width="5" style="24" hidden="1"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2081</v>
      </c>
      <c r="C1" s="3496" t="s">
        <v>2082</v>
      </c>
      <c r="D1" s="3497"/>
      <c r="E1" s="3497"/>
      <c r="F1" s="3497"/>
      <c r="G1" s="3497"/>
      <c r="H1" s="3497"/>
      <c r="I1" s="3497"/>
      <c r="J1" s="3497"/>
      <c r="K1" s="3497"/>
      <c r="L1" s="3497"/>
      <c r="M1" s="3497"/>
      <c r="N1" s="3497"/>
      <c r="O1" s="3497"/>
      <c r="P1" s="3497"/>
      <c r="Q1" s="3497"/>
      <c r="R1" s="3497"/>
      <c r="S1" s="3498"/>
      <c r="T1" s="928" t="s">
        <v>2083</v>
      </c>
    </row>
    <row r="2" spans="1:45" s="624" customFormat="1" ht="38.25">
      <c r="A2" s="929"/>
      <c r="B2" s="621" t="s">
        <v>2084</v>
      </c>
      <c r="C2" s="14" t="str">
        <f t="shared" ref="C2:L2" si="0">C3&amp;"(含)"&amp;"-"&amp;D3</f>
        <v>0(含)-50</v>
      </c>
      <c r="D2" s="622" t="str">
        <f t="shared" si="0"/>
        <v>50(含)-100</v>
      </c>
      <c r="E2" s="622" t="str">
        <f t="shared" si="0"/>
        <v>100(含)-200</v>
      </c>
      <c r="F2" s="622" t="str">
        <f t="shared" si="0"/>
        <v>200(含)-500</v>
      </c>
      <c r="G2" s="622" t="str">
        <f t="shared" si="0"/>
        <v>500(含)-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f>'比较法-商业'!C103</f>
        <v>0</v>
      </c>
      <c r="D3" s="626">
        <f>'比较法-商业'!D103</f>
        <v>50</v>
      </c>
      <c r="E3" s="626">
        <f>'比较法-商业'!E103</f>
        <v>100</v>
      </c>
      <c r="F3" s="626">
        <f>'比较法-商业'!F103</f>
        <v>200</v>
      </c>
      <c r="G3" s="626">
        <f>'比较法-商业'!G103</f>
        <v>500</v>
      </c>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f>'比较法-商业'!C104</f>
        <v>100</v>
      </c>
      <c r="D4" s="934">
        <f>'比较法-商业'!D104</f>
        <v>98</v>
      </c>
      <c r="E4" s="934">
        <f>'比较法-商业'!E104</f>
        <v>96</v>
      </c>
      <c r="F4" s="934">
        <f>'比较法-商业'!F104</f>
        <v>94</v>
      </c>
      <c r="G4" s="934">
        <f>'比较法-商业'!G104</f>
        <v>92</v>
      </c>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25.5">
      <c r="A5" s="924"/>
      <c r="B5" s="3172" t="s">
        <v>3709</v>
      </c>
      <c r="C5" s="939" t="str">
        <f>'比较法-商业'!C114</f>
        <v>可餐饮</v>
      </c>
      <c r="D5" s="939" t="str">
        <f>'比较法-商业'!D114</f>
        <v>不可餐饮</v>
      </c>
      <c r="E5" s="940"/>
      <c r="F5" s="1226"/>
      <c r="G5" s="1226"/>
      <c r="H5" s="1226"/>
      <c r="I5" s="1226"/>
      <c r="J5" s="1226"/>
      <c r="K5" s="1226"/>
      <c r="L5" s="1227"/>
      <c r="M5" s="1228"/>
      <c r="N5" s="1228"/>
      <c r="O5" s="1226"/>
      <c r="P5" s="1226"/>
      <c r="Q5" s="1226"/>
      <c r="R5" s="1226"/>
      <c r="S5" s="1229"/>
      <c r="T5" s="942">
        <f>'比较法-商业'!K38</f>
        <v>5</v>
      </c>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95</v>
      </c>
      <c r="E6" s="848">
        <f t="shared" ref="E6:S6" si="7">D6-$T5</f>
        <v>90</v>
      </c>
      <c r="F6" s="1230">
        <f t="shared" si="7"/>
        <v>85</v>
      </c>
      <c r="G6" s="1230">
        <f t="shared" si="7"/>
        <v>80</v>
      </c>
      <c r="H6" s="1230">
        <f t="shared" si="7"/>
        <v>75</v>
      </c>
      <c r="I6" s="1230">
        <f t="shared" si="7"/>
        <v>70</v>
      </c>
      <c r="J6" s="1230">
        <f t="shared" si="7"/>
        <v>65</v>
      </c>
      <c r="K6" s="1230">
        <f t="shared" si="7"/>
        <v>60</v>
      </c>
      <c r="L6" s="1230">
        <f t="shared" si="7"/>
        <v>55</v>
      </c>
      <c r="M6" s="1230">
        <f t="shared" si="7"/>
        <v>50</v>
      </c>
      <c r="N6" s="1230">
        <f t="shared" si="7"/>
        <v>45</v>
      </c>
      <c r="O6" s="1230">
        <f t="shared" si="7"/>
        <v>40</v>
      </c>
      <c r="P6" s="1230">
        <f t="shared" si="7"/>
        <v>35</v>
      </c>
      <c r="Q6" s="1230">
        <f t="shared" si="7"/>
        <v>30</v>
      </c>
      <c r="R6" s="1230">
        <f t="shared" si="7"/>
        <v>25</v>
      </c>
      <c r="S6" s="1230">
        <f t="shared" si="7"/>
        <v>20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2085</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2086</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2087</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2088</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2089</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4" t="s">
        <v>2090</v>
      </c>
      <c r="B17" s="1985" t="s">
        <v>2091</v>
      </c>
      <c r="C17" s="952">
        <f>'比较法-商业'!C92</f>
        <v>1</v>
      </c>
      <c r="D17" s="952">
        <f>'比较法-商业'!D92</f>
        <v>2</v>
      </c>
      <c r="E17" s="952">
        <f>'比较法-商业'!E92</f>
        <v>3</v>
      </c>
      <c r="F17" s="3174" t="str">
        <f>'比较法-商业'!F92</f>
        <v>-1</v>
      </c>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f>'比较法-商业'!C93</f>
        <v>100</v>
      </c>
      <c r="D18" s="963">
        <f>'比较法-商业'!D93</f>
        <v>60</v>
      </c>
      <c r="E18" s="963">
        <v>50</v>
      </c>
      <c r="F18" s="963">
        <v>50</v>
      </c>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6" t="s">
        <v>2092</v>
      </c>
      <c r="E19" s="1252"/>
      <c r="F19" s="1252"/>
      <c r="G19" s="1252"/>
      <c r="H19" s="995"/>
      <c r="I19" s="151"/>
      <c r="J19" s="151"/>
      <c r="K19" s="151"/>
      <c r="L19" s="151"/>
      <c r="M19" s="151"/>
      <c r="N19" s="151"/>
      <c r="O19" s="151"/>
      <c r="P19" s="151"/>
      <c r="Q19" s="151"/>
      <c r="R19" s="151"/>
      <c r="S19" s="121"/>
    </row>
    <row r="20" spans="1:45" ht="16.5" thickBot="1">
      <c r="A20" s="631" t="s">
        <v>2093</v>
      </c>
      <c r="B20" s="285">
        <f ca="1">IF(D20="——",S22,S22-F20)</f>
        <v>27664</v>
      </c>
      <c r="C20" s="151"/>
      <c r="D20" s="1987" t="s">
        <v>43</v>
      </c>
      <c r="E20" s="1253"/>
      <c r="F20" s="928" t="e">
        <f ca="1">SUMIF(INDIRECT("'"&amp;H20&amp;"'"&amp;"!A:A"),"承租人权益价值",INDIRECT("'"&amp;H20&amp;"'"&amp;"!c:c"))</f>
        <v>#REF!</v>
      </c>
      <c r="G20" s="928" t="s">
        <v>2094</v>
      </c>
      <c r="H20" s="1988"/>
      <c r="I20" s="151"/>
      <c r="J20" s="151"/>
      <c r="K20" s="151"/>
      <c r="L20" s="151"/>
      <c r="M20" s="151"/>
      <c r="N20" s="151"/>
      <c r="O20" s="151"/>
      <c r="P20" s="151"/>
      <c r="Q20" s="151"/>
      <c r="R20" s="151"/>
      <c r="S20" s="121"/>
    </row>
    <row r="21" spans="1:45" ht="15.75">
      <c r="A21" s="631" t="s">
        <v>2095</v>
      </c>
      <c r="B21" s="285">
        <f ca="1">ROUND(B20*10000/B22,0)</f>
        <v>43518</v>
      </c>
      <c r="C21" s="151"/>
      <c r="D21" s="151"/>
      <c r="E21" s="151"/>
      <c r="F21" s="151"/>
      <c r="G21" s="151"/>
      <c r="H21" s="151"/>
      <c r="I21" s="151"/>
      <c r="J21" s="151"/>
      <c r="K21" s="151"/>
      <c r="L21" s="151"/>
      <c r="M21" s="151"/>
      <c r="N21" s="151"/>
      <c r="O21" s="151"/>
      <c r="P21" s="151"/>
      <c r="Q21" s="151"/>
      <c r="R21" s="151"/>
      <c r="S21" s="121"/>
    </row>
    <row r="22" spans="1:45">
      <c r="A22" s="307" t="s">
        <v>2096</v>
      </c>
      <c r="B22" s="21">
        <f>SUM(B24:B10000)</f>
        <v>6356.8800000000028</v>
      </c>
      <c r="C22" s="3493" t="s">
        <v>27</v>
      </c>
      <c r="D22" s="3494"/>
      <c r="E22" s="3494"/>
      <c r="F22" s="3494"/>
      <c r="G22" s="3494"/>
      <c r="H22" s="3494"/>
      <c r="I22" s="3494"/>
      <c r="J22" s="3494"/>
      <c r="K22" s="3494"/>
      <c r="L22" s="3494"/>
      <c r="M22" s="3494"/>
      <c r="N22" s="3494"/>
      <c r="O22" s="3494"/>
      <c r="P22" s="3494"/>
      <c r="Q22" s="3495"/>
      <c r="R22" s="21">
        <f ca="1">ROUND(S22*10000/B22,0)</f>
        <v>43518</v>
      </c>
      <c r="S22" s="21">
        <f ca="1">SUM(S24:S10000)</f>
        <v>27664</v>
      </c>
    </row>
    <row r="23" spans="1:45" s="9" customFormat="1" ht="24">
      <c r="A23" s="8" t="s">
        <v>2097</v>
      </c>
      <c r="B23" s="8" t="s">
        <v>2098</v>
      </c>
      <c r="C23" s="8" t="s">
        <v>2099</v>
      </c>
      <c r="D23" s="8" t="str">
        <f>B5</f>
        <v>业态</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tr">
        <f>面积!B2</f>
        <v>朝阳区新东路12号院3号楼1层1-001</v>
      </c>
      <c r="B24" s="632">
        <f>面积!F2</f>
        <v>113.41</v>
      </c>
      <c r="C24" s="2567">
        <v>1</v>
      </c>
      <c r="D24" s="2568" t="s">
        <v>3688</v>
      </c>
      <c r="E24" s="2567">
        <v>1</v>
      </c>
      <c r="F24" s="2568"/>
      <c r="G24" s="2567">
        <v>1</v>
      </c>
      <c r="H24" s="2568"/>
      <c r="I24" s="2567">
        <v>1</v>
      </c>
      <c r="J24" s="2568"/>
      <c r="K24" s="2567">
        <v>1</v>
      </c>
      <c r="L24" s="2568"/>
      <c r="M24" s="2567">
        <v>1</v>
      </c>
      <c r="N24" s="2568"/>
      <c r="O24" s="2567">
        <v>1</v>
      </c>
      <c r="P24" s="2568">
        <v>1</v>
      </c>
      <c r="Q24" s="2567">
        <v>1</v>
      </c>
      <c r="R24" s="632">
        <f ca="1">结果表!G20</f>
        <v>72525</v>
      </c>
      <c r="S24" s="633">
        <f t="shared" ref="S24:S54" ca="1" si="11">ROUND(R24*B24/10000,0)</f>
        <v>823</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632" t="str">
        <f>面积!B3</f>
        <v>朝阳区新东路12号院3号楼1层1-002</v>
      </c>
      <c r="B25" s="632">
        <f>面积!F3</f>
        <v>91.15</v>
      </c>
      <c r="C25" s="21">
        <f>IF(B25="",1,(LOOKUP(B25,$3:$3,$4:$4)-LOOKUP($B$24,$3:$3,$4:$4)+100)/100)</f>
        <v>1.02</v>
      </c>
      <c r="D25" s="634" t="s">
        <v>3688</v>
      </c>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2568">
        <v>1</v>
      </c>
      <c r="Q25" s="21">
        <f>(SUMIF($17:$17,P25,$18:$18)-SUMIF($17:$17,$P$24,$18:$18)+100)/100</f>
        <v>1</v>
      </c>
      <c r="R25" s="21">
        <f ca="1">IF(B25="",0,ROUND($R$24*C25*E25*G25*I25*K25*M25*O25*Q25,0))</f>
        <v>73976</v>
      </c>
      <c r="S25" s="307">
        <f t="shared" ca="1" si="11"/>
        <v>674</v>
      </c>
    </row>
    <row r="26" spans="1:45">
      <c r="A26" s="632" t="str">
        <f>面积!B4</f>
        <v>朝阳区新东路12号院3号楼1层1-005</v>
      </c>
      <c r="B26" s="632">
        <f>面积!F4</f>
        <v>35.880000000000003</v>
      </c>
      <c r="C26" s="21">
        <f t="shared" ref="C26:C89" si="12">IF(B26="",1,(LOOKUP(B26,$3:$3,$4:$4)-LOOKUP($B$24,$3:$3,$4:$4)+100)/100)</f>
        <v>1.04</v>
      </c>
      <c r="D26" s="634" t="s">
        <v>3688</v>
      </c>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2568">
        <v>1</v>
      </c>
      <c r="Q26" s="21">
        <f t="shared" ref="Q26:Q89" si="19">(SUMIF($17:$17,P26,$18:$18)-SUMIF($17:$17,$P$24,$18:$18)+100)/100</f>
        <v>1</v>
      </c>
      <c r="R26" s="21">
        <f t="shared" ref="R26:R89" ca="1" si="20">IF(B26="",0,ROUND($R$24*C26*E26*G26*I26*K26*M26*O26*Q26,0))</f>
        <v>75426</v>
      </c>
      <c r="S26" s="307">
        <f t="shared" ca="1" si="11"/>
        <v>271</v>
      </c>
    </row>
    <row r="27" spans="1:45">
      <c r="A27" s="632" t="str">
        <f>面积!B5</f>
        <v>朝阳区新东路12号院3号楼1层1-006</v>
      </c>
      <c r="B27" s="632">
        <f>面积!F5</f>
        <v>29.43</v>
      </c>
      <c r="C27" s="21">
        <f t="shared" si="12"/>
        <v>1.04</v>
      </c>
      <c r="D27" s="634" t="s">
        <v>3688</v>
      </c>
      <c r="E27" s="21">
        <f t="shared" si="13"/>
        <v>1</v>
      </c>
      <c r="F27" s="634"/>
      <c r="G27" s="21">
        <f t="shared" si="14"/>
        <v>1</v>
      </c>
      <c r="H27" s="634"/>
      <c r="I27" s="21">
        <f t="shared" si="15"/>
        <v>1</v>
      </c>
      <c r="J27" s="634"/>
      <c r="K27" s="21">
        <f t="shared" si="16"/>
        <v>1</v>
      </c>
      <c r="L27" s="634"/>
      <c r="M27" s="21">
        <f t="shared" si="17"/>
        <v>1</v>
      </c>
      <c r="N27" s="634"/>
      <c r="O27" s="21">
        <f t="shared" si="18"/>
        <v>1</v>
      </c>
      <c r="P27" s="2568">
        <v>1</v>
      </c>
      <c r="Q27" s="21">
        <f t="shared" si="19"/>
        <v>1</v>
      </c>
      <c r="R27" s="21">
        <f t="shared" ca="1" si="20"/>
        <v>75426</v>
      </c>
      <c r="S27" s="307">
        <f t="shared" ca="1" si="11"/>
        <v>222</v>
      </c>
    </row>
    <row r="28" spans="1:45">
      <c r="A28" s="632" t="str">
        <f>面积!B6</f>
        <v>朝阳区新东路12号院3号楼1层1-008</v>
      </c>
      <c r="B28" s="632">
        <f>面积!F6</f>
        <v>143.38</v>
      </c>
      <c r="C28" s="21">
        <f t="shared" si="12"/>
        <v>1</v>
      </c>
      <c r="D28" s="634" t="s">
        <v>3688</v>
      </c>
      <c r="E28" s="21">
        <f t="shared" si="13"/>
        <v>1</v>
      </c>
      <c r="F28" s="634"/>
      <c r="G28" s="21">
        <f t="shared" si="14"/>
        <v>1</v>
      </c>
      <c r="H28" s="634"/>
      <c r="I28" s="21">
        <f t="shared" si="15"/>
        <v>1</v>
      </c>
      <c r="J28" s="634"/>
      <c r="K28" s="21">
        <f t="shared" si="16"/>
        <v>1</v>
      </c>
      <c r="L28" s="634"/>
      <c r="M28" s="21">
        <f t="shared" si="17"/>
        <v>1</v>
      </c>
      <c r="N28" s="634"/>
      <c r="O28" s="21">
        <f t="shared" si="18"/>
        <v>1</v>
      </c>
      <c r="P28" s="2568">
        <v>1</v>
      </c>
      <c r="Q28" s="21">
        <f t="shared" si="19"/>
        <v>1</v>
      </c>
      <c r="R28" s="21">
        <f t="shared" ca="1" si="20"/>
        <v>72525</v>
      </c>
      <c r="S28" s="307">
        <f t="shared" ca="1" si="11"/>
        <v>1040</v>
      </c>
    </row>
    <row r="29" spans="1:45">
      <c r="A29" s="632" t="str">
        <f>面积!B7</f>
        <v>朝阳区新东路12号院3号楼1层1-009</v>
      </c>
      <c r="B29" s="632">
        <f>面积!F7</f>
        <v>136.26</v>
      </c>
      <c r="C29" s="21">
        <f t="shared" si="12"/>
        <v>1</v>
      </c>
      <c r="D29" s="634" t="s">
        <v>3688</v>
      </c>
      <c r="E29" s="21">
        <f t="shared" si="13"/>
        <v>1</v>
      </c>
      <c r="F29" s="634"/>
      <c r="G29" s="21">
        <f t="shared" si="14"/>
        <v>1</v>
      </c>
      <c r="H29" s="634"/>
      <c r="I29" s="21">
        <f t="shared" si="15"/>
        <v>1</v>
      </c>
      <c r="J29" s="634"/>
      <c r="K29" s="21">
        <f t="shared" si="16"/>
        <v>1</v>
      </c>
      <c r="L29" s="634"/>
      <c r="M29" s="21">
        <f t="shared" si="17"/>
        <v>1</v>
      </c>
      <c r="N29" s="634"/>
      <c r="O29" s="21">
        <f t="shared" si="18"/>
        <v>1</v>
      </c>
      <c r="P29" s="2568">
        <v>1</v>
      </c>
      <c r="Q29" s="21">
        <f t="shared" si="19"/>
        <v>1</v>
      </c>
      <c r="R29" s="21">
        <f t="shared" ca="1" si="20"/>
        <v>72525</v>
      </c>
      <c r="S29" s="307">
        <f t="shared" ca="1" si="11"/>
        <v>988</v>
      </c>
    </row>
    <row r="30" spans="1:45">
      <c r="A30" s="632" t="str">
        <f>面积!B8</f>
        <v>朝阳区新东路12号院3号楼1层1-010</v>
      </c>
      <c r="B30" s="632">
        <f>面积!F8</f>
        <v>149.55000000000001</v>
      </c>
      <c r="C30" s="21">
        <f t="shared" si="12"/>
        <v>1</v>
      </c>
      <c r="D30" s="634" t="s">
        <v>3688</v>
      </c>
      <c r="E30" s="21">
        <f t="shared" si="13"/>
        <v>1</v>
      </c>
      <c r="F30" s="634"/>
      <c r="G30" s="21">
        <f t="shared" si="14"/>
        <v>1</v>
      </c>
      <c r="H30" s="634"/>
      <c r="I30" s="21">
        <f t="shared" si="15"/>
        <v>1</v>
      </c>
      <c r="J30" s="634"/>
      <c r="K30" s="21">
        <f t="shared" si="16"/>
        <v>1</v>
      </c>
      <c r="L30" s="634"/>
      <c r="M30" s="21">
        <f t="shared" si="17"/>
        <v>1</v>
      </c>
      <c r="N30" s="634"/>
      <c r="O30" s="21">
        <f t="shared" si="18"/>
        <v>1</v>
      </c>
      <c r="P30" s="2568">
        <v>1</v>
      </c>
      <c r="Q30" s="21">
        <f t="shared" si="19"/>
        <v>1</v>
      </c>
      <c r="R30" s="21">
        <f t="shared" ca="1" si="20"/>
        <v>72525</v>
      </c>
      <c r="S30" s="307">
        <f t="shared" ca="1" si="11"/>
        <v>1085</v>
      </c>
    </row>
    <row r="31" spans="1:45">
      <c r="A31" s="632" t="str">
        <f>面积!B9</f>
        <v>朝阳区新东路12号院3号楼1层1-015</v>
      </c>
      <c r="B31" s="632">
        <f>面积!F9</f>
        <v>77.739999999999995</v>
      </c>
      <c r="C31" s="21">
        <f t="shared" si="12"/>
        <v>1.02</v>
      </c>
      <c r="D31" s="634" t="s">
        <v>3688</v>
      </c>
      <c r="E31" s="21">
        <f t="shared" si="13"/>
        <v>1</v>
      </c>
      <c r="F31" s="634"/>
      <c r="G31" s="21">
        <f t="shared" si="14"/>
        <v>1</v>
      </c>
      <c r="H31" s="634"/>
      <c r="I31" s="21">
        <f t="shared" si="15"/>
        <v>1</v>
      </c>
      <c r="J31" s="634"/>
      <c r="K31" s="21">
        <f t="shared" si="16"/>
        <v>1</v>
      </c>
      <c r="L31" s="634"/>
      <c r="M31" s="21">
        <f t="shared" si="17"/>
        <v>1</v>
      </c>
      <c r="N31" s="634"/>
      <c r="O31" s="21">
        <f t="shared" si="18"/>
        <v>1</v>
      </c>
      <c r="P31" s="2568">
        <v>1</v>
      </c>
      <c r="Q31" s="21">
        <f t="shared" si="19"/>
        <v>1</v>
      </c>
      <c r="R31" s="21">
        <f t="shared" ca="1" si="20"/>
        <v>73976</v>
      </c>
      <c r="S31" s="307">
        <f t="shared" ca="1" si="11"/>
        <v>575</v>
      </c>
    </row>
    <row r="32" spans="1:45">
      <c r="A32" s="632" t="str">
        <f>面积!B10</f>
        <v>朝阳区新东路12号院3号楼2层2-119</v>
      </c>
      <c r="B32" s="632">
        <f>面积!F10</f>
        <v>75.69</v>
      </c>
      <c r="C32" s="21">
        <f t="shared" si="12"/>
        <v>1.02</v>
      </c>
      <c r="D32" s="634" t="s">
        <v>3688</v>
      </c>
      <c r="E32" s="21">
        <f t="shared" si="13"/>
        <v>1</v>
      </c>
      <c r="F32" s="634"/>
      <c r="G32" s="21">
        <f t="shared" si="14"/>
        <v>1</v>
      </c>
      <c r="H32" s="634"/>
      <c r="I32" s="21">
        <f t="shared" si="15"/>
        <v>1</v>
      </c>
      <c r="J32" s="634"/>
      <c r="K32" s="21">
        <f t="shared" si="16"/>
        <v>1</v>
      </c>
      <c r="L32" s="634"/>
      <c r="M32" s="21">
        <f t="shared" si="17"/>
        <v>1</v>
      </c>
      <c r="N32" s="634"/>
      <c r="O32" s="21">
        <f t="shared" si="18"/>
        <v>1</v>
      </c>
      <c r="P32" s="634">
        <v>2</v>
      </c>
      <c r="Q32" s="21">
        <f t="shared" si="19"/>
        <v>0.6</v>
      </c>
      <c r="R32" s="21">
        <f t="shared" ca="1" si="20"/>
        <v>44385</v>
      </c>
      <c r="S32" s="307">
        <f t="shared" ca="1" si="11"/>
        <v>336</v>
      </c>
    </row>
    <row r="33" spans="1:19">
      <c r="A33" s="632" t="str">
        <f>面积!B11</f>
        <v>朝阳区新东路12号院3号楼2层2-120</v>
      </c>
      <c r="B33" s="632">
        <f>面积!F11</f>
        <v>67.33</v>
      </c>
      <c r="C33" s="21">
        <f t="shared" si="12"/>
        <v>1.02</v>
      </c>
      <c r="D33" s="634" t="s">
        <v>3688</v>
      </c>
      <c r="E33" s="21">
        <f t="shared" si="13"/>
        <v>1</v>
      </c>
      <c r="F33" s="634"/>
      <c r="G33" s="21">
        <f t="shared" si="14"/>
        <v>1</v>
      </c>
      <c r="H33" s="634"/>
      <c r="I33" s="21">
        <f t="shared" si="15"/>
        <v>1</v>
      </c>
      <c r="J33" s="634"/>
      <c r="K33" s="21">
        <f t="shared" si="16"/>
        <v>1</v>
      </c>
      <c r="L33" s="634"/>
      <c r="M33" s="21">
        <f t="shared" si="17"/>
        <v>1</v>
      </c>
      <c r="N33" s="634"/>
      <c r="O33" s="21">
        <f t="shared" si="18"/>
        <v>1</v>
      </c>
      <c r="P33" s="634">
        <v>2</v>
      </c>
      <c r="Q33" s="21">
        <f t="shared" si="19"/>
        <v>0.6</v>
      </c>
      <c r="R33" s="21">
        <f t="shared" ca="1" si="20"/>
        <v>44385</v>
      </c>
      <c r="S33" s="307">
        <f t="shared" ca="1" si="11"/>
        <v>299</v>
      </c>
    </row>
    <row r="34" spans="1:19">
      <c r="A34" s="632" t="str">
        <f>面积!B12</f>
        <v>朝阳区新东路12号院3号楼2层2-121</v>
      </c>
      <c r="B34" s="632">
        <f>面积!F12</f>
        <v>93.6</v>
      </c>
      <c r="C34" s="21">
        <f t="shared" si="12"/>
        <v>1.02</v>
      </c>
      <c r="D34" s="634" t="s">
        <v>3688</v>
      </c>
      <c r="E34" s="21">
        <f t="shared" si="13"/>
        <v>1</v>
      </c>
      <c r="F34" s="634"/>
      <c r="G34" s="21">
        <f t="shared" si="14"/>
        <v>1</v>
      </c>
      <c r="H34" s="634"/>
      <c r="I34" s="21">
        <f t="shared" si="15"/>
        <v>1</v>
      </c>
      <c r="J34" s="634"/>
      <c r="K34" s="21">
        <f t="shared" si="16"/>
        <v>1</v>
      </c>
      <c r="L34" s="634"/>
      <c r="M34" s="21">
        <f t="shared" si="17"/>
        <v>1</v>
      </c>
      <c r="N34" s="634"/>
      <c r="O34" s="21">
        <f t="shared" si="18"/>
        <v>1</v>
      </c>
      <c r="P34" s="634">
        <v>2</v>
      </c>
      <c r="Q34" s="21">
        <f t="shared" si="19"/>
        <v>0.6</v>
      </c>
      <c r="R34" s="21">
        <f t="shared" ca="1" si="20"/>
        <v>44385</v>
      </c>
      <c r="S34" s="307">
        <f t="shared" ca="1" si="11"/>
        <v>415</v>
      </c>
    </row>
    <row r="35" spans="1:19">
      <c r="A35" s="632" t="str">
        <f>面积!B13</f>
        <v>朝阳区新东路12号院3号楼2层2-122</v>
      </c>
      <c r="B35" s="632">
        <f>面积!F13</f>
        <v>39.18</v>
      </c>
      <c r="C35" s="21">
        <f t="shared" si="12"/>
        <v>1.04</v>
      </c>
      <c r="D35" s="634" t="s">
        <v>3688</v>
      </c>
      <c r="E35" s="21">
        <f t="shared" si="13"/>
        <v>1</v>
      </c>
      <c r="F35" s="634"/>
      <c r="G35" s="21">
        <f t="shared" si="14"/>
        <v>1</v>
      </c>
      <c r="H35" s="634"/>
      <c r="I35" s="21">
        <f t="shared" si="15"/>
        <v>1</v>
      </c>
      <c r="J35" s="634"/>
      <c r="K35" s="21">
        <f t="shared" si="16"/>
        <v>1</v>
      </c>
      <c r="L35" s="634"/>
      <c r="M35" s="21">
        <f t="shared" si="17"/>
        <v>1</v>
      </c>
      <c r="N35" s="634"/>
      <c r="O35" s="21">
        <f t="shared" si="18"/>
        <v>1</v>
      </c>
      <c r="P35" s="634">
        <v>2</v>
      </c>
      <c r="Q35" s="21">
        <f t="shared" si="19"/>
        <v>0.6</v>
      </c>
      <c r="R35" s="21">
        <f t="shared" ca="1" si="20"/>
        <v>45256</v>
      </c>
      <c r="S35" s="307">
        <f t="shared" ca="1" si="11"/>
        <v>177</v>
      </c>
    </row>
    <row r="36" spans="1:19">
      <c r="A36" s="632" t="str">
        <f>面积!B14</f>
        <v>朝阳区新东路12号院3号楼2层2-123</v>
      </c>
      <c r="B36" s="632">
        <f>面积!F14</f>
        <v>34.07</v>
      </c>
      <c r="C36" s="21">
        <f t="shared" si="12"/>
        <v>1.04</v>
      </c>
      <c r="D36" s="634" t="s">
        <v>3688</v>
      </c>
      <c r="E36" s="21">
        <f t="shared" si="13"/>
        <v>1</v>
      </c>
      <c r="F36" s="634"/>
      <c r="G36" s="21">
        <f t="shared" si="14"/>
        <v>1</v>
      </c>
      <c r="H36" s="634"/>
      <c r="I36" s="21">
        <f t="shared" si="15"/>
        <v>1</v>
      </c>
      <c r="J36" s="634"/>
      <c r="K36" s="21">
        <f t="shared" si="16"/>
        <v>1</v>
      </c>
      <c r="L36" s="634"/>
      <c r="M36" s="21">
        <f t="shared" si="17"/>
        <v>1</v>
      </c>
      <c r="N36" s="634"/>
      <c r="O36" s="21">
        <f t="shared" si="18"/>
        <v>1</v>
      </c>
      <c r="P36" s="634">
        <v>2</v>
      </c>
      <c r="Q36" s="21">
        <f t="shared" si="19"/>
        <v>0.6</v>
      </c>
      <c r="R36" s="21">
        <f t="shared" ca="1" si="20"/>
        <v>45256</v>
      </c>
      <c r="S36" s="307">
        <f t="shared" ca="1" si="11"/>
        <v>154</v>
      </c>
    </row>
    <row r="37" spans="1:19">
      <c r="A37" s="632" t="str">
        <f>面积!B15</f>
        <v>朝阳区新东路12号院3号楼2层2-125</v>
      </c>
      <c r="B37" s="632">
        <f>面积!F15</f>
        <v>59.36</v>
      </c>
      <c r="C37" s="21">
        <f t="shared" si="12"/>
        <v>1.02</v>
      </c>
      <c r="D37" s="634" t="s">
        <v>3688</v>
      </c>
      <c r="E37" s="21">
        <f t="shared" si="13"/>
        <v>1</v>
      </c>
      <c r="F37" s="634"/>
      <c r="G37" s="21">
        <f t="shared" si="14"/>
        <v>1</v>
      </c>
      <c r="H37" s="634"/>
      <c r="I37" s="21">
        <f t="shared" si="15"/>
        <v>1</v>
      </c>
      <c r="J37" s="634"/>
      <c r="K37" s="21">
        <f t="shared" si="16"/>
        <v>1</v>
      </c>
      <c r="L37" s="634"/>
      <c r="M37" s="21">
        <f t="shared" si="17"/>
        <v>1</v>
      </c>
      <c r="N37" s="634"/>
      <c r="O37" s="21">
        <f t="shared" si="18"/>
        <v>1</v>
      </c>
      <c r="P37" s="634">
        <v>2</v>
      </c>
      <c r="Q37" s="21">
        <f t="shared" si="19"/>
        <v>0.6</v>
      </c>
      <c r="R37" s="21">
        <f t="shared" ca="1" si="20"/>
        <v>44385</v>
      </c>
      <c r="S37" s="307">
        <f t="shared" ca="1" si="11"/>
        <v>263</v>
      </c>
    </row>
    <row r="38" spans="1:19">
      <c r="A38" s="632" t="str">
        <f>面积!B16</f>
        <v>朝阳区新东路12号院3号楼2层2-126</v>
      </c>
      <c r="B38" s="632">
        <f>面积!F16</f>
        <v>57.78</v>
      </c>
      <c r="C38" s="21">
        <f t="shared" si="12"/>
        <v>1.02</v>
      </c>
      <c r="D38" s="634" t="s">
        <v>3688</v>
      </c>
      <c r="E38" s="21">
        <f t="shared" si="13"/>
        <v>1</v>
      </c>
      <c r="F38" s="634"/>
      <c r="G38" s="21">
        <f t="shared" si="14"/>
        <v>1</v>
      </c>
      <c r="H38" s="634"/>
      <c r="I38" s="21">
        <f t="shared" si="15"/>
        <v>1</v>
      </c>
      <c r="J38" s="634"/>
      <c r="K38" s="21">
        <f t="shared" si="16"/>
        <v>1</v>
      </c>
      <c r="L38" s="634"/>
      <c r="M38" s="21">
        <f t="shared" si="17"/>
        <v>1</v>
      </c>
      <c r="N38" s="634"/>
      <c r="O38" s="21">
        <f t="shared" si="18"/>
        <v>1</v>
      </c>
      <c r="P38" s="634">
        <v>2</v>
      </c>
      <c r="Q38" s="21">
        <f t="shared" si="19"/>
        <v>0.6</v>
      </c>
      <c r="R38" s="21">
        <f t="shared" ca="1" si="20"/>
        <v>44385</v>
      </c>
      <c r="S38" s="307">
        <f t="shared" ca="1" si="11"/>
        <v>256</v>
      </c>
    </row>
    <row r="39" spans="1:19">
      <c r="A39" s="632" t="str">
        <f>面积!B17</f>
        <v>朝阳区新东路12号院3号楼2层2-127</v>
      </c>
      <c r="B39" s="632">
        <f>面积!F17</f>
        <v>65.25</v>
      </c>
      <c r="C39" s="21">
        <f t="shared" si="12"/>
        <v>1.02</v>
      </c>
      <c r="D39" s="634" t="s">
        <v>3688</v>
      </c>
      <c r="E39" s="21">
        <f t="shared" si="13"/>
        <v>1</v>
      </c>
      <c r="F39" s="634"/>
      <c r="G39" s="21">
        <f t="shared" si="14"/>
        <v>1</v>
      </c>
      <c r="H39" s="634"/>
      <c r="I39" s="21">
        <f t="shared" si="15"/>
        <v>1</v>
      </c>
      <c r="J39" s="634"/>
      <c r="K39" s="21">
        <f t="shared" si="16"/>
        <v>1</v>
      </c>
      <c r="L39" s="634"/>
      <c r="M39" s="21">
        <f t="shared" si="17"/>
        <v>1</v>
      </c>
      <c r="N39" s="634"/>
      <c r="O39" s="21">
        <f t="shared" si="18"/>
        <v>1</v>
      </c>
      <c r="P39" s="634">
        <v>2</v>
      </c>
      <c r="Q39" s="21">
        <f t="shared" si="19"/>
        <v>0.6</v>
      </c>
      <c r="R39" s="21">
        <f t="shared" ca="1" si="20"/>
        <v>44385</v>
      </c>
      <c r="S39" s="307">
        <f t="shared" ca="1" si="11"/>
        <v>290</v>
      </c>
    </row>
    <row r="40" spans="1:19">
      <c r="A40" s="632" t="str">
        <f>面积!B18</f>
        <v>朝阳区新东路12号院3号楼2层2-128</v>
      </c>
      <c r="B40" s="632">
        <f>面积!F18</f>
        <v>58.29</v>
      </c>
      <c r="C40" s="21">
        <f t="shared" si="12"/>
        <v>1.02</v>
      </c>
      <c r="D40" s="634" t="s">
        <v>3688</v>
      </c>
      <c r="E40" s="21">
        <f t="shared" si="13"/>
        <v>1</v>
      </c>
      <c r="F40" s="634"/>
      <c r="G40" s="21">
        <f t="shared" si="14"/>
        <v>1</v>
      </c>
      <c r="H40" s="634"/>
      <c r="I40" s="21">
        <f t="shared" si="15"/>
        <v>1</v>
      </c>
      <c r="J40" s="634"/>
      <c r="K40" s="21">
        <f t="shared" si="16"/>
        <v>1</v>
      </c>
      <c r="L40" s="634"/>
      <c r="M40" s="21">
        <f t="shared" si="17"/>
        <v>1</v>
      </c>
      <c r="N40" s="634"/>
      <c r="O40" s="21">
        <f t="shared" si="18"/>
        <v>1</v>
      </c>
      <c r="P40" s="634">
        <v>2</v>
      </c>
      <c r="Q40" s="21">
        <f t="shared" si="19"/>
        <v>0.6</v>
      </c>
      <c r="R40" s="21">
        <f t="shared" ca="1" si="20"/>
        <v>44385</v>
      </c>
      <c r="S40" s="307">
        <f t="shared" ca="1" si="11"/>
        <v>259</v>
      </c>
    </row>
    <row r="41" spans="1:19">
      <c r="A41" s="632" t="str">
        <f>面积!B19</f>
        <v>朝阳区新东路12号院3号楼2层2-129</v>
      </c>
      <c r="B41" s="632">
        <f>面积!F19</f>
        <v>79.25</v>
      </c>
      <c r="C41" s="21">
        <f t="shared" si="12"/>
        <v>1.02</v>
      </c>
      <c r="D41" s="634" t="s">
        <v>3688</v>
      </c>
      <c r="E41" s="21">
        <f t="shared" si="13"/>
        <v>1</v>
      </c>
      <c r="F41" s="634"/>
      <c r="G41" s="21">
        <f t="shared" si="14"/>
        <v>1</v>
      </c>
      <c r="H41" s="634"/>
      <c r="I41" s="21">
        <f t="shared" si="15"/>
        <v>1</v>
      </c>
      <c r="J41" s="634"/>
      <c r="K41" s="21">
        <f t="shared" si="16"/>
        <v>1</v>
      </c>
      <c r="L41" s="634"/>
      <c r="M41" s="21">
        <f t="shared" si="17"/>
        <v>1</v>
      </c>
      <c r="N41" s="634"/>
      <c r="O41" s="21">
        <f t="shared" si="18"/>
        <v>1</v>
      </c>
      <c r="P41" s="634">
        <v>2</v>
      </c>
      <c r="Q41" s="21">
        <f t="shared" si="19"/>
        <v>0.6</v>
      </c>
      <c r="R41" s="21">
        <f t="shared" ca="1" si="20"/>
        <v>44385</v>
      </c>
      <c r="S41" s="307">
        <f t="shared" ca="1" si="11"/>
        <v>352</v>
      </c>
    </row>
    <row r="42" spans="1:19">
      <c r="A42" s="632" t="str">
        <f>面积!B20</f>
        <v>朝阳区新东路12号院3号楼2层2-130</v>
      </c>
      <c r="B42" s="632">
        <f>面积!F20</f>
        <v>85.19</v>
      </c>
      <c r="C42" s="21">
        <f t="shared" si="12"/>
        <v>1.02</v>
      </c>
      <c r="D42" s="634" t="s">
        <v>3688</v>
      </c>
      <c r="E42" s="21">
        <f t="shared" si="13"/>
        <v>1</v>
      </c>
      <c r="F42" s="634"/>
      <c r="G42" s="21">
        <f t="shared" si="14"/>
        <v>1</v>
      </c>
      <c r="H42" s="634"/>
      <c r="I42" s="21">
        <f t="shared" si="15"/>
        <v>1</v>
      </c>
      <c r="J42" s="634"/>
      <c r="K42" s="21">
        <f t="shared" si="16"/>
        <v>1</v>
      </c>
      <c r="L42" s="634"/>
      <c r="M42" s="21">
        <f t="shared" si="17"/>
        <v>1</v>
      </c>
      <c r="N42" s="634"/>
      <c r="O42" s="21">
        <f t="shared" si="18"/>
        <v>1</v>
      </c>
      <c r="P42" s="634">
        <v>2</v>
      </c>
      <c r="Q42" s="21">
        <f t="shared" si="19"/>
        <v>0.6</v>
      </c>
      <c r="R42" s="21">
        <f t="shared" ca="1" si="20"/>
        <v>44385</v>
      </c>
      <c r="S42" s="307">
        <f t="shared" ca="1" si="11"/>
        <v>378</v>
      </c>
    </row>
    <row r="43" spans="1:19">
      <c r="A43" s="632" t="str">
        <f>面积!B21</f>
        <v>朝阳区新东路12号院3号楼2层2-131</v>
      </c>
      <c r="B43" s="632">
        <f>面积!F21</f>
        <v>112.41</v>
      </c>
      <c r="C43" s="21">
        <f t="shared" si="12"/>
        <v>1</v>
      </c>
      <c r="D43" s="634" t="s">
        <v>3688</v>
      </c>
      <c r="E43" s="21">
        <f t="shared" si="13"/>
        <v>1</v>
      </c>
      <c r="F43" s="634"/>
      <c r="G43" s="21">
        <f t="shared" si="14"/>
        <v>1</v>
      </c>
      <c r="H43" s="634"/>
      <c r="I43" s="21">
        <f t="shared" si="15"/>
        <v>1</v>
      </c>
      <c r="J43" s="634"/>
      <c r="K43" s="21">
        <f t="shared" si="16"/>
        <v>1</v>
      </c>
      <c r="L43" s="634"/>
      <c r="M43" s="21">
        <f t="shared" si="17"/>
        <v>1</v>
      </c>
      <c r="N43" s="634"/>
      <c r="O43" s="21">
        <f t="shared" si="18"/>
        <v>1</v>
      </c>
      <c r="P43" s="634">
        <v>2</v>
      </c>
      <c r="Q43" s="21">
        <f t="shared" si="19"/>
        <v>0.6</v>
      </c>
      <c r="R43" s="21">
        <f t="shared" ca="1" si="20"/>
        <v>43515</v>
      </c>
      <c r="S43" s="307">
        <f t="shared" ca="1" si="11"/>
        <v>489</v>
      </c>
    </row>
    <row r="44" spans="1:19">
      <c r="A44" s="632" t="str">
        <f>面积!B22</f>
        <v>朝阳区新东路12号院3号楼2层2-132</v>
      </c>
      <c r="B44" s="632">
        <f>面积!F22</f>
        <v>64.739999999999995</v>
      </c>
      <c r="C44" s="21">
        <f t="shared" si="12"/>
        <v>1.02</v>
      </c>
      <c r="D44" s="634" t="s">
        <v>3688</v>
      </c>
      <c r="E44" s="21">
        <f t="shared" si="13"/>
        <v>1</v>
      </c>
      <c r="F44" s="634"/>
      <c r="G44" s="21">
        <f t="shared" si="14"/>
        <v>1</v>
      </c>
      <c r="H44" s="634"/>
      <c r="I44" s="21">
        <f t="shared" si="15"/>
        <v>1</v>
      </c>
      <c r="J44" s="634"/>
      <c r="K44" s="21">
        <f t="shared" si="16"/>
        <v>1</v>
      </c>
      <c r="L44" s="634"/>
      <c r="M44" s="21">
        <f t="shared" si="17"/>
        <v>1</v>
      </c>
      <c r="N44" s="634"/>
      <c r="O44" s="21">
        <f t="shared" si="18"/>
        <v>1</v>
      </c>
      <c r="P44" s="634">
        <v>2</v>
      </c>
      <c r="Q44" s="21">
        <f t="shared" si="19"/>
        <v>0.6</v>
      </c>
      <c r="R44" s="21">
        <f t="shared" ca="1" si="20"/>
        <v>44385</v>
      </c>
      <c r="S44" s="307">
        <f t="shared" ca="1" si="11"/>
        <v>287</v>
      </c>
    </row>
    <row r="45" spans="1:19">
      <c r="A45" s="632" t="str">
        <f>面积!B23</f>
        <v>朝阳区新东路12号院3号楼2层2-133</v>
      </c>
      <c r="B45" s="632">
        <f>面积!F23</f>
        <v>62.76</v>
      </c>
      <c r="C45" s="21">
        <f t="shared" si="12"/>
        <v>1.02</v>
      </c>
      <c r="D45" s="634" t="s">
        <v>3688</v>
      </c>
      <c r="E45" s="21">
        <f t="shared" si="13"/>
        <v>1</v>
      </c>
      <c r="F45" s="634"/>
      <c r="G45" s="21">
        <f t="shared" si="14"/>
        <v>1</v>
      </c>
      <c r="H45" s="634"/>
      <c r="I45" s="21">
        <f t="shared" si="15"/>
        <v>1</v>
      </c>
      <c r="J45" s="634"/>
      <c r="K45" s="21">
        <f t="shared" si="16"/>
        <v>1</v>
      </c>
      <c r="L45" s="634"/>
      <c r="M45" s="21">
        <f t="shared" si="17"/>
        <v>1</v>
      </c>
      <c r="N45" s="634"/>
      <c r="O45" s="21">
        <f t="shared" si="18"/>
        <v>1</v>
      </c>
      <c r="P45" s="634">
        <v>2</v>
      </c>
      <c r="Q45" s="21">
        <f t="shared" si="19"/>
        <v>0.6</v>
      </c>
      <c r="R45" s="21">
        <f t="shared" ca="1" si="20"/>
        <v>44385</v>
      </c>
      <c r="S45" s="307">
        <f t="shared" ca="1" si="11"/>
        <v>279</v>
      </c>
    </row>
    <row r="46" spans="1:19">
      <c r="A46" s="632" t="str">
        <f>面积!B24</f>
        <v>朝阳区新东路12号院3号楼2层2-135</v>
      </c>
      <c r="B46" s="632">
        <f>面积!F24</f>
        <v>60.49</v>
      </c>
      <c r="C46" s="21">
        <f t="shared" si="12"/>
        <v>1.02</v>
      </c>
      <c r="D46" s="634" t="s">
        <v>3688</v>
      </c>
      <c r="E46" s="21">
        <f t="shared" si="13"/>
        <v>1</v>
      </c>
      <c r="F46" s="634"/>
      <c r="G46" s="21">
        <f t="shared" si="14"/>
        <v>1</v>
      </c>
      <c r="H46" s="634"/>
      <c r="I46" s="21">
        <f t="shared" si="15"/>
        <v>1</v>
      </c>
      <c r="J46" s="634"/>
      <c r="K46" s="21">
        <f t="shared" si="16"/>
        <v>1</v>
      </c>
      <c r="L46" s="634"/>
      <c r="M46" s="21">
        <f t="shared" si="17"/>
        <v>1</v>
      </c>
      <c r="N46" s="634"/>
      <c r="O46" s="21">
        <f t="shared" si="18"/>
        <v>1</v>
      </c>
      <c r="P46" s="634">
        <v>2</v>
      </c>
      <c r="Q46" s="21">
        <f t="shared" si="19"/>
        <v>0.6</v>
      </c>
      <c r="R46" s="21">
        <f t="shared" ca="1" si="20"/>
        <v>44385</v>
      </c>
      <c r="S46" s="307">
        <f t="shared" ca="1" si="11"/>
        <v>268</v>
      </c>
    </row>
    <row r="47" spans="1:19">
      <c r="A47" s="632" t="str">
        <f>面积!B25</f>
        <v>朝阳区新东路12号院3号楼2层2-137</v>
      </c>
      <c r="B47" s="632">
        <f>面积!F25</f>
        <v>68.3</v>
      </c>
      <c r="C47" s="21">
        <f t="shared" si="12"/>
        <v>1.02</v>
      </c>
      <c r="D47" s="634" t="s">
        <v>3688</v>
      </c>
      <c r="E47" s="21">
        <f t="shared" si="13"/>
        <v>1</v>
      </c>
      <c r="F47" s="634"/>
      <c r="G47" s="21">
        <f t="shared" si="14"/>
        <v>1</v>
      </c>
      <c r="H47" s="634"/>
      <c r="I47" s="21">
        <f t="shared" si="15"/>
        <v>1</v>
      </c>
      <c r="J47" s="634"/>
      <c r="K47" s="21">
        <f t="shared" si="16"/>
        <v>1</v>
      </c>
      <c r="L47" s="634"/>
      <c r="M47" s="21">
        <f t="shared" si="17"/>
        <v>1</v>
      </c>
      <c r="N47" s="634"/>
      <c r="O47" s="21">
        <f t="shared" si="18"/>
        <v>1</v>
      </c>
      <c r="P47" s="634">
        <v>2</v>
      </c>
      <c r="Q47" s="21">
        <f t="shared" si="19"/>
        <v>0.6</v>
      </c>
      <c r="R47" s="21">
        <f t="shared" ca="1" si="20"/>
        <v>44385</v>
      </c>
      <c r="S47" s="307">
        <f t="shared" ca="1" si="11"/>
        <v>303</v>
      </c>
    </row>
    <row r="48" spans="1:19">
      <c r="A48" s="632" t="str">
        <f>面积!B26</f>
        <v>朝阳区新东路12号院3号楼2层2-138</v>
      </c>
      <c r="B48" s="632">
        <f>面积!F26</f>
        <v>64.61</v>
      </c>
      <c r="C48" s="21">
        <f t="shared" si="12"/>
        <v>1.02</v>
      </c>
      <c r="D48" s="634" t="s">
        <v>3688</v>
      </c>
      <c r="E48" s="21">
        <f t="shared" si="13"/>
        <v>1</v>
      </c>
      <c r="F48" s="634"/>
      <c r="G48" s="21">
        <f t="shared" si="14"/>
        <v>1</v>
      </c>
      <c r="H48" s="634"/>
      <c r="I48" s="21">
        <f t="shared" si="15"/>
        <v>1</v>
      </c>
      <c r="J48" s="634"/>
      <c r="K48" s="21">
        <f t="shared" si="16"/>
        <v>1</v>
      </c>
      <c r="L48" s="634"/>
      <c r="M48" s="21">
        <f t="shared" si="17"/>
        <v>1</v>
      </c>
      <c r="N48" s="634"/>
      <c r="O48" s="21">
        <f t="shared" si="18"/>
        <v>1</v>
      </c>
      <c r="P48" s="634">
        <v>2</v>
      </c>
      <c r="Q48" s="21">
        <f t="shared" si="19"/>
        <v>0.6</v>
      </c>
      <c r="R48" s="21">
        <f t="shared" ca="1" si="20"/>
        <v>44385</v>
      </c>
      <c r="S48" s="307">
        <f t="shared" ca="1" si="11"/>
        <v>287</v>
      </c>
    </row>
    <row r="49" spans="1:19">
      <c r="A49" s="632" t="str">
        <f>面积!B27</f>
        <v>朝阳区新东路12号院3号楼2层2-139</v>
      </c>
      <c r="B49" s="632">
        <f>面积!F27</f>
        <v>57.44</v>
      </c>
      <c r="C49" s="21">
        <f t="shared" si="12"/>
        <v>1.02</v>
      </c>
      <c r="D49" s="634" t="s">
        <v>3688</v>
      </c>
      <c r="E49" s="21">
        <f t="shared" si="13"/>
        <v>1</v>
      </c>
      <c r="F49" s="634"/>
      <c r="G49" s="21">
        <f t="shared" si="14"/>
        <v>1</v>
      </c>
      <c r="H49" s="634"/>
      <c r="I49" s="21">
        <f t="shared" si="15"/>
        <v>1</v>
      </c>
      <c r="J49" s="634"/>
      <c r="K49" s="21">
        <f t="shared" si="16"/>
        <v>1</v>
      </c>
      <c r="L49" s="634"/>
      <c r="M49" s="21">
        <f t="shared" si="17"/>
        <v>1</v>
      </c>
      <c r="N49" s="634"/>
      <c r="O49" s="21">
        <f t="shared" si="18"/>
        <v>1</v>
      </c>
      <c r="P49" s="634">
        <v>2</v>
      </c>
      <c r="Q49" s="21">
        <f t="shared" si="19"/>
        <v>0.6</v>
      </c>
      <c r="R49" s="21">
        <f t="shared" ca="1" si="20"/>
        <v>44385</v>
      </c>
      <c r="S49" s="307">
        <f t="shared" ca="1" si="11"/>
        <v>255</v>
      </c>
    </row>
    <row r="50" spans="1:19">
      <c r="A50" s="632" t="str">
        <f>面积!B28</f>
        <v>朝阳区新东路12号院3号楼2层2-186</v>
      </c>
      <c r="B50" s="632">
        <f>面积!F28</f>
        <v>72.5</v>
      </c>
      <c r="C50" s="21">
        <f t="shared" si="12"/>
        <v>1.02</v>
      </c>
      <c r="D50" s="634" t="s">
        <v>3688</v>
      </c>
      <c r="E50" s="21">
        <f t="shared" si="13"/>
        <v>1</v>
      </c>
      <c r="F50" s="634"/>
      <c r="G50" s="21">
        <f t="shared" si="14"/>
        <v>1</v>
      </c>
      <c r="H50" s="634"/>
      <c r="I50" s="21">
        <f t="shared" si="15"/>
        <v>1</v>
      </c>
      <c r="J50" s="634"/>
      <c r="K50" s="21">
        <f t="shared" si="16"/>
        <v>1</v>
      </c>
      <c r="L50" s="634"/>
      <c r="M50" s="21">
        <f t="shared" si="17"/>
        <v>1</v>
      </c>
      <c r="N50" s="634"/>
      <c r="O50" s="21">
        <f t="shared" si="18"/>
        <v>1</v>
      </c>
      <c r="P50" s="634">
        <v>2</v>
      </c>
      <c r="Q50" s="21">
        <f t="shared" si="19"/>
        <v>0.6</v>
      </c>
      <c r="R50" s="21">
        <f t="shared" ca="1" si="20"/>
        <v>44385</v>
      </c>
      <c r="S50" s="307">
        <f t="shared" ca="1" si="11"/>
        <v>322</v>
      </c>
    </row>
    <row r="51" spans="1:19">
      <c r="A51" s="632" t="str">
        <f>面积!B29</f>
        <v>朝阳区新东路12号院3号楼2层2-187</v>
      </c>
      <c r="B51" s="632">
        <f>面积!F29</f>
        <v>76.900000000000006</v>
      </c>
      <c r="C51" s="21">
        <f t="shared" si="12"/>
        <v>1.02</v>
      </c>
      <c r="D51" s="634" t="s">
        <v>3688</v>
      </c>
      <c r="E51" s="21">
        <f t="shared" si="13"/>
        <v>1</v>
      </c>
      <c r="F51" s="634"/>
      <c r="G51" s="21">
        <f t="shared" si="14"/>
        <v>1</v>
      </c>
      <c r="H51" s="634"/>
      <c r="I51" s="21">
        <f t="shared" si="15"/>
        <v>1</v>
      </c>
      <c r="J51" s="634"/>
      <c r="K51" s="21">
        <f t="shared" si="16"/>
        <v>1</v>
      </c>
      <c r="L51" s="634"/>
      <c r="M51" s="21">
        <f t="shared" si="17"/>
        <v>1</v>
      </c>
      <c r="N51" s="634"/>
      <c r="O51" s="21">
        <f t="shared" si="18"/>
        <v>1</v>
      </c>
      <c r="P51" s="634">
        <v>2</v>
      </c>
      <c r="Q51" s="21">
        <f t="shared" si="19"/>
        <v>0.6</v>
      </c>
      <c r="R51" s="21">
        <f t="shared" ca="1" si="20"/>
        <v>44385</v>
      </c>
      <c r="S51" s="307">
        <f t="shared" ca="1" si="11"/>
        <v>341</v>
      </c>
    </row>
    <row r="52" spans="1:19">
      <c r="A52" s="632" t="str">
        <f>面积!B30</f>
        <v>朝阳区新东路12号院3号楼2层2-188</v>
      </c>
      <c r="B52" s="632">
        <f>面积!F30</f>
        <v>54.44</v>
      </c>
      <c r="C52" s="21">
        <f t="shared" si="12"/>
        <v>1.02</v>
      </c>
      <c r="D52" s="634" t="s">
        <v>3688</v>
      </c>
      <c r="E52" s="21">
        <f t="shared" si="13"/>
        <v>1</v>
      </c>
      <c r="F52" s="634"/>
      <c r="G52" s="21">
        <f t="shared" si="14"/>
        <v>1</v>
      </c>
      <c r="H52" s="634"/>
      <c r="I52" s="21">
        <f t="shared" si="15"/>
        <v>1</v>
      </c>
      <c r="J52" s="634"/>
      <c r="K52" s="21">
        <f t="shared" si="16"/>
        <v>1</v>
      </c>
      <c r="L52" s="634"/>
      <c r="M52" s="21">
        <f t="shared" si="17"/>
        <v>1</v>
      </c>
      <c r="N52" s="634"/>
      <c r="O52" s="21">
        <f t="shared" si="18"/>
        <v>1</v>
      </c>
      <c r="P52" s="634">
        <v>2</v>
      </c>
      <c r="Q52" s="21">
        <f t="shared" si="19"/>
        <v>0.6</v>
      </c>
      <c r="R52" s="21">
        <f t="shared" ca="1" si="20"/>
        <v>44385</v>
      </c>
      <c r="S52" s="307">
        <f t="shared" ca="1" si="11"/>
        <v>242</v>
      </c>
    </row>
    <row r="53" spans="1:19">
      <c r="A53" s="632" t="str">
        <f>面积!B31</f>
        <v>朝阳区新东路12号院3号楼2层2-189</v>
      </c>
      <c r="B53" s="632">
        <f>面积!F31</f>
        <v>114.34</v>
      </c>
      <c r="C53" s="21">
        <f t="shared" si="12"/>
        <v>1</v>
      </c>
      <c r="D53" s="634" t="s">
        <v>3688</v>
      </c>
      <c r="E53" s="21">
        <f t="shared" si="13"/>
        <v>1</v>
      </c>
      <c r="F53" s="634"/>
      <c r="G53" s="21">
        <f t="shared" si="14"/>
        <v>1</v>
      </c>
      <c r="H53" s="634"/>
      <c r="I53" s="21">
        <f t="shared" si="15"/>
        <v>1</v>
      </c>
      <c r="J53" s="634"/>
      <c r="K53" s="21">
        <f t="shared" si="16"/>
        <v>1</v>
      </c>
      <c r="L53" s="634"/>
      <c r="M53" s="21">
        <f t="shared" si="17"/>
        <v>1</v>
      </c>
      <c r="N53" s="634"/>
      <c r="O53" s="21">
        <f t="shared" si="18"/>
        <v>1</v>
      </c>
      <c r="P53" s="634">
        <v>2</v>
      </c>
      <c r="Q53" s="21">
        <f t="shared" si="19"/>
        <v>0.6</v>
      </c>
      <c r="R53" s="21">
        <f t="shared" ca="1" si="20"/>
        <v>43515</v>
      </c>
      <c r="S53" s="307">
        <f t="shared" ca="1" si="11"/>
        <v>498</v>
      </c>
    </row>
    <row r="54" spans="1:19">
      <c r="A54" s="632" t="str">
        <f>面积!B32</f>
        <v>朝阳区新东路12号院3号楼3层3-119</v>
      </c>
      <c r="B54" s="632">
        <f>面积!F32</f>
        <v>75.69</v>
      </c>
      <c r="C54" s="21">
        <f t="shared" si="12"/>
        <v>1.02</v>
      </c>
      <c r="D54" s="634" t="s">
        <v>3688</v>
      </c>
      <c r="E54" s="21">
        <f t="shared" si="13"/>
        <v>1</v>
      </c>
      <c r="F54" s="634"/>
      <c r="G54" s="21">
        <f t="shared" si="14"/>
        <v>1</v>
      </c>
      <c r="H54" s="634"/>
      <c r="I54" s="21">
        <f t="shared" si="15"/>
        <v>1</v>
      </c>
      <c r="J54" s="634"/>
      <c r="K54" s="21">
        <f t="shared" si="16"/>
        <v>1</v>
      </c>
      <c r="L54" s="634"/>
      <c r="M54" s="21">
        <f t="shared" si="17"/>
        <v>1</v>
      </c>
      <c r="N54" s="634"/>
      <c r="O54" s="21">
        <f t="shared" si="18"/>
        <v>1</v>
      </c>
      <c r="P54" s="634">
        <v>3</v>
      </c>
      <c r="Q54" s="21">
        <f t="shared" si="19"/>
        <v>0.5</v>
      </c>
      <c r="R54" s="21">
        <f t="shared" ca="1" si="20"/>
        <v>36988</v>
      </c>
      <c r="S54" s="307">
        <f t="shared" ca="1" si="11"/>
        <v>280</v>
      </c>
    </row>
    <row r="55" spans="1:19">
      <c r="A55" s="632" t="str">
        <f>面积!B33</f>
        <v>朝阳区新东路12号院3号楼3层3-120</v>
      </c>
      <c r="B55" s="632">
        <f>面积!F33</f>
        <v>67.33</v>
      </c>
      <c r="C55" s="21">
        <f t="shared" si="12"/>
        <v>1.02</v>
      </c>
      <c r="D55" s="634" t="s">
        <v>3688</v>
      </c>
      <c r="E55" s="21">
        <f t="shared" si="13"/>
        <v>1</v>
      </c>
      <c r="F55" s="634"/>
      <c r="G55" s="21">
        <f t="shared" si="14"/>
        <v>1</v>
      </c>
      <c r="H55" s="634"/>
      <c r="I55" s="21">
        <f t="shared" si="15"/>
        <v>1</v>
      </c>
      <c r="J55" s="634"/>
      <c r="K55" s="21">
        <f t="shared" si="16"/>
        <v>1</v>
      </c>
      <c r="L55" s="634"/>
      <c r="M55" s="21">
        <f t="shared" si="17"/>
        <v>1</v>
      </c>
      <c r="N55" s="634"/>
      <c r="O55" s="21">
        <f t="shared" si="18"/>
        <v>1</v>
      </c>
      <c r="P55" s="634">
        <v>3</v>
      </c>
      <c r="Q55" s="21">
        <f t="shared" si="19"/>
        <v>0.5</v>
      </c>
      <c r="R55" s="21">
        <f t="shared" ca="1" si="20"/>
        <v>36988</v>
      </c>
      <c r="S55" s="307">
        <f t="shared" ref="S55:S77" ca="1" si="21">ROUND(R55*B55/10000,0)</f>
        <v>249</v>
      </c>
    </row>
    <row r="56" spans="1:19">
      <c r="A56" s="632" t="str">
        <f>面积!B34</f>
        <v>朝阳区新东路12号院3号楼3层3-121</v>
      </c>
      <c r="B56" s="632">
        <f>面积!F34</f>
        <v>93.6</v>
      </c>
      <c r="C56" s="21">
        <f t="shared" si="12"/>
        <v>1.02</v>
      </c>
      <c r="D56" s="634" t="s">
        <v>3688</v>
      </c>
      <c r="E56" s="21">
        <f t="shared" si="13"/>
        <v>1</v>
      </c>
      <c r="F56" s="634"/>
      <c r="G56" s="21">
        <f t="shared" si="14"/>
        <v>1</v>
      </c>
      <c r="H56" s="634"/>
      <c r="I56" s="21">
        <f t="shared" si="15"/>
        <v>1</v>
      </c>
      <c r="J56" s="634"/>
      <c r="K56" s="21">
        <f t="shared" si="16"/>
        <v>1</v>
      </c>
      <c r="L56" s="634"/>
      <c r="M56" s="21">
        <f t="shared" si="17"/>
        <v>1</v>
      </c>
      <c r="N56" s="634"/>
      <c r="O56" s="21">
        <f t="shared" si="18"/>
        <v>1</v>
      </c>
      <c r="P56" s="634">
        <v>3</v>
      </c>
      <c r="Q56" s="21">
        <f t="shared" si="19"/>
        <v>0.5</v>
      </c>
      <c r="R56" s="21">
        <f t="shared" ca="1" si="20"/>
        <v>36988</v>
      </c>
      <c r="S56" s="307">
        <f t="shared" ca="1" si="21"/>
        <v>346</v>
      </c>
    </row>
    <row r="57" spans="1:19">
      <c r="A57" s="632" t="str">
        <f>面积!B35</f>
        <v>朝阳区新东路12号院3号楼3层3-122</v>
      </c>
      <c r="B57" s="632">
        <f>面积!F35</f>
        <v>39.18</v>
      </c>
      <c r="C57" s="21">
        <f t="shared" si="12"/>
        <v>1.04</v>
      </c>
      <c r="D57" s="634" t="s">
        <v>3688</v>
      </c>
      <c r="E57" s="21">
        <f t="shared" si="13"/>
        <v>1</v>
      </c>
      <c r="F57" s="634"/>
      <c r="G57" s="21">
        <f t="shared" si="14"/>
        <v>1</v>
      </c>
      <c r="H57" s="634"/>
      <c r="I57" s="21">
        <f t="shared" si="15"/>
        <v>1</v>
      </c>
      <c r="J57" s="634"/>
      <c r="K57" s="21">
        <f t="shared" si="16"/>
        <v>1</v>
      </c>
      <c r="L57" s="634"/>
      <c r="M57" s="21">
        <f t="shared" si="17"/>
        <v>1</v>
      </c>
      <c r="N57" s="634"/>
      <c r="O57" s="21">
        <f t="shared" si="18"/>
        <v>1</v>
      </c>
      <c r="P57" s="634">
        <v>3</v>
      </c>
      <c r="Q57" s="21">
        <f t="shared" si="19"/>
        <v>0.5</v>
      </c>
      <c r="R57" s="21">
        <f t="shared" ca="1" si="20"/>
        <v>37713</v>
      </c>
      <c r="S57" s="307">
        <f t="shared" ca="1" si="21"/>
        <v>148</v>
      </c>
    </row>
    <row r="58" spans="1:19">
      <c r="A58" s="632" t="str">
        <f>面积!B36</f>
        <v>朝阳区新东路12号院3号楼3层3-123</v>
      </c>
      <c r="B58" s="632">
        <f>面积!F36</f>
        <v>34.07</v>
      </c>
      <c r="C58" s="21">
        <f t="shared" si="12"/>
        <v>1.04</v>
      </c>
      <c r="D58" s="634" t="s">
        <v>3688</v>
      </c>
      <c r="E58" s="21">
        <f t="shared" si="13"/>
        <v>1</v>
      </c>
      <c r="F58" s="634"/>
      <c r="G58" s="21">
        <f t="shared" si="14"/>
        <v>1</v>
      </c>
      <c r="H58" s="634"/>
      <c r="I58" s="21">
        <f t="shared" si="15"/>
        <v>1</v>
      </c>
      <c r="J58" s="634"/>
      <c r="K58" s="21">
        <f t="shared" si="16"/>
        <v>1</v>
      </c>
      <c r="L58" s="634"/>
      <c r="M58" s="21">
        <f t="shared" si="17"/>
        <v>1</v>
      </c>
      <c r="N58" s="634"/>
      <c r="O58" s="21">
        <f t="shared" si="18"/>
        <v>1</v>
      </c>
      <c r="P58" s="634">
        <v>3</v>
      </c>
      <c r="Q58" s="21">
        <f t="shared" si="19"/>
        <v>0.5</v>
      </c>
      <c r="R58" s="21">
        <f t="shared" ca="1" si="20"/>
        <v>37713</v>
      </c>
      <c r="S58" s="307">
        <f t="shared" ca="1" si="21"/>
        <v>128</v>
      </c>
    </row>
    <row r="59" spans="1:19">
      <c r="A59" s="632" t="str">
        <f>面积!B37</f>
        <v>朝阳区新东路12号院3号楼3层3-125</v>
      </c>
      <c r="B59" s="632">
        <f>面积!F37</f>
        <v>59.36</v>
      </c>
      <c r="C59" s="21">
        <f t="shared" si="12"/>
        <v>1.02</v>
      </c>
      <c r="D59" s="634" t="s">
        <v>3688</v>
      </c>
      <c r="E59" s="21">
        <f t="shared" si="13"/>
        <v>1</v>
      </c>
      <c r="F59" s="634"/>
      <c r="G59" s="21">
        <f t="shared" si="14"/>
        <v>1</v>
      </c>
      <c r="H59" s="634"/>
      <c r="I59" s="21">
        <f t="shared" si="15"/>
        <v>1</v>
      </c>
      <c r="J59" s="634"/>
      <c r="K59" s="21">
        <f t="shared" si="16"/>
        <v>1</v>
      </c>
      <c r="L59" s="634"/>
      <c r="M59" s="21">
        <f t="shared" si="17"/>
        <v>1</v>
      </c>
      <c r="N59" s="634"/>
      <c r="O59" s="21">
        <f t="shared" si="18"/>
        <v>1</v>
      </c>
      <c r="P59" s="634">
        <v>3</v>
      </c>
      <c r="Q59" s="21">
        <f t="shared" si="19"/>
        <v>0.5</v>
      </c>
      <c r="R59" s="21">
        <f t="shared" ca="1" si="20"/>
        <v>36988</v>
      </c>
      <c r="S59" s="307">
        <f t="shared" ca="1" si="21"/>
        <v>220</v>
      </c>
    </row>
    <row r="60" spans="1:19">
      <c r="A60" s="632" t="str">
        <f>面积!B38</f>
        <v>朝阳区新东路12号院3号楼3层3-126</v>
      </c>
      <c r="B60" s="632">
        <f>面积!F38</f>
        <v>57.78</v>
      </c>
      <c r="C60" s="21">
        <f t="shared" si="12"/>
        <v>1.02</v>
      </c>
      <c r="D60" s="634" t="s">
        <v>3688</v>
      </c>
      <c r="E60" s="21">
        <f t="shared" si="13"/>
        <v>1</v>
      </c>
      <c r="F60" s="634"/>
      <c r="G60" s="21">
        <f t="shared" si="14"/>
        <v>1</v>
      </c>
      <c r="H60" s="634"/>
      <c r="I60" s="21">
        <f t="shared" si="15"/>
        <v>1</v>
      </c>
      <c r="J60" s="634"/>
      <c r="K60" s="21">
        <f t="shared" si="16"/>
        <v>1</v>
      </c>
      <c r="L60" s="634"/>
      <c r="M60" s="21">
        <f t="shared" si="17"/>
        <v>1</v>
      </c>
      <c r="N60" s="634"/>
      <c r="O60" s="21">
        <f t="shared" si="18"/>
        <v>1</v>
      </c>
      <c r="P60" s="634">
        <v>3</v>
      </c>
      <c r="Q60" s="21">
        <f t="shared" si="19"/>
        <v>0.5</v>
      </c>
      <c r="R60" s="21">
        <f t="shared" ca="1" si="20"/>
        <v>36988</v>
      </c>
      <c r="S60" s="307">
        <f t="shared" ca="1" si="21"/>
        <v>214</v>
      </c>
    </row>
    <row r="61" spans="1:19">
      <c r="A61" s="632" t="str">
        <f>面积!B39</f>
        <v>朝阳区新东路12号院3号楼3层3-127</v>
      </c>
      <c r="B61" s="632">
        <f>面积!F39</f>
        <v>65.25</v>
      </c>
      <c r="C61" s="21">
        <f t="shared" si="12"/>
        <v>1.02</v>
      </c>
      <c r="D61" s="634" t="s">
        <v>3688</v>
      </c>
      <c r="E61" s="21">
        <f t="shared" si="13"/>
        <v>1</v>
      </c>
      <c r="F61" s="634"/>
      <c r="G61" s="21">
        <f t="shared" si="14"/>
        <v>1</v>
      </c>
      <c r="H61" s="634"/>
      <c r="I61" s="21">
        <f t="shared" si="15"/>
        <v>1</v>
      </c>
      <c r="J61" s="634"/>
      <c r="K61" s="21">
        <f t="shared" si="16"/>
        <v>1</v>
      </c>
      <c r="L61" s="634"/>
      <c r="M61" s="21">
        <f t="shared" si="17"/>
        <v>1</v>
      </c>
      <c r="N61" s="634"/>
      <c r="O61" s="21">
        <f t="shared" si="18"/>
        <v>1</v>
      </c>
      <c r="P61" s="634">
        <v>3</v>
      </c>
      <c r="Q61" s="21">
        <f t="shared" si="19"/>
        <v>0.5</v>
      </c>
      <c r="R61" s="21">
        <f t="shared" ca="1" si="20"/>
        <v>36988</v>
      </c>
      <c r="S61" s="307">
        <f t="shared" ca="1" si="21"/>
        <v>241</v>
      </c>
    </row>
    <row r="62" spans="1:19">
      <c r="A62" s="632" t="str">
        <f>面积!B40</f>
        <v>朝阳区新东路12号院3号楼3层3-128</v>
      </c>
      <c r="B62" s="632">
        <f>面积!F40</f>
        <v>58.29</v>
      </c>
      <c r="C62" s="21">
        <f t="shared" si="12"/>
        <v>1.02</v>
      </c>
      <c r="D62" s="634" t="s">
        <v>3688</v>
      </c>
      <c r="E62" s="21">
        <f t="shared" si="13"/>
        <v>1</v>
      </c>
      <c r="F62" s="634"/>
      <c r="G62" s="21">
        <f t="shared" si="14"/>
        <v>1</v>
      </c>
      <c r="H62" s="634"/>
      <c r="I62" s="21">
        <f t="shared" si="15"/>
        <v>1</v>
      </c>
      <c r="J62" s="634"/>
      <c r="K62" s="21">
        <f t="shared" si="16"/>
        <v>1</v>
      </c>
      <c r="L62" s="634"/>
      <c r="M62" s="21">
        <f t="shared" si="17"/>
        <v>1</v>
      </c>
      <c r="N62" s="634"/>
      <c r="O62" s="21">
        <f t="shared" si="18"/>
        <v>1</v>
      </c>
      <c r="P62" s="634">
        <v>3</v>
      </c>
      <c r="Q62" s="21">
        <f t="shared" si="19"/>
        <v>0.5</v>
      </c>
      <c r="R62" s="21">
        <f t="shared" ca="1" si="20"/>
        <v>36988</v>
      </c>
      <c r="S62" s="307">
        <f t="shared" ca="1" si="21"/>
        <v>216</v>
      </c>
    </row>
    <row r="63" spans="1:19">
      <c r="A63" s="632" t="str">
        <f>面积!B41</f>
        <v>朝阳区新东路12号院3号楼3层3-129</v>
      </c>
      <c r="B63" s="632">
        <f>面积!F41</f>
        <v>79.33</v>
      </c>
      <c r="C63" s="21">
        <f t="shared" si="12"/>
        <v>1.02</v>
      </c>
      <c r="D63" s="634" t="s">
        <v>3688</v>
      </c>
      <c r="E63" s="21">
        <f t="shared" si="13"/>
        <v>1</v>
      </c>
      <c r="F63" s="634"/>
      <c r="G63" s="21">
        <f t="shared" si="14"/>
        <v>1</v>
      </c>
      <c r="H63" s="634"/>
      <c r="I63" s="21">
        <f t="shared" si="15"/>
        <v>1</v>
      </c>
      <c r="J63" s="634"/>
      <c r="K63" s="21">
        <f t="shared" si="16"/>
        <v>1</v>
      </c>
      <c r="L63" s="634"/>
      <c r="M63" s="21">
        <f t="shared" si="17"/>
        <v>1</v>
      </c>
      <c r="N63" s="634"/>
      <c r="O63" s="21">
        <f t="shared" si="18"/>
        <v>1</v>
      </c>
      <c r="P63" s="634">
        <v>3</v>
      </c>
      <c r="Q63" s="21">
        <f t="shared" si="19"/>
        <v>0.5</v>
      </c>
      <c r="R63" s="21">
        <f t="shared" ca="1" si="20"/>
        <v>36988</v>
      </c>
      <c r="S63" s="307">
        <f t="shared" ca="1" si="21"/>
        <v>293</v>
      </c>
    </row>
    <row r="64" spans="1:19">
      <c r="A64" s="632" t="str">
        <f>面积!B42</f>
        <v>朝阳区新东路12号院3号楼3层3-130</v>
      </c>
      <c r="B64" s="632">
        <f>面积!F42</f>
        <v>85.19</v>
      </c>
      <c r="C64" s="21">
        <f t="shared" si="12"/>
        <v>1.02</v>
      </c>
      <c r="D64" s="634" t="s">
        <v>3688</v>
      </c>
      <c r="E64" s="21">
        <f t="shared" si="13"/>
        <v>1</v>
      </c>
      <c r="F64" s="634"/>
      <c r="G64" s="21">
        <f t="shared" si="14"/>
        <v>1</v>
      </c>
      <c r="H64" s="634"/>
      <c r="I64" s="21">
        <f t="shared" si="15"/>
        <v>1</v>
      </c>
      <c r="J64" s="634"/>
      <c r="K64" s="21">
        <f t="shared" si="16"/>
        <v>1</v>
      </c>
      <c r="L64" s="634"/>
      <c r="M64" s="21">
        <f t="shared" si="17"/>
        <v>1</v>
      </c>
      <c r="N64" s="634"/>
      <c r="O64" s="21">
        <f t="shared" si="18"/>
        <v>1</v>
      </c>
      <c r="P64" s="634">
        <v>3</v>
      </c>
      <c r="Q64" s="21">
        <f t="shared" si="19"/>
        <v>0.5</v>
      </c>
      <c r="R64" s="21">
        <f t="shared" ca="1" si="20"/>
        <v>36988</v>
      </c>
      <c r="S64" s="307">
        <f t="shared" ca="1" si="21"/>
        <v>315</v>
      </c>
    </row>
    <row r="65" spans="1:19">
      <c r="A65" s="632" t="str">
        <f>面积!B43</f>
        <v>朝阳区新东路12号院3号楼3层3-131</v>
      </c>
      <c r="B65" s="632">
        <f>面积!F43</f>
        <v>112.41</v>
      </c>
      <c r="C65" s="21">
        <f t="shared" si="12"/>
        <v>1</v>
      </c>
      <c r="D65" s="634" t="s">
        <v>3688</v>
      </c>
      <c r="E65" s="21">
        <f t="shared" si="13"/>
        <v>1</v>
      </c>
      <c r="F65" s="634"/>
      <c r="G65" s="21">
        <f t="shared" si="14"/>
        <v>1</v>
      </c>
      <c r="H65" s="634"/>
      <c r="I65" s="21">
        <f t="shared" si="15"/>
        <v>1</v>
      </c>
      <c r="J65" s="634"/>
      <c r="K65" s="21">
        <f t="shared" si="16"/>
        <v>1</v>
      </c>
      <c r="L65" s="634"/>
      <c r="M65" s="21">
        <f t="shared" si="17"/>
        <v>1</v>
      </c>
      <c r="N65" s="634"/>
      <c r="O65" s="21">
        <f t="shared" si="18"/>
        <v>1</v>
      </c>
      <c r="P65" s="634">
        <v>3</v>
      </c>
      <c r="Q65" s="21">
        <f t="shared" si="19"/>
        <v>0.5</v>
      </c>
      <c r="R65" s="21">
        <f t="shared" ca="1" si="20"/>
        <v>36263</v>
      </c>
      <c r="S65" s="307">
        <f t="shared" ca="1" si="21"/>
        <v>408</v>
      </c>
    </row>
    <row r="66" spans="1:19">
      <c r="A66" s="632" t="str">
        <f>面积!B44</f>
        <v>朝阳区新东路12号院3号楼3层3-132</v>
      </c>
      <c r="B66" s="632">
        <f>面积!F44</f>
        <v>64.739999999999995</v>
      </c>
      <c r="C66" s="21">
        <f t="shared" si="12"/>
        <v>1.02</v>
      </c>
      <c r="D66" s="634" t="s">
        <v>3688</v>
      </c>
      <c r="E66" s="21">
        <f t="shared" si="13"/>
        <v>1</v>
      </c>
      <c r="F66" s="634"/>
      <c r="G66" s="21">
        <f t="shared" si="14"/>
        <v>1</v>
      </c>
      <c r="H66" s="634"/>
      <c r="I66" s="21">
        <f t="shared" si="15"/>
        <v>1</v>
      </c>
      <c r="J66" s="634"/>
      <c r="K66" s="21">
        <f t="shared" si="16"/>
        <v>1</v>
      </c>
      <c r="L66" s="634"/>
      <c r="M66" s="21">
        <f t="shared" si="17"/>
        <v>1</v>
      </c>
      <c r="N66" s="634"/>
      <c r="O66" s="21">
        <f t="shared" si="18"/>
        <v>1</v>
      </c>
      <c r="P66" s="634">
        <v>3</v>
      </c>
      <c r="Q66" s="21">
        <f t="shared" si="19"/>
        <v>0.5</v>
      </c>
      <c r="R66" s="21">
        <f t="shared" ca="1" si="20"/>
        <v>36988</v>
      </c>
      <c r="S66" s="307">
        <f t="shared" ca="1" si="21"/>
        <v>239</v>
      </c>
    </row>
    <row r="67" spans="1:19">
      <c r="A67" s="632" t="str">
        <f>面积!B45</f>
        <v>朝阳区新东路12号院3号楼3层3-133</v>
      </c>
      <c r="B67" s="632">
        <f>面积!F45</f>
        <v>62.76</v>
      </c>
      <c r="C67" s="21">
        <f t="shared" si="12"/>
        <v>1.02</v>
      </c>
      <c r="D67" s="634" t="s">
        <v>3688</v>
      </c>
      <c r="E67" s="21">
        <f t="shared" si="13"/>
        <v>1</v>
      </c>
      <c r="F67" s="634"/>
      <c r="G67" s="21">
        <f t="shared" si="14"/>
        <v>1</v>
      </c>
      <c r="H67" s="634"/>
      <c r="I67" s="21">
        <f t="shared" si="15"/>
        <v>1</v>
      </c>
      <c r="J67" s="634"/>
      <c r="K67" s="21">
        <f t="shared" si="16"/>
        <v>1</v>
      </c>
      <c r="L67" s="634"/>
      <c r="M67" s="21">
        <f t="shared" si="17"/>
        <v>1</v>
      </c>
      <c r="N67" s="634"/>
      <c r="O67" s="21">
        <f t="shared" si="18"/>
        <v>1</v>
      </c>
      <c r="P67" s="634">
        <v>3</v>
      </c>
      <c r="Q67" s="21">
        <f t="shared" si="19"/>
        <v>0.5</v>
      </c>
      <c r="R67" s="21">
        <f t="shared" ca="1" si="20"/>
        <v>36988</v>
      </c>
      <c r="S67" s="307">
        <f t="shared" ca="1" si="21"/>
        <v>232</v>
      </c>
    </row>
    <row r="68" spans="1:19">
      <c r="A68" s="632" t="str">
        <f>面积!B46</f>
        <v>朝阳区新东路12号院3号楼3层3-135</v>
      </c>
      <c r="B68" s="632">
        <f>面积!F46</f>
        <v>60.49</v>
      </c>
      <c r="C68" s="21">
        <f t="shared" si="12"/>
        <v>1.02</v>
      </c>
      <c r="D68" s="634" t="s">
        <v>3688</v>
      </c>
      <c r="E68" s="21">
        <f t="shared" si="13"/>
        <v>1</v>
      </c>
      <c r="F68" s="634"/>
      <c r="G68" s="21">
        <f t="shared" si="14"/>
        <v>1</v>
      </c>
      <c r="H68" s="634"/>
      <c r="I68" s="21">
        <f t="shared" si="15"/>
        <v>1</v>
      </c>
      <c r="J68" s="634"/>
      <c r="K68" s="21">
        <f t="shared" si="16"/>
        <v>1</v>
      </c>
      <c r="L68" s="634"/>
      <c r="M68" s="21">
        <f t="shared" si="17"/>
        <v>1</v>
      </c>
      <c r="N68" s="634"/>
      <c r="O68" s="21">
        <f t="shared" si="18"/>
        <v>1</v>
      </c>
      <c r="P68" s="634">
        <v>3</v>
      </c>
      <c r="Q68" s="21">
        <f t="shared" si="19"/>
        <v>0.5</v>
      </c>
      <c r="R68" s="21">
        <f t="shared" ca="1" si="20"/>
        <v>36988</v>
      </c>
      <c r="S68" s="307">
        <f t="shared" ca="1" si="21"/>
        <v>224</v>
      </c>
    </row>
    <row r="69" spans="1:19">
      <c r="A69" s="632" t="str">
        <f>面积!B47</f>
        <v>朝阳区新东路12号院3号楼3层3-136</v>
      </c>
      <c r="B69" s="632">
        <f>面积!F47</f>
        <v>57.25</v>
      </c>
      <c r="C69" s="21">
        <f t="shared" si="12"/>
        <v>1.02</v>
      </c>
      <c r="D69" s="634" t="s">
        <v>3688</v>
      </c>
      <c r="E69" s="21">
        <f t="shared" si="13"/>
        <v>1</v>
      </c>
      <c r="F69" s="634"/>
      <c r="G69" s="21">
        <f t="shared" si="14"/>
        <v>1</v>
      </c>
      <c r="H69" s="634"/>
      <c r="I69" s="21">
        <f t="shared" si="15"/>
        <v>1</v>
      </c>
      <c r="J69" s="634"/>
      <c r="K69" s="21">
        <f t="shared" si="16"/>
        <v>1</v>
      </c>
      <c r="L69" s="634"/>
      <c r="M69" s="21">
        <f t="shared" si="17"/>
        <v>1</v>
      </c>
      <c r="N69" s="634"/>
      <c r="O69" s="21">
        <f t="shared" si="18"/>
        <v>1</v>
      </c>
      <c r="P69" s="634">
        <v>3</v>
      </c>
      <c r="Q69" s="21">
        <f t="shared" si="19"/>
        <v>0.5</v>
      </c>
      <c r="R69" s="21">
        <f t="shared" ca="1" si="20"/>
        <v>36988</v>
      </c>
      <c r="S69" s="307">
        <f t="shared" ca="1" si="21"/>
        <v>212</v>
      </c>
    </row>
    <row r="70" spans="1:19">
      <c r="A70" s="632" t="str">
        <f>面积!B48</f>
        <v>朝阳区新东路12号院3号楼3层3-137</v>
      </c>
      <c r="B70" s="632">
        <f>面积!F48</f>
        <v>68.3</v>
      </c>
      <c r="C70" s="21">
        <f t="shared" si="12"/>
        <v>1.02</v>
      </c>
      <c r="D70" s="634" t="s">
        <v>3688</v>
      </c>
      <c r="E70" s="21">
        <f t="shared" si="13"/>
        <v>1</v>
      </c>
      <c r="F70" s="634"/>
      <c r="G70" s="21">
        <f t="shared" si="14"/>
        <v>1</v>
      </c>
      <c r="H70" s="634"/>
      <c r="I70" s="21">
        <f t="shared" si="15"/>
        <v>1</v>
      </c>
      <c r="J70" s="634"/>
      <c r="K70" s="21">
        <f t="shared" si="16"/>
        <v>1</v>
      </c>
      <c r="L70" s="634"/>
      <c r="M70" s="21">
        <f t="shared" si="17"/>
        <v>1</v>
      </c>
      <c r="N70" s="634"/>
      <c r="O70" s="21">
        <f t="shared" si="18"/>
        <v>1</v>
      </c>
      <c r="P70" s="634">
        <v>3</v>
      </c>
      <c r="Q70" s="21">
        <f t="shared" si="19"/>
        <v>0.5</v>
      </c>
      <c r="R70" s="21">
        <f t="shared" ca="1" si="20"/>
        <v>36988</v>
      </c>
      <c r="S70" s="307">
        <f t="shared" ca="1" si="21"/>
        <v>253</v>
      </c>
    </row>
    <row r="71" spans="1:19">
      <c r="A71" s="632" t="str">
        <f>面积!B49</f>
        <v>朝阳区新东路12号院3号楼3层3-138</v>
      </c>
      <c r="B71" s="632">
        <f>面积!F49</f>
        <v>64.61</v>
      </c>
      <c r="C71" s="21">
        <f t="shared" si="12"/>
        <v>1.02</v>
      </c>
      <c r="D71" s="634" t="s">
        <v>3688</v>
      </c>
      <c r="E71" s="21">
        <f t="shared" si="13"/>
        <v>1</v>
      </c>
      <c r="F71" s="634"/>
      <c r="G71" s="21">
        <f t="shared" si="14"/>
        <v>1</v>
      </c>
      <c r="H71" s="634"/>
      <c r="I71" s="21">
        <f t="shared" si="15"/>
        <v>1</v>
      </c>
      <c r="J71" s="634"/>
      <c r="K71" s="21">
        <f t="shared" si="16"/>
        <v>1</v>
      </c>
      <c r="L71" s="634"/>
      <c r="M71" s="21">
        <f t="shared" si="17"/>
        <v>1</v>
      </c>
      <c r="N71" s="634"/>
      <c r="O71" s="21">
        <f t="shared" si="18"/>
        <v>1</v>
      </c>
      <c r="P71" s="634">
        <v>3</v>
      </c>
      <c r="Q71" s="21">
        <f t="shared" si="19"/>
        <v>0.5</v>
      </c>
      <c r="R71" s="21">
        <f t="shared" ca="1" si="20"/>
        <v>36988</v>
      </c>
      <c r="S71" s="307">
        <f t="shared" ca="1" si="21"/>
        <v>239</v>
      </c>
    </row>
    <row r="72" spans="1:19">
      <c r="A72" s="632" t="str">
        <f>面积!B50</f>
        <v>朝阳区新东路12号院3号楼3层3-139</v>
      </c>
      <c r="B72" s="632">
        <f>面积!F50</f>
        <v>57.44</v>
      </c>
      <c r="C72" s="21">
        <f t="shared" si="12"/>
        <v>1.02</v>
      </c>
      <c r="D72" s="634" t="s">
        <v>3688</v>
      </c>
      <c r="E72" s="21">
        <f t="shared" si="13"/>
        <v>1</v>
      </c>
      <c r="F72" s="634"/>
      <c r="G72" s="21">
        <f t="shared" si="14"/>
        <v>1</v>
      </c>
      <c r="H72" s="634"/>
      <c r="I72" s="21">
        <f t="shared" si="15"/>
        <v>1</v>
      </c>
      <c r="J72" s="634"/>
      <c r="K72" s="21">
        <f t="shared" si="16"/>
        <v>1</v>
      </c>
      <c r="L72" s="634"/>
      <c r="M72" s="21">
        <f t="shared" si="17"/>
        <v>1</v>
      </c>
      <c r="N72" s="634"/>
      <c r="O72" s="21">
        <f t="shared" si="18"/>
        <v>1</v>
      </c>
      <c r="P72" s="634">
        <v>3</v>
      </c>
      <c r="Q72" s="21">
        <f t="shared" si="19"/>
        <v>0.5</v>
      </c>
      <c r="R72" s="21">
        <f t="shared" ca="1" si="20"/>
        <v>36988</v>
      </c>
      <c r="S72" s="307">
        <f t="shared" ca="1" si="21"/>
        <v>212</v>
      </c>
    </row>
    <row r="73" spans="1:19">
      <c r="A73" s="632" t="str">
        <f>面积!B51</f>
        <v>朝阳区新东路12号院3号楼3层3-150</v>
      </c>
      <c r="B73" s="632">
        <f>面积!F51</f>
        <v>57.01</v>
      </c>
      <c r="C73" s="21">
        <f t="shared" si="12"/>
        <v>1.02</v>
      </c>
      <c r="D73" s="634" t="s">
        <v>3688</v>
      </c>
      <c r="E73" s="21">
        <f t="shared" si="13"/>
        <v>1</v>
      </c>
      <c r="F73" s="634"/>
      <c r="G73" s="21">
        <f t="shared" si="14"/>
        <v>1</v>
      </c>
      <c r="H73" s="634"/>
      <c r="I73" s="21">
        <f t="shared" si="15"/>
        <v>1</v>
      </c>
      <c r="J73" s="634"/>
      <c r="K73" s="21">
        <f t="shared" si="16"/>
        <v>1</v>
      </c>
      <c r="L73" s="634"/>
      <c r="M73" s="21">
        <f t="shared" si="17"/>
        <v>1</v>
      </c>
      <c r="N73" s="634"/>
      <c r="O73" s="21">
        <f t="shared" si="18"/>
        <v>1</v>
      </c>
      <c r="P73" s="634">
        <v>3</v>
      </c>
      <c r="Q73" s="21">
        <f t="shared" si="19"/>
        <v>0.5</v>
      </c>
      <c r="R73" s="21">
        <f t="shared" ca="1" si="20"/>
        <v>36988</v>
      </c>
      <c r="S73" s="307">
        <f t="shared" ca="1" si="21"/>
        <v>211</v>
      </c>
    </row>
    <row r="74" spans="1:19">
      <c r="A74" s="632" t="str">
        <f>面积!B52</f>
        <v>朝阳区新东路12号院3号楼3层3-176</v>
      </c>
      <c r="B74" s="632">
        <f>面积!F52</f>
        <v>56.23</v>
      </c>
      <c r="C74" s="21">
        <f t="shared" si="12"/>
        <v>1.02</v>
      </c>
      <c r="D74" s="634" t="s">
        <v>3688</v>
      </c>
      <c r="E74" s="21">
        <f t="shared" si="13"/>
        <v>1</v>
      </c>
      <c r="F74" s="634"/>
      <c r="G74" s="21">
        <f t="shared" si="14"/>
        <v>1</v>
      </c>
      <c r="H74" s="634"/>
      <c r="I74" s="21">
        <f t="shared" si="15"/>
        <v>1</v>
      </c>
      <c r="J74" s="634"/>
      <c r="K74" s="21">
        <f t="shared" si="16"/>
        <v>1</v>
      </c>
      <c r="L74" s="634"/>
      <c r="M74" s="21">
        <f t="shared" si="17"/>
        <v>1</v>
      </c>
      <c r="N74" s="634"/>
      <c r="O74" s="21">
        <f t="shared" si="18"/>
        <v>1</v>
      </c>
      <c r="P74" s="634">
        <v>3</v>
      </c>
      <c r="Q74" s="21">
        <f t="shared" si="19"/>
        <v>0.5</v>
      </c>
      <c r="R74" s="21">
        <f t="shared" ca="1" si="20"/>
        <v>36988</v>
      </c>
      <c r="S74" s="307">
        <f t="shared" ca="1" si="21"/>
        <v>208</v>
      </c>
    </row>
    <row r="75" spans="1:19">
      <c r="A75" s="632" t="str">
        <f>面积!B53</f>
        <v>朝阳区新东路12号院3号楼3层3-177</v>
      </c>
      <c r="B75" s="632">
        <f>面积!F53</f>
        <v>54.22</v>
      </c>
      <c r="C75" s="21">
        <f t="shared" si="12"/>
        <v>1.02</v>
      </c>
      <c r="D75" s="634" t="s">
        <v>3688</v>
      </c>
      <c r="E75" s="21">
        <f t="shared" si="13"/>
        <v>1</v>
      </c>
      <c r="F75" s="634"/>
      <c r="G75" s="21">
        <f t="shared" si="14"/>
        <v>1</v>
      </c>
      <c r="H75" s="634"/>
      <c r="I75" s="21">
        <f t="shared" si="15"/>
        <v>1</v>
      </c>
      <c r="J75" s="634"/>
      <c r="K75" s="21">
        <f t="shared" si="16"/>
        <v>1</v>
      </c>
      <c r="L75" s="634"/>
      <c r="M75" s="21">
        <f t="shared" si="17"/>
        <v>1</v>
      </c>
      <c r="N75" s="634"/>
      <c r="O75" s="21">
        <f t="shared" si="18"/>
        <v>1</v>
      </c>
      <c r="P75" s="634">
        <v>3</v>
      </c>
      <c r="Q75" s="21">
        <f t="shared" si="19"/>
        <v>0.5</v>
      </c>
      <c r="R75" s="21">
        <f t="shared" ca="1" si="20"/>
        <v>36988</v>
      </c>
      <c r="S75" s="307">
        <f t="shared" ca="1" si="21"/>
        <v>201</v>
      </c>
    </row>
    <row r="76" spans="1:19">
      <c r="A76" s="632" t="str">
        <f>面积!B54</f>
        <v>朝阳区新东路12号院3号楼3层3-178</v>
      </c>
      <c r="B76" s="632">
        <f>面积!F54</f>
        <v>51.98</v>
      </c>
      <c r="C76" s="21">
        <f t="shared" si="12"/>
        <v>1.02</v>
      </c>
      <c r="D76" s="634" t="s">
        <v>3688</v>
      </c>
      <c r="E76" s="21">
        <f t="shared" si="13"/>
        <v>1</v>
      </c>
      <c r="F76" s="634"/>
      <c r="G76" s="21">
        <f t="shared" si="14"/>
        <v>1</v>
      </c>
      <c r="H76" s="634"/>
      <c r="I76" s="21">
        <f t="shared" si="15"/>
        <v>1</v>
      </c>
      <c r="J76" s="634"/>
      <c r="K76" s="21">
        <f t="shared" si="16"/>
        <v>1</v>
      </c>
      <c r="L76" s="634"/>
      <c r="M76" s="21">
        <f t="shared" si="17"/>
        <v>1</v>
      </c>
      <c r="N76" s="634"/>
      <c r="O76" s="21">
        <f t="shared" si="18"/>
        <v>1</v>
      </c>
      <c r="P76" s="634">
        <v>3</v>
      </c>
      <c r="Q76" s="21">
        <f t="shared" si="19"/>
        <v>0.5</v>
      </c>
      <c r="R76" s="21">
        <f t="shared" ca="1" si="20"/>
        <v>36988</v>
      </c>
      <c r="S76" s="307">
        <f t="shared" ca="1" si="21"/>
        <v>192</v>
      </c>
    </row>
    <row r="77" spans="1:19">
      <c r="A77" s="632" t="str">
        <f>面积!B55</f>
        <v>朝阳区新东路12号院3号楼3层3-179</v>
      </c>
      <c r="B77" s="632">
        <f>面积!F55</f>
        <v>48.68</v>
      </c>
      <c r="C77" s="21">
        <f t="shared" si="12"/>
        <v>1.04</v>
      </c>
      <c r="D77" s="634" t="s">
        <v>3688</v>
      </c>
      <c r="E77" s="21">
        <f t="shared" si="13"/>
        <v>1</v>
      </c>
      <c r="F77" s="634"/>
      <c r="G77" s="21">
        <f t="shared" si="14"/>
        <v>1</v>
      </c>
      <c r="H77" s="634"/>
      <c r="I77" s="21">
        <f t="shared" si="15"/>
        <v>1</v>
      </c>
      <c r="J77" s="634"/>
      <c r="K77" s="21">
        <f t="shared" si="16"/>
        <v>1</v>
      </c>
      <c r="L77" s="634"/>
      <c r="M77" s="21">
        <f t="shared" si="17"/>
        <v>1</v>
      </c>
      <c r="N77" s="634"/>
      <c r="O77" s="21">
        <f t="shared" si="18"/>
        <v>1</v>
      </c>
      <c r="P77" s="634">
        <v>3</v>
      </c>
      <c r="Q77" s="21">
        <f t="shared" si="19"/>
        <v>0.5</v>
      </c>
      <c r="R77" s="21">
        <f t="shared" ca="1" si="20"/>
        <v>37713</v>
      </c>
      <c r="S77" s="307">
        <f t="shared" ca="1" si="21"/>
        <v>184</v>
      </c>
    </row>
    <row r="78" spans="1:19">
      <c r="A78" s="632" t="str">
        <f>面积!B56</f>
        <v>朝阳区新东路12号院3号楼3层3-180</v>
      </c>
      <c r="B78" s="632">
        <f>面积!F56</f>
        <v>47.72</v>
      </c>
      <c r="C78" s="21">
        <f t="shared" si="12"/>
        <v>1.04</v>
      </c>
      <c r="D78" s="634" t="s">
        <v>3688</v>
      </c>
      <c r="E78" s="21">
        <f t="shared" si="13"/>
        <v>1</v>
      </c>
      <c r="F78" s="634"/>
      <c r="G78" s="21">
        <f t="shared" si="14"/>
        <v>1</v>
      </c>
      <c r="H78" s="634"/>
      <c r="I78" s="21">
        <f t="shared" si="15"/>
        <v>1</v>
      </c>
      <c r="J78" s="634"/>
      <c r="K78" s="21">
        <f t="shared" si="16"/>
        <v>1</v>
      </c>
      <c r="L78" s="634"/>
      <c r="M78" s="21">
        <f t="shared" si="17"/>
        <v>1</v>
      </c>
      <c r="N78" s="634"/>
      <c r="O78" s="21">
        <f t="shared" si="18"/>
        <v>1</v>
      </c>
      <c r="P78" s="634">
        <v>3</v>
      </c>
      <c r="Q78" s="21">
        <f t="shared" si="19"/>
        <v>0.5</v>
      </c>
      <c r="R78" s="21">
        <f t="shared" ca="1" si="20"/>
        <v>37713</v>
      </c>
      <c r="S78" s="307">
        <f t="shared" ref="S78:S122" ca="1" si="22">ROUND(R78*B78/10000,0)</f>
        <v>180</v>
      </c>
    </row>
    <row r="79" spans="1:19">
      <c r="A79" s="632" t="str">
        <f>面积!B57</f>
        <v>朝阳区新东路12号院3号楼3层3-181</v>
      </c>
      <c r="B79" s="632">
        <f>面积!F57</f>
        <v>42.02</v>
      </c>
      <c r="C79" s="21">
        <f t="shared" si="12"/>
        <v>1.04</v>
      </c>
      <c r="D79" s="634" t="s">
        <v>3688</v>
      </c>
      <c r="E79" s="21">
        <f t="shared" si="13"/>
        <v>1</v>
      </c>
      <c r="F79" s="634"/>
      <c r="G79" s="21">
        <f t="shared" si="14"/>
        <v>1</v>
      </c>
      <c r="H79" s="634"/>
      <c r="I79" s="21">
        <f t="shared" si="15"/>
        <v>1</v>
      </c>
      <c r="J79" s="634"/>
      <c r="K79" s="21">
        <f t="shared" si="16"/>
        <v>1</v>
      </c>
      <c r="L79" s="634"/>
      <c r="M79" s="21">
        <f t="shared" si="17"/>
        <v>1</v>
      </c>
      <c r="N79" s="634"/>
      <c r="O79" s="21">
        <f t="shared" si="18"/>
        <v>1</v>
      </c>
      <c r="P79" s="634">
        <v>3</v>
      </c>
      <c r="Q79" s="21">
        <f t="shared" si="19"/>
        <v>0.5</v>
      </c>
      <c r="R79" s="21">
        <f t="shared" ca="1" si="20"/>
        <v>37713</v>
      </c>
      <c r="S79" s="307">
        <f t="shared" ca="1" si="22"/>
        <v>158</v>
      </c>
    </row>
    <row r="80" spans="1:19">
      <c r="A80" s="632" t="str">
        <f>面积!B58</f>
        <v>朝阳区新东路12号院3号楼3层3-182</v>
      </c>
      <c r="B80" s="632">
        <f>面积!F58</f>
        <v>65.900000000000006</v>
      </c>
      <c r="C80" s="21">
        <f t="shared" si="12"/>
        <v>1.02</v>
      </c>
      <c r="D80" s="634" t="s">
        <v>3688</v>
      </c>
      <c r="E80" s="21">
        <f t="shared" si="13"/>
        <v>1</v>
      </c>
      <c r="F80" s="634"/>
      <c r="G80" s="21">
        <f t="shared" si="14"/>
        <v>1</v>
      </c>
      <c r="H80" s="634"/>
      <c r="I80" s="21">
        <f t="shared" si="15"/>
        <v>1</v>
      </c>
      <c r="J80" s="634"/>
      <c r="K80" s="21">
        <f t="shared" si="16"/>
        <v>1</v>
      </c>
      <c r="L80" s="634"/>
      <c r="M80" s="21">
        <f t="shared" si="17"/>
        <v>1</v>
      </c>
      <c r="N80" s="634"/>
      <c r="O80" s="21">
        <f t="shared" si="18"/>
        <v>1</v>
      </c>
      <c r="P80" s="634">
        <v>3</v>
      </c>
      <c r="Q80" s="21">
        <f t="shared" si="19"/>
        <v>0.5</v>
      </c>
      <c r="R80" s="21">
        <f t="shared" ca="1" si="20"/>
        <v>36988</v>
      </c>
      <c r="S80" s="307">
        <f t="shared" ca="1" si="22"/>
        <v>244</v>
      </c>
    </row>
    <row r="81" spans="1:19">
      <c r="A81" s="632" t="str">
        <f>面积!B59</f>
        <v>朝阳区新东路12号院3号楼3层3-183</v>
      </c>
      <c r="B81" s="632">
        <f>面积!F59</f>
        <v>66.38</v>
      </c>
      <c r="C81" s="21">
        <f t="shared" si="12"/>
        <v>1.02</v>
      </c>
      <c r="D81" s="634" t="s">
        <v>3688</v>
      </c>
      <c r="E81" s="21">
        <f t="shared" si="13"/>
        <v>1</v>
      </c>
      <c r="F81" s="634"/>
      <c r="G81" s="21">
        <f t="shared" si="14"/>
        <v>1</v>
      </c>
      <c r="H81" s="634"/>
      <c r="I81" s="21">
        <f t="shared" si="15"/>
        <v>1</v>
      </c>
      <c r="J81" s="634"/>
      <c r="K81" s="21">
        <f t="shared" si="16"/>
        <v>1</v>
      </c>
      <c r="L81" s="634"/>
      <c r="M81" s="21">
        <f t="shared" si="17"/>
        <v>1</v>
      </c>
      <c r="N81" s="634"/>
      <c r="O81" s="21">
        <f t="shared" si="18"/>
        <v>1</v>
      </c>
      <c r="P81" s="634">
        <v>3</v>
      </c>
      <c r="Q81" s="21">
        <f t="shared" si="19"/>
        <v>0.5</v>
      </c>
      <c r="R81" s="21">
        <f t="shared" ca="1" si="20"/>
        <v>36988</v>
      </c>
      <c r="S81" s="307">
        <f t="shared" ca="1" si="22"/>
        <v>246</v>
      </c>
    </row>
    <row r="82" spans="1:19">
      <c r="A82" s="632" t="str">
        <f>面积!B60</f>
        <v>朝阳区新东路12号院3号楼3层3-185</v>
      </c>
      <c r="B82" s="632">
        <f>面积!F60</f>
        <v>57.83</v>
      </c>
      <c r="C82" s="21">
        <f t="shared" si="12"/>
        <v>1.02</v>
      </c>
      <c r="D82" s="634" t="s">
        <v>3688</v>
      </c>
      <c r="E82" s="21">
        <f t="shared" si="13"/>
        <v>1</v>
      </c>
      <c r="F82" s="634"/>
      <c r="G82" s="21">
        <f t="shared" si="14"/>
        <v>1</v>
      </c>
      <c r="H82" s="634"/>
      <c r="I82" s="21">
        <f t="shared" si="15"/>
        <v>1</v>
      </c>
      <c r="J82" s="634"/>
      <c r="K82" s="21">
        <f t="shared" si="16"/>
        <v>1</v>
      </c>
      <c r="L82" s="634"/>
      <c r="M82" s="21">
        <f t="shared" si="17"/>
        <v>1</v>
      </c>
      <c r="N82" s="634"/>
      <c r="O82" s="21">
        <f t="shared" si="18"/>
        <v>1</v>
      </c>
      <c r="P82" s="634">
        <v>3</v>
      </c>
      <c r="Q82" s="21">
        <f t="shared" si="19"/>
        <v>0.5</v>
      </c>
      <c r="R82" s="21">
        <f t="shared" ca="1" si="20"/>
        <v>36988</v>
      </c>
      <c r="S82" s="307">
        <f t="shared" ca="1" si="22"/>
        <v>214</v>
      </c>
    </row>
    <row r="83" spans="1:19">
      <c r="A83" s="632" t="str">
        <f>面积!B61</f>
        <v>朝阳区新东路12号院3号楼3层3-186</v>
      </c>
      <c r="B83" s="632">
        <f>面积!F61</f>
        <v>72.180000000000007</v>
      </c>
      <c r="C83" s="21">
        <f t="shared" si="12"/>
        <v>1.02</v>
      </c>
      <c r="D83" s="634" t="s">
        <v>3688</v>
      </c>
      <c r="E83" s="21">
        <f t="shared" si="13"/>
        <v>1</v>
      </c>
      <c r="F83" s="634"/>
      <c r="G83" s="21">
        <f t="shared" si="14"/>
        <v>1</v>
      </c>
      <c r="H83" s="634"/>
      <c r="I83" s="21">
        <f t="shared" si="15"/>
        <v>1</v>
      </c>
      <c r="J83" s="634"/>
      <c r="K83" s="21">
        <f t="shared" si="16"/>
        <v>1</v>
      </c>
      <c r="L83" s="634"/>
      <c r="M83" s="21">
        <f t="shared" si="17"/>
        <v>1</v>
      </c>
      <c r="N83" s="634"/>
      <c r="O83" s="21">
        <f t="shared" si="18"/>
        <v>1</v>
      </c>
      <c r="P83" s="634">
        <v>3</v>
      </c>
      <c r="Q83" s="21">
        <f t="shared" si="19"/>
        <v>0.5</v>
      </c>
      <c r="R83" s="21">
        <f t="shared" ca="1" si="20"/>
        <v>36988</v>
      </c>
      <c r="S83" s="307">
        <f t="shared" ca="1" si="22"/>
        <v>267</v>
      </c>
    </row>
    <row r="84" spans="1:19">
      <c r="A84" s="632" t="str">
        <f>面积!B62</f>
        <v>朝阳区新东路12号院3号楼3层3-187</v>
      </c>
      <c r="B84" s="632">
        <f>面积!F62</f>
        <v>77.13</v>
      </c>
      <c r="C84" s="21">
        <f t="shared" si="12"/>
        <v>1.02</v>
      </c>
      <c r="D84" s="634" t="s">
        <v>3688</v>
      </c>
      <c r="E84" s="21">
        <f t="shared" si="13"/>
        <v>1</v>
      </c>
      <c r="F84" s="634"/>
      <c r="G84" s="21">
        <f t="shared" si="14"/>
        <v>1</v>
      </c>
      <c r="H84" s="634"/>
      <c r="I84" s="21">
        <f t="shared" si="15"/>
        <v>1</v>
      </c>
      <c r="J84" s="634"/>
      <c r="K84" s="21">
        <f t="shared" si="16"/>
        <v>1</v>
      </c>
      <c r="L84" s="634"/>
      <c r="M84" s="21">
        <f t="shared" si="17"/>
        <v>1</v>
      </c>
      <c r="N84" s="634"/>
      <c r="O84" s="21">
        <f t="shared" si="18"/>
        <v>1</v>
      </c>
      <c r="P84" s="634">
        <v>3</v>
      </c>
      <c r="Q84" s="21">
        <f t="shared" si="19"/>
        <v>0.5</v>
      </c>
      <c r="R84" s="21">
        <f t="shared" ca="1" si="20"/>
        <v>36988</v>
      </c>
      <c r="S84" s="307">
        <f t="shared" ca="1" si="22"/>
        <v>285</v>
      </c>
    </row>
    <row r="85" spans="1:19">
      <c r="A85" s="632" t="str">
        <f>面积!B63</f>
        <v>朝阳区新东路12号院3号楼3层3-188</v>
      </c>
      <c r="B85" s="632">
        <f>面积!F63</f>
        <v>54.52</v>
      </c>
      <c r="C85" s="21">
        <f t="shared" si="12"/>
        <v>1.02</v>
      </c>
      <c r="D85" s="634" t="s">
        <v>3688</v>
      </c>
      <c r="E85" s="21">
        <f t="shared" si="13"/>
        <v>1</v>
      </c>
      <c r="F85" s="634"/>
      <c r="G85" s="21">
        <f t="shared" si="14"/>
        <v>1</v>
      </c>
      <c r="H85" s="634"/>
      <c r="I85" s="21">
        <f t="shared" si="15"/>
        <v>1</v>
      </c>
      <c r="J85" s="634"/>
      <c r="K85" s="21">
        <f t="shared" si="16"/>
        <v>1</v>
      </c>
      <c r="L85" s="634"/>
      <c r="M85" s="21">
        <f t="shared" si="17"/>
        <v>1</v>
      </c>
      <c r="N85" s="634"/>
      <c r="O85" s="21">
        <f t="shared" si="18"/>
        <v>1</v>
      </c>
      <c r="P85" s="634">
        <v>3</v>
      </c>
      <c r="Q85" s="21">
        <f t="shared" si="19"/>
        <v>0.5</v>
      </c>
      <c r="R85" s="21">
        <f t="shared" ca="1" si="20"/>
        <v>36988</v>
      </c>
      <c r="S85" s="307">
        <f t="shared" ca="1" si="22"/>
        <v>202</v>
      </c>
    </row>
    <row r="86" spans="1:19">
      <c r="A86" s="632" t="str">
        <f>面积!B64</f>
        <v>朝阳区新东路12号院3号楼3层3-189</v>
      </c>
      <c r="B86" s="632">
        <f>面积!F64</f>
        <v>114.42</v>
      </c>
      <c r="C86" s="21">
        <f t="shared" si="12"/>
        <v>1</v>
      </c>
      <c r="D86" s="634" t="s">
        <v>3688</v>
      </c>
      <c r="E86" s="21">
        <f t="shared" si="13"/>
        <v>1</v>
      </c>
      <c r="F86" s="634"/>
      <c r="G86" s="21">
        <f t="shared" si="14"/>
        <v>1</v>
      </c>
      <c r="H86" s="634"/>
      <c r="I86" s="21">
        <f t="shared" si="15"/>
        <v>1</v>
      </c>
      <c r="J86" s="634"/>
      <c r="K86" s="21">
        <f t="shared" si="16"/>
        <v>1</v>
      </c>
      <c r="L86" s="634"/>
      <c r="M86" s="21">
        <f t="shared" si="17"/>
        <v>1</v>
      </c>
      <c r="N86" s="634"/>
      <c r="O86" s="21">
        <f t="shared" si="18"/>
        <v>1</v>
      </c>
      <c r="P86" s="634">
        <v>3</v>
      </c>
      <c r="Q86" s="21">
        <f t="shared" si="19"/>
        <v>0.5</v>
      </c>
      <c r="R86" s="21">
        <f t="shared" ca="1" si="20"/>
        <v>36263</v>
      </c>
      <c r="S86" s="307">
        <f t="shared" ca="1" si="22"/>
        <v>415</v>
      </c>
    </row>
    <row r="87" spans="1:19">
      <c r="A87" s="632" t="str">
        <f>面积!B65</f>
        <v>朝阳区新东路12号院1、2、3、4号楼地下室-1层-001</v>
      </c>
      <c r="B87" s="632">
        <f>面积!F65</f>
        <v>156.16999999999999</v>
      </c>
      <c r="C87" s="21">
        <f t="shared" si="12"/>
        <v>1</v>
      </c>
      <c r="D87" s="634" t="s">
        <v>3686</v>
      </c>
      <c r="E87" s="21">
        <f t="shared" si="13"/>
        <v>1.05</v>
      </c>
      <c r="F87" s="634"/>
      <c r="G87" s="21">
        <f t="shared" si="14"/>
        <v>1</v>
      </c>
      <c r="H87" s="634"/>
      <c r="I87" s="21">
        <f t="shared" si="15"/>
        <v>1</v>
      </c>
      <c r="J87" s="634"/>
      <c r="K87" s="21">
        <f t="shared" si="16"/>
        <v>1</v>
      </c>
      <c r="L87" s="634"/>
      <c r="M87" s="21">
        <f t="shared" si="17"/>
        <v>1</v>
      </c>
      <c r="N87" s="634"/>
      <c r="O87" s="21">
        <f t="shared" si="18"/>
        <v>1</v>
      </c>
      <c r="P87" s="634" t="s">
        <v>3710</v>
      </c>
      <c r="Q87" s="21">
        <f t="shared" si="19"/>
        <v>0.5</v>
      </c>
      <c r="R87" s="21">
        <f t="shared" ca="1" si="20"/>
        <v>38076</v>
      </c>
      <c r="S87" s="307">
        <f t="shared" ca="1" si="22"/>
        <v>595</v>
      </c>
    </row>
    <row r="88" spans="1:19">
      <c r="A88" s="632" t="str">
        <f>面积!B66</f>
        <v>朝阳区新东路12号院1、2、3、4号楼地下室-1层-002</v>
      </c>
      <c r="B88" s="632">
        <f>面积!F66</f>
        <v>56.3</v>
      </c>
      <c r="C88" s="21">
        <f t="shared" si="12"/>
        <v>1.02</v>
      </c>
      <c r="D88" s="634" t="s">
        <v>3686</v>
      </c>
      <c r="E88" s="21">
        <f t="shared" si="13"/>
        <v>1.05</v>
      </c>
      <c r="F88" s="634"/>
      <c r="G88" s="21">
        <f t="shared" si="14"/>
        <v>1</v>
      </c>
      <c r="H88" s="634"/>
      <c r="I88" s="21">
        <f t="shared" si="15"/>
        <v>1</v>
      </c>
      <c r="J88" s="634"/>
      <c r="K88" s="21">
        <f t="shared" si="16"/>
        <v>1</v>
      </c>
      <c r="L88" s="634"/>
      <c r="M88" s="21">
        <f t="shared" si="17"/>
        <v>1</v>
      </c>
      <c r="N88" s="634"/>
      <c r="O88" s="21">
        <f t="shared" si="18"/>
        <v>1</v>
      </c>
      <c r="P88" s="634" t="s">
        <v>3710</v>
      </c>
      <c r="Q88" s="21">
        <f t="shared" si="19"/>
        <v>0.5</v>
      </c>
      <c r="R88" s="21">
        <f t="shared" ca="1" si="20"/>
        <v>38837</v>
      </c>
      <c r="S88" s="307">
        <f t="shared" ca="1" si="22"/>
        <v>219</v>
      </c>
    </row>
    <row r="89" spans="1:19">
      <c r="A89" s="632" t="str">
        <f>面积!B67</f>
        <v>朝阳区新东路12号院1、2、3、4号楼地下室-1层-003</v>
      </c>
      <c r="B89" s="632">
        <f>面积!F67</f>
        <v>88.75</v>
      </c>
      <c r="C89" s="21">
        <f t="shared" si="12"/>
        <v>1.02</v>
      </c>
      <c r="D89" s="634" t="s">
        <v>3686</v>
      </c>
      <c r="E89" s="21">
        <f t="shared" si="13"/>
        <v>1.05</v>
      </c>
      <c r="F89" s="634"/>
      <c r="G89" s="21">
        <f t="shared" si="14"/>
        <v>1</v>
      </c>
      <c r="H89" s="634"/>
      <c r="I89" s="21">
        <f t="shared" si="15"/>
        <v>1</v>
      </c>
      <c r="J89" s="634"/>
      <c r="K89" s="21">
        <f t="shared" si="16"/>
        <v>1</v>
      </c>
      <c r="L89" s="634"/>
      <c r="M89" s="21">
        <f t="shared" si="17"/>
        <v>1</v>
      </c>
      <c r="N89" s="634"/>
      <c r="O89" s="21">
        <f t="shared" si="18"/>
        <v>1</v>
      </c>
      <c r="P89" s="634" t="s">
        <v>3710</v>
      </c>
      <c r="Q89" s="21">
        <f t="shared" si="19"/>
        <v>0.5</v>
      </c>
      <c r="R89" s="21">
        <f t="shared" ca="1" si="20"/>
        <v>38837</v>
      </c>
      <c r="S89" s="307">
        <f t="shared" ca="1" si="22"/>
        <v>345</v>
      </c>
    </row>
    <row r="90" spans="1:19">
      <c r="A90" s="632" t="str">
        <f>面积!B68</f>
        <v>朝阳区新东路12号院1、2、3、4号楼地下室-1层-005</v>
      </c>
      <c r="B90" s="632">
        <f>面积!F68</f>
        <v>196.28</v>
      </c>
      <c r="C90" s="21">
        <f t="shared" ref="C90:C153" si="23">IF(B90="",1,(LOOKUP(B90,$3:$3,$4:$4)-LOOKUP($B$24,$3:$3,$4:$4)+100)/100)</f>
        <v>1</v>
      </c>
      <c r="D90" s="634" t="s">
        <v>3686</v>
      </c>
      <c r="E90" s="21">
        <f t="shared" ref="E90:E153" si="24">(SUMIF($5:$5,D90,$6:$6)-SUMIF($5:$5,$D$24,$6:$6)+100)/100</f>
        <v>1.05</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t="s">
        <v>3710</v>
      </c>
      <c r="Q90" s="21">
        <f t="shared" ref="Q90:Q153" si="30">(SUMIF($17:$17,P90,$18:$18)-SUMIF($17:$17,$P$24,$18:$18)+100)/100</f>
        <v>0.5</v>
      </c>
      <c r="R90" s="21">
        <f t="shared" ref="R90:R153" ca="1" si="31">IF(B90="",0,ROUND($R$24*C90*E90*G90*I90*K90*M90*O90*Q90,0))</f>
        <v>38076</v>
      </c>
      <c r="S90" s="307">
        <f t="shared" ca="1" si="22"/>
        <v>747</v>
      </c>
    </row>
    <row r="91" spans="1:19">
      <c r="A91" s="632" t="str">
        <f>面积!B69</f>
        <v>朝阳区新东路12号院1、2、3、4号楼地下室-1层-006</v>
      </c>
      <c r="B91" s="632">
        <f>面积!F69</f>
        <v>36.51</v>
      </c>
      <c r="C91" s="21">
        <f t="shared" si="23"/>
        <v>1.04</v>
      </c>
      <c r="D91" s="634" t="s">
        <v>3686</v>
      </c>
      <c r="E91" s="21">
        <f t="shared" si="24"/>
        <v>1.05</v>
      </c>
      <c r="F91" s="634"/>
      <c r="G91" s="21">
        <f t="shared" si="25"/>
        <v>1</v>
      </c>
      <c r="H91" s="634"/>
      <c r="I91" s="21">
        <f t="shared" si="26"/>
        <v>1</v>
      </c>
      <c r="J91" s="634"/>
      <c r="K91" s="21">
        <f t="shared" si="27"/>
        <v>1</v>
      </c>
      <c r="L91" s="634"/>
      <c r="M91" s="21">
        <f t="shared" si="28"/>
        <v>1</v>
      </c>
      <c r="N91" s="634"/>
      <c r="O91" s="21">
        <f t="shared" si="29"/>
        <v>1</v>
      </c>
      <c r="P91" s="634" t="s">
        <v>3710</v>
      </c>
      <c r="Q91" s="21">
        <f t="shared" si="30"/>
        <v>0.5</v>
      </c>
      <c r="R91" s="21">
        <f t="shared" ca="1" si="31"/>
        <v>39599</v>
      </c>
      <c r="S91" s="307">
        <f t="shared" ca="1" si="22"/>
        <v>145</v>
      </c>
    </row>
    <row r="92" spans="1:19">
      <c r="A92" s="632" t="str">
        <f>面积!B70</f>
        <v>朝阳区新东路12号院1、2、3、4号楼地下室-1层-007</v>
      </c>
      <c r="B92" s="632">
        <f>面积!F70</f>
        <v>121.16</v>
      </c>
      <c r="C92" s="21">
        <f t="shared" si="23"/>
        <v>1</v>
      </c>
      <c r="D92" s="634" t="s">
        <v>3686</v>
      </c>
      <c r="E92" s="21">
        <f t="shared" si="24"/>
        <v>1.05</v>
      </c>
      <c r="F92" s="634"/>
      <c r="G92" s="21">
        <f t="shared" si="25"/>
        <v>1</v>
      </c>
      <c r="H92" s="634"/>
      <c r="I92" s="21">
        <f t="shared" si="26"/>
        <v>1</v>
      </c>
      <c r="J92" s="634"/>
      <c r="K92" s="21">
        <f t="shared" si="27"/>
        <v>1</v>
      </c>
      <c r="L92" s="634"/>
      <c r="M92" s="21">
        <f t="shared" si="28"/>
        <v>1</v>
      </c>
      <c r="N92" s="634"/>
      <c r="O92" s="21">
        <f t="shared" si="29"/>
        <v>1</v>
      </c>
      <c r="P92" s="634" t="s">
        <v>3710</v>
      </c>
      <c r="Q92" s="21">
        <f t="shared" si="30"/>
        <v>0.5</v>
      </c>
      <c r="R92" s="21">
        <f t="shared" ca="1" si="31"/>
        <v>38076</v>
      </c>
      <c r="S92" s="307">
        <f t="shared" ca="1" si="22"/>
        <v>461</v>
      </c>
    </row>
    <row r="93" spans="1:19">
      <c r="A93" s="632" t="str">
        <f>面积!B71</f>
        <v>朝阳区新东路12号院1、2、3、4号楼地下室-1层-008</v>
      </c>
      <c r="B93" s="632">
        <f>面积!F71</f>
        <v>103.66</v>
      </c>
      <c r="C93" s="21">
        <f t="shared" si="23"/>
        <v>1</v>
      </c>
      <c r="D93" s="634" t="s">
        <v>3686</v>
      </c>
      <c r="E93" s="21">
        <f t="shared" si="24"/>
        <v>1.05</v>
      </c>
      <c r="F93" s="634"/>
      <c r="G93" s="21">
        <f t="shared" si="25"/>
        <v>1</v>
      </c>
      <c r="H93" s="634"/>
      <c r="I93" s="21">
        <f t="shared" si="26"/>
        <v>1</v>
      </c>
      <c r="J93" s="634"/>
      <c r="K93" s="21">
        <f t="shared" si="27"/>
        <v>1</v>
      </c>
      <c r="L93" s="634"/>
      <c r="M93" s="21">
        <f t="shared" si="28"/>
        <v>1</v>
      </c>
      <c r="N93" s="634"/>
      <c r="O93" s="21">
        <f t="shared" si="29"/>
        <v>1</v>
      </c>
      <c r="P93" s="634" t="s">
        <v>3710</v>
      </c>
      <c r="Q93" s="21">
        <f t="shared" si="30"/>
        <v>0.5</v>
      </c>
      <c r="R93" s="21">
        <f t="shared" ca="1" si="31"/>
        <v>38076</v>
      </c>
      <c r="S93" s="307">
        <f t="shared" ca="1" si="22"/>
        <v>395</v>
      </c>
    </row>
    <row r="94" spans="1:19">
      <c r="A94" s="632" t="str">
        <f>面积!B72</f>
        <v>朝阳区新东路12号院1、2、3、4号楼地下室-1层-009</v>
      </c>
      <c r="B94" s="632">
        <f>面积!F72</f>
        <v>122.01</v>
      </c>
      <c r="C94" s="21">
        <f t="shared" si="23"/>
        <v>1</v>
      </c>
      <c r="D94" s="634" t="s">
        <v>3686</v>
      </c>
      <c r="E94" s="21">
        <f t="shared" si="24"/>
        <v>1.05</v>
      </c>
      <c r="F94" s="634"/>
      <c r="G94" s="21">
        <f t="shared" si="25"/>
        <v>1</v>
      </c>
      <c r="H94" s="634"/>
      <c r="I94" s="21">
        <f t="shared" si="26"/>
        <v>1</v>
      </c>
      <c r="J94" s="634"/>
      <c r="K94" s="21">
        <f t="shared" si="27"/>
        <v>1</v>
      </c>
      <c r="L94" s="634"/>
      <c r="M94" s="21">
        <f t="shared" si="28"/>
        <v>1</v>
      </c>
      <c r="N94" s="634"/>
      <c r="O94" s="21">
        <f t="shared" si="29"/>
        <v>1</v>
      </c>
      <c r="P94" s="634" t="s">
        <v>3710</v>
      </c>
      <c r="Q94" s="21">
        <f t="shared" si="30"/>
        <v>0.5</v>
      </c>
      <c r="R94" s="21">
        <f t="shared" ca="1" si="31"/>
        <v>38076</v>
      </c>
      <c r="S94" s="307">
        <f t="shared" ca="1" si="22"/>
        <v>465</v>
      </c>
    </row>
    <row r="95" spans="1:19">
      <c r="A95" s="632" t="str">
        <f>面积!B73</f>
        <v>朝阳区新东路12号院1、2、3、4号楼地下室-1层-010</v>
      </c>
      <c r="B95" s="632">
        <f>面积!F73</f>
        <v>79.849999999999994</v>
      </c>
      <c r="C95" s="21">
        <f t="shared" si="23"/>
        <v>1.02</v>
      </c>
      <c r="D95" s="634" t="s">
        <v>3686</v>
      </c>
      <c r="E95" s="21">
        <f t="shared" si="24"/>
        <v>1.05</v>
      </c>
      <c r="F95" s="634"/>
      <c r="G95" s="21">
        <f t="shared" si="25"/>
        <v>1</v>
      </c>
      <c r="H95" s="634"/>
      <c r="I95" s="21">
        <f t="shared" si="26"/>
        <v>1</v>
      </c>
      <c r="J95" s="634"/>
      <c r="K95" s="21">
        <f t="shared" si="27"/>
        <v>1</v>
      </c>
      <c r="L95" s="634"/>
      <c r="M95" s="21">
        <f t="shared" si="28"/>
        <v>1</v>
      </c>
      <c r="N95" s="634"/>
      <c r="O95" s="21">
        <f t="shared" si="29"/>
        <v>1</v>
      </c>
      <c r="P95" s="634" t="s">
        <v>3710</v>
      </c>
      <c r="Q95" s="21">
        <f t="shared" si="30"/>
        <v>0.5</v>
      </c>
      <c r="R95" s="21">
        <f t="shared" ca="1" si="31"/>
        <v>38837</v>
      </c>
      <c r="S95" s="307">
        <f t="shared" ca="1" si="22"/>
        <v>310</v>
      </c>
    </row>
    <row r="96" spans="1:19">
      <c r="A96" s="632" t="str">
        <f>面积!B74</f>
        <v>朝阳区新东路12号院1、2、3、4号楼地下室-1层-011</v>
      </c>
      <c r="B96" s="632">
        <f>面积!F74</f>
        <v>129.43</v>
      </c>
      <c r="C96" s="21">
        <f t="shared" si="23"/>
        <v>1</v>
      </c>
      <c r="D96" s="634" t="s">
        <v>3686</v>
      </c>
      <c r="E96" s="21">
        <f t="shared" si="24"/>
        <v>1.05</v>
      </c>
      <c r="F96" s="634"/>
      <c r="G96" s="21">
        <f t="shared" si="25"/>
        <v>1</v>
      </c>
      <c r="H96" s="634"/>
      <c r="I96" s="21">
        <f t="shared" si="26"/>
        <v>1</v>
      </c>
      <c r="J96" s="634"/>
      <c r="K96" s="21">
        <f t="shared" si="27"/>
        <v>1</v>
      </c>
      <c r="L96" s="634"/>
      <c r="M96" s="21">
        <f t="shared" si="28"/>
        <v>1</v>
      </c>
      <c r="N96" s="634"/>
      <c r="O96" s="21">
        <f t="shared" si="29"/>
        <v>1</v>
      </c>
      <c r="P96" s="634" t="s">
        <v>3710</v>
      </c>
      <c r="Q96" s="21">
        <f t="shared" si="30"/>
        <v>0.5</v>
      </c>
      <c r="R96" s="21">
        <f t="shared" ca="1" si="31"/>
        <v>38076</v>
      </c>
      <c r="S96" s="307">
        <f t="shared" ca="1" si="22"/>
        <v>493</v>
      </c>
    </row>
    <row r="97" spans="1:19">
      <c r="A97" s="632" t="str">
        <f>面积!B75</f>
        <v>朝阳区新东路12号院1、2、3、4号楼地下室-1层-012</v>
      </c>
      <c r="B97" s="632">
        <f>面积!F75</f>
        <v>62.3</v>
      </c>
      <c r="C97" s="21">
        <f t="shared" si="23"/>
        <v>1.02</v>
      </c>
      <c r="D97" s="634" t="s">
        <v>3686</v>
      </c>
      <c r="E97" s="21">
        <f t="shared" si="24"/>
        <v>1.05</v>
      </c>
      <c r="F97" s="634"/>
      <c r="G97" s="21">
        <f t="shared" si="25"/>
        <v>1</v>
      </c>
      <c r="H97" s="634"/>
      <c r="I97" s="21">
        <f t="shared" si="26"/>
        <v>1</v>
      </c>
      <c r="J97" s="634"/>
      <c r="K97" s="21">
        <f t="shared" si="27"/>
        <v>1</v>
      </c>
      <c r="L97" s="634"/>
      <c r="M97" s="21">
        <f t="shared" si="28"/>
        <v>1</v>
      </c>
      <c r="N97" s="634"/>
      <c r="O97" s="21">
        <f t="shared" si="29"/>
        <v>1</v>
      </c>
      <c r="P97" s="634" t="s">
        <v>3710</v>
      </c>
      <c r="Q97" s="21">
        <f t="shared" si="30"/>
        <v>0.5</v>
      </c>
      <c r="R97" s="21">
        <f t="shared" ca="1" si="31"/>
        <v>38837</v>
      </c>
      <c r="S97" s="307">
        <f t="shared" ca="1" si="22"/>
        <v>242</v>
      </c>
    </row>
    <row r="98" spans="1:19">
      <c r="A98" s="632" t="str">
        <f>面积!B76</f>
        <v>朝阳区新东路12号院1、2、3、4号楼地下室-1层-015</v>
      </c>
      <c r="B98" s="632">
        <f>面积!F76</f>
        <v>130.51</v>
      </c>
      <c r="C98" s="21">
        <f t="shared" si="23"/>
        <v>1</v>
      </c>
      <c r="D98" s="634" t="s">
        <v>3686</v>
      </c>
      <c r="E98" s="21">
        <f t="shared" si="24"/>
        <v>1.05</v>
      </c>
      <c r="F98" s="634"/>
      <c r="G98" s="21">
        <f t="shared" si="25"/>
        <v>1</v>
      </c>
      <c r="H98" s="634"/>
      <c r="I98" s="21">
        <f t="shared" si="26"/>
        <v>1</v>
      </c>
      <c r="J98" s="634"/>
      <c r="K98" s="21">
        <f t="shared" si="27"/>
        <v>1</v>
      </c>
      <c r="L98" s="634"/>
      <c r="M98" s="21">
        <f t="shared" si="28"/>
        <v>1</v>
      </c>
      <c r="N98" s="634"/>
      <c r="O98" s="21">
        <f t="shared" si="29"/>
        <v>1</v>
      </c>
      <c r="P98" s="634" t="s">
        <v>3710</v>
      </c>
      <c r="Q98" s="21">
        <f t="shared" si="30"/>
        <v>0.5</v>
      </c>
      <c r="R98" s="21">
        <f t="shared" ca="1" si="31"/>
        <v>38076</v>
      </c>
      <c r="S98" s="307">
        <f t="shared" ca="1" si="22"/>
        <v>497</v>
      </c>
    </row>
    <row r="99" spans="1:19">
      <c r="A99" s="632" t="str">
        <f>面积!B77</f>
        <v>朝阳区新东路12号院1、2、3、4号楼地下室-1层-016</v>
      </c>
      <c r="B99" s="632">
        <f>面积!F77</f>
        <v>97.03</v>
      </c>
      <c r="C99" s="21">
        <f t="shared" si="23"/>
        <v>1.02</v>
      </c>
      <c r="D99" s="634" t="s">
        <v>3686</v>
      </c>
      <c r="E99" s="21">
        <f t="shared" si="24"/>
        <v>1.05</v>
      </c>
      <c r="F99" s="634"/>
      <c r="G99" s="21">
        <f t="shared" si="25"/>
        <v>1</v>
      </c>
      <c r="H99" s="634"/>
      <c r="I99" s="21">
        <f t="shared" si="26"/>
        <v>1</v>
      </c>
      <c r="J99" s="634"/>
      <c r="K99" s="21">
        <f t="shared" si="27"/>
        <v>1</v>
      </c>
      <c r="L99" s="634"/>
      <c r="M99" s="21">
        <f t="shared" si="28"/>
        <v>1</v>
      </c>
      <c r="N99" s="634"/>
      <c r="O99" s="21">
        <f t="shared" si="29"/>
        <v>1</v>
      </c>
      <c r="P99" s="634" t="s">
        <v>3710</v>
      </c>
      <c r="Q99" s="21">
        <f t="shared" si="30"/>
        <v>0.5</v>
      </c>
      <c r="R99" s="21">
        <f t="shared" ca="1" si="31"/>
        <v>38837</v>
      </c>
      <c r="S99" s="307">
        <f t="shared" ca="1" si="22"/>
        <v>377</v>
      </c>
    </row>
    <row r="100" spans="1:19">
      <c r="A100" s="632" t="str">
        <f>面积!B78</f>
        <v>朝阳区新东路12号院1、2、3、4号楼地下室-1层-017</v>
      </c>
      <c r="B100" s="632">
        <f>面积!F78</f>
        <v>105.34</v>
      </c>
      <c r="C100" s="21">
        <f t="shared" si="23"/>
        <v>1</v>
      </c>
      <c r="D100" s="634" t="s">
        <v>3686</v>
      </c>
      <c r="E100" s="21">
        <f t="shared" si="24"/>
        <v>1.05</v>
      </c>
      <c r="F100" s="634"/>
      <c r="G100" s="21">
        <f t="shared" si="25"/>
        <v>1</v>
      </c>
      <c r="H100" s="634"/>
      <c r="I100" s="21">
        <f t="shared" si="26"/>
        <v>1</v>
      </c>
      <c r="J100" s="634"/>
      <c r="K100" s="21">
        <f t="shared" si="27"/>
        <v>1</v>
      </c>
      <c r="L100" s="634"/>
      <c r="M100" s="21">
        <f t="shared" si="28"/>
        <v>1</v>
      </c>
      <c r="N100" s="634"/>
      <c r="O100" s="21">
        <f t="shared" si="29"/>
        <v>1</v>
      </c>
      <c r="P100" s="634" t="s">
        <v>3710</v>
      </c>
      <c r="Q100" s="21">
        <f t="shared" si="30"/>
        <v>0.5</v>
      </c>
      <c r="R100" s="21">
        <f t="shared" ca="1" si="31"/>
        <v>38076</v>
      </c>
      <c r="S100" s="307">
        <f t="shared" ca="1" si="22"/>
        <v>401</v>
      </c>
    </row>
    <row r="101" spans="1:19">
      <c r="A101" s="632" t="str">
        <f>面积!B79</f>
        <v>朝阳区新东路12号院1、2、3、4号楼地下室-1层-018</v>
      </c>
      <c r="B101" s="632">
        <f>面积!F79</f>
        <v>75.349999999999994</v>
      </c>
      <c r="C101" s="21">
        <f t="shared" si="23"/>
        <v>1.02</v>
      </c>
      <c r="D101" s="634" t="s">
        <v>3686</v>
      </c>
      <c r="E101" s="21">
        <f t="shared" si="24"/>
        <v>1.05</v>
      </c>
      <c r="F101" s="634"/>
      <c r="G101" s="21">
        <f t="shared" si="25"/>
        <v>1</v>
      </c>
      <c r="H101" s="634"/>
      <c r="I101" s="21">
        <f t="shared" si="26"/>
        <v>1</v>
      </c>
      <c r="J101" s="634"/>
      <c r="K101" s="21">
        <f t="shared" si="27"/>
        <v>1</v>
      </c>
      <c r="L101" s="634"/>
      <c r="M101" s="21">
        <f t="shared" si="28"/>
        <v>1</v>
      </c>
      <c r="N101" s="634"/>
      <c r="O101" s="21">
        <f t="shared" si="29"/>
        <v>1</v>
      </c>
      <c r="P101" s="634" t="s">
        <v>3710</v>
      </c>
      <c r="Q101" s="21">
        <f t="shared" si="30"/>
        <v>0.5</v>
      </c>
      <c r="R101" s="21">
        <f t="shared" ca="1" si="31"/>
        <v>38837</v>
      </c>
      <c r="S101" s="307">
        <f t="shared" ca="1" si="22"/>
        <v>293</v>
      </c>
    </row>
    <row r="102" spans="1:19">
      <c r="A102" s="632" t="str">
        <f>面积!B80</f>
        <v>朝阳区新东路12号院1、2、3、4号楼地下室-1层-019</v>
      </c>
      <c r="B102" s="632">
        <f>面积!F80</f>
        <v>100.99</v>
      </c>
      <c r="C102" s="21">
        <f t="shared" si="23"/>
        <v>1</v>
      </c>
      <c r="D102" s="634" t="s">
        <v>3686</v>
      </c>
      <c r="E102" s="21">
        <f t="shared" si="24"/>
        <v>1.05</v>
      </c>
      <c r="F102" s="634"/>
      <c r="G102" s="21">
        <f t="shared" si="25"/>
        <v>1</v>
      </c>
      <c r="H102" s="634"/>
      <c r="I102" s="21">
        <f t="shared" si="26"/>
        <v>1</v>
      </c>
      <c r="J102" s="634"/>
      <c r="K102" s="21">
        <f t="shared" si="27"/>
        <v>1</v>
      </c>
      <c r="L102" s="634"/>
      <c r="M102" s="21">
        <f t="shared" si="28"/>
        <v>1</v>
      </c>
      <c r="N102" s="634"/>
      <c r="O102" s="21">
        <f t="shared" si="29"/>
        <v>1</v>
      </c>
      <c r="P102" s="634" t="s">
        <v>3710</v>
      </c>
      <c r="Q102" s="21">
        <f t="shared" si="30"/>
        <v>0.5</v>
      </c>
      <c r="R102" s="21">
        <f t="shared" ca="1" si="31"/>
        <v>38076</v>
      </c>
      <c r="S102" s="307">
        <f t="shared" ca="1" si="22"/>
        <v>385</v>
      </c>
    </row>
    <row r="103" spans="1:19">
      <c r="A103" s="632" t="str">
        <f>面积!B81</f>
        <v>朝阳区新东路12号院1、2、3、4号楼地下室-1层-020</v>
      </c>
      <c r="B103" s="632">
        <f>面积!F81</f>
        <v>265.23</v>
      </c>
      <c r="C103" s="21">
        <f t="shared" si="23"/>
        <v>0.98</v>
      </c>
      <c r="D103" s="634" t="s">
        <v>3686</v>
      </c>
      <c r="E103" s="21">
        <f t="shared" si="24"/>
        <v>1.05</v>
      </c>
      <c r="F103" s="634"/>
      <c r="G103" s="21">
        <f t="shared" si="25"/>
        <v>1</v>
      </c>
      <c r="H103" s="634"/>
      <c r="I103" s="21">
        <f t="shared" si="26"/>
        <v>1</v>
      </c>
      <c r="J103" s="634"/>
      <c r="K103" s="21">
        <f t="shared" si="27"/>
        <v>1</v>
      </c>
      <c r="L103" s="634"/>
      <c r="M103" s="21">
        <f t="shared" si="28"/>
        <v>1</v>
      </c>
      <c r="N103" s="634"/>
      <c r="O103" s="21">
        <f t="shared" si="29"/>
        <v>1</v>
      </c>
      <c r="P103" s="634" t="s">
        <v>3710</v>
      </c>
      <c r="Q103" s="21">
        <f t="shared" si="30"/>
        <v>0.5</v>
      </c>
      <c r="R103" s="21">
        <f t="shared" ca="1" si="31"/>
        <v>37314</v>
      </c>
      <c r="S103" s="307">
        <f t="shared" ca="1" si="22"/>
        <v>990</v>
      </c>
    </row>
    <row r="104" spans="1:19">
      <c r="A104" s="632"/>
      <c r="B104" s="52"/>
      <c r="C104" s="21">
        <f t="shared" si="23"/>
        <v>1</v>
      </c>
      <c r="D104" s="634"/>
      <c r="E104" s="21">
        <f t="shared" si="24"/>
        <v>0.05</v>
      </c>
      <c r="F104" s="634"/>
      <c r="G104" s="21">
        <f t="shared" si="25"/>
        <v>1</v>
      </c>
      <c r="H104" s="634"/>
      <c r="I104" s="21">
        <f t="shared" si="26"/>
        <v>1</v>
      </c>
      <c r="J104" s="634"/>
      <c r="K104" s="21">
        <f t="shared" si="27"/>
        <v>1</v>
      </c>
      <c r="L104" s="634"/>
      <c r="M104" s="21">
        <f t="shared" si="28"/>
        <v>1</v>
      </c>
      <c r="N104" s="634"/>
      <c r="O104" s="21">
        <f t="shared" si="29"/>
        <v>1</v>
      </c>
      <c r="P104" s="634"/>
      <c r="Q104" s="21">
        <f t="shared" si="30"/>
        <v>0</v>
      </c>
      <c r="R104" s="21">
        <f t="shared" si="31"/>
        <v>0</v>
      </c>
      <c r="S104" s="307">
        <f t="shared" si="22"/>
        <v>0</v>
      </c>
    </row>
    <row r="105" spans="1:19">
      <c r="A105" s="632"/>
      <c r="B105" s="52"/>
      <c r="C105" s="21">
        <f t="shared" si="23"/>
        <v>1</v>
      </c>
      <c r="D105" s="634"/>
      <c r="E105" s="21">
        <f t="shared" si="24"/>
        <v>0.05</v>
      </c>
      <c r="F105" s="634"/>
      <c r="G105" s="21">
        <f t="shared" si="25"/>
        <v>1</v>
      </c>
      <c r="H105" s="634"/>
      <c r="I105" s="21">
        <f t="shared" si="26"/>
        <v>1</v>
      </c>
      <c r="J105" s="634"/>
      <c r="K105" s="21">
        <f t="shared" si="27"/>
        <v>1</v>
      </c>
      <c r="L105" s="634"/>
      <c r="M105" s="21">
        <f t="shared" si="28"/>
        <v>1</v>
      </c>
      <c r="N105" s="634"/>
      <c r="O105" s="21">
        <f t="shared" si="29"/>
        <v>1</v>
      </c>
      <c r="P105" s="634"/>
      <c r="Q105" s="21">
        <f t="shared" si="30"/>
        <v>0</v>
      </c>
      <c r="R105" s="21">
        <f t="shared" si="31"/>
        <v>0</v>
      </c>
      <c r="S105" s="307">
        <f t="shared" si="22"/>
        <v>0</v>
      </c>
    </row>
    <row r="106" spans="1:19">
      <c r="A106" s="632"/>
      <c r="B106" s="52"/>
      <c r="C106" s="21">
        <f t="shared" si="23"/>
        <v>1</v>
      </c>
      <c r="D106" s="634"/>
      <c r="E106" s="21">
        <f t="shared" si="24"/>
        <v>0.05</v>
      </c>
      <c r="F106" s="634"/>
      <c r="G106" s="21">
        <f t="shared" si="25"/>
        <v>1</v>
      </c>
      <c r="H106" s="634"/>
      <c r="I106" s="21">
        <f t="shared" si="26"/>
        <v>1</v>
      </c>
      <c r="J106" s="634"/>
      <c r="K106" s="21">
        <f t="shared" si="27"/>
        <v>1</v>
      </c>
      <c r="L106" s="634"/>
      <c r="M106" s="21">
        <f t="shared" si="28"/>
        <v>1</v>
      </c>
      <c r="N106" s="634"/>
      <c r="O106" s="21">
        <f t="shared" si="29"/>
        <v>1</v>
      </c>
      <c r="P106" s="634"/>
      <c r="Q106" s="21">
        <f t="shared" si="30"/>
        <v>0</v>
      </c>
      <c r="R106" s="21">
        <f t="shared" si="31"/>
        <v>0</v>
      </c>
      <c r="S106" s="307">
        <f t="shared" si="22"/>
        <v>0</v>
      </c>
    </row>
    <row r="107" spans="1:19">
      <c r="A107" s="632"/>
      <c r="B107" s="52"/>
      <c r="C107" s="21">
        <f t="shared" si="23"/>
        <v>1</v>
      </c>
      <c r="D107" s="634"/>
      <c r="E107" s="21">
        <f t="shared" si="24"/>
        <v>0.05</v>
      </c>
      <c r="F107" s="634"/>
      <c r="G107" s="21">
        <f t="shared" si="25"/>
        <v>1</v>
      </c>
      <c r="H107" s="634"/>
      <c r="I107" s="21">
        <f t="shared" si="26"/>
        <v>1</v>
      </c>
      <c r="J107" s="634"/>
      <c r="K107" s="21">
        <f t="shared" si="27"/>
        <v>1</v>
      </c>
      <c r="L107" s="634"/>
      <c r="M107" s="21">
        <f t="shared" si="28"/>
        <v>1</v>
      </c>
      <c r="N107" s="634"/>
      <c r="O107" s="21">
        <f t="shared" si="29"/>
        <v>1</v>
      </c>
      <c r="P107" s="634"/>
      <c r="Q107" s="21">
        <f t="shared" si="30"/>
        <v>0</v>
      </c>
      <c r="R107" s="21">
        <f t="shared" si="31"/>
        <v>0</v>
      </c>
      <c r="S107" s="307">
        <f t="shared" si="22"/>
        <v>0</v>
      </c>
    </row>
    <row r="108" spans="1:19">
      <c r="A108" s="632"/>
      <c r="B108" s="52"/>
      <c r="C108" s="21">
        <f t="shared" si="23"/>
        <v>1</v>
      </c>
      <c r="D108" s="634"/>
      <c r="E108" s="21">
        <f t="shared" si="24"/>
        <v>0.05</v>
      </c>
      <c r="F108" s="634"/>
      <c r="G108" s="21">
        <f t="shared" si="25"/>
        <v>1</v>
      </c>
      <c r="H108" s="634"/>
      <c r="I108" s="21">
        <f t="shared" si="26"/>
        <v>1</v>
      </c>
      <c r="J108" s="634"/>
      <c r="K108" s="21">
        <f t="shared" si="27"/>
        <v>1</v>
      </c>
      <c r="L108" s="634"/>
      <c r="M108" s="21">
        <f t="shared" si="28"/>
        <v>1</v>
      </c>
      <c r="N108" s="634"/>
      <c r="O108" s="21">
        <f t="shared" si="29"/>
        <v>1</v>
      </c>
      <c r="P108" s="634"/>
      <c r="Q108" s="21">
        <f t="shared" si="30"/>
        <v>0</v>
      </c>
      <c r="R108" s="21">
        <f t="shared" si="31"/>
        <v>0</v>
      </c>
      <c r="S108" s="307">
        <f t="shared" si="22"/>
        <v>0</v>
      </c>
    </row>
    <row r="109" spans="1:19">
      <c r="A109" s="632"/>
      <c r="B109" s="52"/>
      <c r="C109" s="21">
        <f t="shared" si="23"/>
        <v>1</v>
      </c>
      <c r="D109" s="634"/>
      <c r="E109" s="21">
        <f t="shared" si="24"/>
        <v>0.05</v>
      </c>
      <c r="F109" s="634"/>
      <c r="G109" s="21">
        <f t="shared" si="25"/>
        <v>1</v>
      </c>
      <c r="H109" s="634"/>
      <c r="I109" s="21">
        <f t="shared" si="26"/>
        <v>1</v>
      </c>
      <c r="J109" s="634"/>
      <c r="K109" s="21">
        <f t="shared" si="27"/>
        <v>1</v>
      </c>
      <c r="L109" s="634"/>
      <c r="M109" s="21">
        <f t="shared" si="28"/>
        <v>1</v>
      </c>
      <c r="N109" s="634"/>
      <c r="O109" s="21">
        <f t="shared" si="29"/>
        <v>1</v>
      </c>
      <c r="P109" s="634"/>
      <c r="Q109" s="21">
        <f t="shared" si="30"/>
        <v>0</v>
      </c>
      <c r="R109" s="21">
        <f t="shared" si="31"/>
        <v>0</v>
      </c>
      <c r="S109" s="307">
        <f t="shared" si="22"/>
        <v>0</v>
      </c>
    </row>
    <row r="110" spans="1:19">
      <c r="A110" s="632"/>
      <c r="B110" s="52"/>
      <c r="C110" s="21">
        <f t="shared" si="23"/>
        <v>1</v>
      </c>
      <c r="D110" s="634"/>
      <c r="E110" s="21">
        <f t="shared" si="24"/>
        <v>0.05</v>
      </c>
      <c r="F110" s="634"/>
      <c r="G110" s="21">
        <f t="shared" si="25"/>
        <v>1</v>
      </c>
      <c r="H110" s="634"/>
      <c r="I110" s="21">
        <f t="shared" si="26"/>
        <v>1</v>
      </c>
      <c r="J110" s="634"/>
      <c r="K110" s="21">
        <f t="shared" si="27"/>
        <v>1</v>
      </c>
      <c r="L110" s="634"/>
      <c r="M110" s="21">
        <f t="shared" si="28"/>
        <v>1</v>
      </c>
      <c r="N110" s="634"/>
      <c r="O110" s="21">
        <f t="shared" si="29"/>
        <v>1</v>
      </c>
      <c r="P110" s="634"/>
      <c r="Q110" s="21">
        <f t="shared" si="30"/>
        <v>0</v>
      </c>
      <c r="R110" s="21">
        <f t="shared" si="31"/>
        <v>0</v>
      </c>
      <c r="S110" s="307">
        <f t="shared" si="22"/>
        <v>0</v>
      </c>
    </row>
    <row r="111" spans="1:19">
      <c r="A111" s="632"/>
      <c r="B111" s="52"/>
      <c r="C111" s="21">
        <f t="shared" si="23"/>
        <v>1</v>
      </c>
      <c r="D111" s="634"/>
      <c r="E111" s="21">
        <f t="shared" si="24"/>
        <v>0.05</v>
      </c>
      <c r="F111" s="634"/>
      <c r="G111" s="21">
        <f t="shared" si="25"/>
        <v>1</v>
      </c>
      <c r="H111" s="634"/>
      <c r="I111" s="21">
        <f t="shared" si="26"/>
        <v>1</v>
      </c>
      <c r="J111" s="634"/>
      <c r="K111" s="21">
        <f t="shared" si="27"/>
        <v>1</v>
      </c>
      <c r="L111" s="634"/>
      <c r="M111" s="21">
        <f t="shared" si="28"/>
        <v>1</v>
      </c>
      <c r="N111" s="634"/>
      <c r="O111" s="21">
        <f t="shared" si="29"/>
        <v>1</v>
      </c>
      <c r="P111" s="634"/>
      <c r="Q111" s="21">
        <f t="shared" si="30"/>
        <v>0</v>
      </c>
      <c r="R111" s="21">
        <f t="shared" si="31"/>
        <v>0</v>
      </c>
      <c r="S111" s="307">
        <f t="shared" si="22"/>
        <v>0</v>
      </c>
    </row>
    <row r="112" spans="1:19">
      <c r="A112" s="632"/>
      <c r="B112" s="52"/>
      <c r="C112" s="21">
        <f t="shared" si="23"/>
        <v>1</v>
      </c>
      <c r="D112" s="634"/>
      <c r="E112" s="21">
        <f t="shared" si="24"/>
        <v>0.05</v>
      </c>
      <c r="F112" s="634"/>
      <c r="G112" s="21">
        <f t="shared" si="25"/>
        <v>1</v>
      </c>
      <c r="H112" s="634"/>
      <c r="I112" s="21">
        <f t="shared" si="26"/>
        <v>1</v>
      </c>
      <c r="J112" s="634"/>
      <c r="K112" s="21">
        <f t="shared" si="27"/>
        <v>1</v>
      </c>
      <c r="L112" s="634"/>
      <c r="M112" s="21">
        <f t="shared" si="28"/>
        <v>1</v>
      </c>
      <c r="N112" s="634"/>
      <c r="O112" s="21">
        <f t="shared" si="29"/>
        <v>1</v>
      </c>
      <c r="P112" s="634"/>
      <c r="Q112" s="21">
        <f t="shared" si="30"/>
        <v>0</v>
      </c>
      <c r="R112" s="21">
        <f t="shared" si="31"/>
        <v>0</v>
      </c>
      <c r="S112" s="307">
        <f t="shared" si="22"/>
        <v>0</v>
      </c>
    </row>
    <row r="113" spans="1:19">
      <c r="A113" s="632"/>
      <c r="B113" s="52"/>
      <c r="C113" s="21">
        <f t="shared" si="23"/>
        <v>1</v>
      </c>
      <c r="D113" s="634"/>
      <c r="E113" s="21">
        <f t="shared" si="24"/>
        <v>0.05</v>
      </c>
      <c r="F113" s="634"/>
      <c r="G113" s="21">
        <f t="shared" si="25"/>
        <v>1</v>
      </c>
      <c r="H113" s="634"/>
      <c r="I113" s="21">
        <f t="shared" si="26"/>
        <v>1</v>
      </c>
      <c r="J113" s="634"/>
      <c r="K113" s="21">
        <f t="shared" si="27"/>
        <v>1</v>
      </c>
      <c r="L113" s="634"/>
      <c r="M113" s="21">
        <f t="shared" si="28"/>
        <v>1</v>
      </c>
      <c r="N113" s="634"/>
      <c r="O113" s="21">
        <f t="shared" si="29"/>
        <v>1</v>
      </c>
      <c r="P113" s="634"/>
      <c r="Q113" s="21">
        <f t="shared" si="30"/>
        <v>0</v>
      </c>
      <c r="R113" s="21">
        <f t="shared" si="31"/>
        <v>0</v>
      </c>
      <c r="S113" s="307">
        <f t="shared" si="22"/>
        <v>0</v>
      </c>
    </row>
    <row r="114" spans="1:19">
      <c r="A114" s="632"/>
      <c r="B114" s="52"/>
      <c r="C114" s="21">
        <f t="shared" si="23"/>
        <v>1</v>
      </c>
      <c r="D114" s="634"/>
      <c r="E114" s="21">
        <f t="shared" si="24"/>
        <v>0.05</v>
      </c>
      <c r="F114" s="634"/>
      <c r="G114" s="21">
        <f t="shared" si="25"/>
        <v>1</v>
      </c>
      <c r="H114" s="634"/>
      <c r="I114" s="21">
        <f t="shared" si="26"/>
        <v>1</v>
      </c>
      <c r="J114" s="634"/>
      <c r="K114" s="21">
        <f t="shared" si="27"/>
        <v>1</v>
      </c>
      <c r="L114" s="634"/>
      <c r="M114" s="21">
        <f t="shared" si="28"/>
        <v>1</v>
      </c>
      <c r="N114" s="634"/>
      <c r="O114" s="21">
        <f t="shared" si="29"/>
        <v>1</v>
      </c>
      <c r="P114" s="634"/>
      <c r="Q114" s="21">
        <f t="shared" si="30"/>
        <v>0</v>
      </c>
      <c r="R114" s="21">
        <f t="shared" si="31"/>
        <v>0</v>
      </c>
      <c r="S114" s="307">
        <f t="shared" si="22"/>
        <v>0</v>
      </c>
    </row>
    <row r="115" spans="1:19">
      <c r="A115" s="632"/>
      <c r="B115" s="52"/>
      <c r="C115" s="21">
        <f t="shared" si="23"/>
        <v>1</v>
      </c>
      <c r="D115" s="634"/>
      <c r="E115" s="21">
        <f t="shared" si="24"/>
        <v>0.05</v>
      </c>
      <c r="F115" s="634"/>
      <c r="G115" s="21">
        <f t="shared" si="25"/>
        <v>1</v>
      </c>
      <c r="H115" s="634"/>
      <c r="I115" s="21">
        <f t="shared" si="26"/>
        <v>1</v>
      </c>
      <c r="J115" s="634"/>
      <c r="K115" s="21">
        <f t="shared" si="27"/>
        <v>1</v>
      </c>
      <c r="L115" s="634"/>
      <c r="M115" s="21">
        <f t="shared" si="28"/>
        <v>1</v>
      </c>
      <c r="N115" s="634"/>
      <c r="O115" s="21">
        <f t="shared" si="29"/>
        <v>1</v>
      </c>
      <c r="P115" s="634"/>
      <c r="Q115" s="21">
        <f t="shared" si="30"/>
        <v>0</v>
      </c>
      <c r="R115" s="21">
        <f t="shared" si="31"/>
        <v>0</v>
      </c>
      <c r="S115" s="307">
        <f t="shared" si="22"/>
        <v>0</v>
      </c>
    </row>
    <row r="116" spans="1:19">
      <c r="A116" s="632"/>
      <c r="B116" s="52"/>
      <c r="C116" s="21">
        <f t="shared" si="23"/>
        <v>1</v>
      </c>
      <c r="D116" s="634"/>
      <c r="E116" s="21">
        <f t="shared" si="24"/>
        <v>0.05</v>
      </c>
      <c r="F116" s="634"/>
      <c r="G116" s="21">
        <f t="shared" si="25"/>
        <v>1</v>
      </c>
      <c r="H116" s="634"/>
      <c r="I116" s="21">
        <f t="shared" si="26"/>
        <v>1</v>
      </c>
      <c r="J116" s="634"/>
      <c r="K116" s="21">
        <f t="shared" si="27"/>
        <v>1</v>
      </c>
      <c r="L116" s="634"/>
      <c r="M116" s="21">
        <f t="shared" si="28"/>
        <v>1</v>
      </c>
      <c r="N116" s="634"/>
      <c r="O116" s="21">
        <f t="shared" si="29"/>
        <v>1</v>
      </c>
      <c r="P116" s="634"/>
      <c r="Q116" s="21">
        <f t="shared" si="30"/>
        <v>0</v>
      </c>
      <c r="R116" s="21">
        <f t="shared" si="31"/>
        <v>0</v>
      </c>
      <c r="S116" s="307">
        <f t="shared" si="22"/>
        <v>0</v>
      </c>
    </row>
    <row r="117" spans="1:19">
      <c r="A117" s="632"/>
      <c r="B117" s="52"/>
      <c r="C117" s="21">
        <f t="shared" si="23"/>
        <v>1</v>
      </c>
      <c r="D117" s="634"/>
      <c r="E117" s="21">
        <f t="shared" si="24"/>
        <v>0.05</v>
      </c>
      <c r="F117" s="634"/>
      <c r="G117" s="21">
        <f t="shared" si="25"/>
        <v>1</v>
      </c>
      <c r="H117" s="634"/>
      <c r="I117" s="21">
        <f t="shared" si="26"/>
        <v>1</v>
      </c>
      <c r="J117" s="634"/>
      <c r="K117" s="21">
        <f t="shared" si="27"/>
        <v>1</v>
      </c>
      <c r="L117" s="634"/>
      <c r="M117" s="21">
        <f t="shared" si="28"/>
        <v>1</v>
      </c>
      <c r="N117" s="634"/>
      <c r="O117" s="21">
        <f t="shared" si="29"/>
        <v>1</v>
      </c>
      <c r="P117" s="634"/>
      <c r="Q117" s="21">
        <f t="shared" si="30"/>
        <v>0</v>
      </c>
      <c r="R117" s="21">
        <f t="shared" si="31"/>
        <v>0</v>
      </c>
      <c r="S117" s="307">
        <f t="shared" si="22"/>
        <v>0</v>
      </c>
    </row>
    <row r="118" spans="1:19">
      <c r="A118" s="632"/>
      <c r="B118" s="52"/>
      <c r="C118" s="21">
        <f t="shared" si="23"/>
        <v>1</v>
      </c>
      <c r="D118" s="634"/>
      <c r="E118" s="21">
        <f t="shared" si="24"/>
        <v>0.05</v>
      </c>
      <c r="F118" s="634"/>
      <c r="G118" s="21">
        <f t="shared" si="25"/>
        <v>1</v>
      </c>
      <c r="H118" s="634"/>
      <c r="I118" s="21">
        <f t="shared" si="26"/>
        <v>1</v>
      </c>
      <c r="J118" s="634"/>
      <c r="K118" s="21">
        <f t="shared" si="27"/>
        <v>1</v>
      </c>
      <c r="L118" s="634"/>
      <c r="M118" s="21">
        <f t="shared" si="28"/>
        <v>1</v>
      </c>
      <c r="N118" s="634"/>
      <c r="O118" s="21">
        <f t="shared" si="29"/>
        <v>1</v>
      </c>
      <c r="P118" s="634"/>
      <c r="Q118" s="21">
        <f t="shared" si="30"/>
        <v>0</v>
      </c>
      <c r="R118" s="21">
        <f t="shared" si="31"/>
        <v>0</v>
      </c>
      <c r="S118" s="307">
        <f t="shared" si="22"/>
        <v>0</v>
      </c>
    </row>
    <row r="119" spans="1:19">
      <c r="A119" s="632"/>
      <c r="B119" s="52"/>
      <c r="C119" s="21">
        <f t="shared" si="23"/>
        <v>1</v>
      </c>
      <c r="D119" s="634"/>
      <c r="E119" s="21">
        <f t="shared" si="24"/>
        <v>0.05</v>
      </c>
      <c r="F119" s="634"/>
      <c r="G119" s="21">
        <f t="shared" si="25"/>
        <v>1</v>
      </c>
      <c r="H119" s="634"/>
      <c r="I119" s="21">
        <f t="shared" si="26"/>
        <v>1</v>
      </c>
      <c r="J119" s="634"/>
      <c r="K119" s="21">
        <f t="shared" si="27"/>
        <v>1</v>
      </c>
      <c r="L119" s="634"/>
      <c r="M119" s="21">
        <f t="shared" si="28"/>
        <v>1</v>
      </c>
      <c r="N119" s="634"/>
      <c r="O119" s="21">
        <f t="shared" si="29"/>
        <v>1</v>
      </c>
      <c r="P119" s="634"/>
      <c r="Q119" s="21">
        <f t="shared" si="30"/>
        <v>0</v>
      </c>
      <c r="R119" s="21">
        <f t="shared" si="31"/>
        <v>0</v>
      </c>
      <c r="S119" s="307">
        <f t="shared" si="22"/>
        <v>0</v>
      </c>
    </row>
    <row r="120" spans="1:19">
      <c r="A120" s="632"/>
      <c r="B120" s="52"/>
      <c r="C120" s="21">
        <f t="shared" si="23"/>
        <v>1</v>
      </c>
      <c r="D120" s="634"/>
      <c r="E120" s="21">
        <f t="shared" si="24"/>
        <v>0.05</v>
      </c>
      <c r="F120" s="634"/>
      <c r="G120" s="21">
        <f t="shared" si="25"/>
        <v>1</v>
      </c>
      <c r="H120" s="634"/>
      <c r="I120" s="21">
        <f t="shared" si="26"/>
        <v>1</v>
      </c>
      <c r="J120" s="634"/>
      <c r="K120" s="21">
        <f t="shared" si="27"/>
        <v>1</v>
      </c>
      <c r="L120" s="634"/>
      <c r="M120" s="21">
        <f t="shared" si="28"/>
        <v>1</v>
      </c>
      <c r="N120" s="634"/>
      <c r="O120" s="21">
        <f t="shared" si="29"/>
        <v>1</v>
      </c>
      <c r="P120" s="634"/>
      <c r="Q120" s="21">
        <f t="shared" si="30"/>
        <v>0</v>
      </c>
      <c r="R120" s="21">
        <f t="shared" si="31"/>
        <v>0</v>
      </c>
      <c r="S120" s="307">
        <f t="shared" si="22"/>
        <v>0</v>
      </c>
    </row>
    <row r="121" spans="1:19">
      <c r="A121" s="632"/>
      <c r="B121" s="52"/>
      <c r="C121" s="21">
        <f t="shared" si="23"/>
        <v>1</v>
      </c>
      <c r="D121" s="634"/>
      <c r="E121" s="21">
        <f t="shared" si="24"/>
        <v>0.05</v>
      </c>
      <c r="F121" s="634"/>
      <c r="G121" s="21">
        <f t="shared" si="25"/>
        <v>1</v>
      </c>
      <c r="H121" s="634"/>
      <c r="I121" s="21">
        <f t="shared" si="26"/>
        <v>1</v>
      </c>
      <c r="J121" s="634"/>
      <c r="K121" s="21">
        <f t="shared" si="27"/>
        <v>1</v>
      </c>
      <c r="L121" s="634"/>
      <c r="M121" s="21">
        <f t="shared" si="28"/>
        <v>1</v>
      </c>
      <c r="N121" s="634"/>
      <c r="O121" s="21">
        <f t="shared" si="29"/>
        <v>1</v>
      </c>
      <c r="P121" s="634"/>
      <c r="Q121" s="21">
        <f t="shared" si="30"/>
        <v>0</v>
      </c>
      <c r="R121" s="21">
        <f t="shared" si="31"/>
        <v>0</v>
      </c>
      <c r="S121" s="307">
        <f t="shared" si="22"/>
        <v>0</v>
      </c>
    </row>
    <row r="122" spans="1:19">
      <c r="A122" s="632"/>
      <c r="B122" s="52"/>
      <c r="C122" s="21">
        <f t="shared" si="23"/>
        <v>1</v>
      </c>
      <c r="D122" s="634"/>
      <c r="E122" s="21">
        <f t="shared" si="24"/>
        <v>0.05</v>
      </c>
      <c r="F122" s="634"/>
      <c r="G122" s="21">
        <f t="shared" si="25"/>
        <v>1</v>
      </c>
      <c r="H122" s="634"/>
      <c r="I122" s="21">
        <f t="shared" si="26"/>
        <v>1</v>
      </c>
      <c r="J122" s="634"/>
      <c r="K122" s="21">
        <f t="shared" si="27"/>
        <v>1</v>
      </c>
      <c r="L122" s="634"/>
      <c r="M122" s="21">
        <f t="shared" si="28"/>
        <v>1</v>
      </c>
      <c r="N122" s="634"/>
      <c r="O122" s="21">
        <f t="shared" si="29"/>
        <v>1</v>
      </c>
      <c r="P122" s="634"/>
      <c r="Q122" s="21">
        <f t="shared" si="30"/>
        <v>0</v>
      </c>
      <c r="R122" s="21">
        <f t="shared" si="31"/>
        <v>0</v>
      </c>
      <c r="S122" s="307">
        <f t="shared" si="22"/>
        <v>0</v>
      </c>
    </row>
    <row r="123" spans="1:19">
      <c r="A123" s="632"/>
      <c r="B123" s="52"/>
      <c r="C123" s="21">
        <f t="shared" si="23"/>
        <v>1</v>
      </c>
      <c r="D123" s="634"/>
      <c r="E123" s="21">
        <f t="shared" si="24"/>
        <v>0.05</v>
      </c>
      <c r="F123" s="634"/>
      <c r="G123" s="21">
        <f t="shared" si="25"/>
        <v>1</v>
      </c>
      <c r="H123" s="634"/>
      <c r="I123" s="21">
        <f t="shared" si="26"/>
        <v>1</v>
      </c>
      <c r="J123" s="634"/>
      <c r="K123" s="21">
        <f t="shared" si="27"/>
        <v>1</v>
      </c>
      <c r="L123" s="634"/>
      <c r="M123" s="21">
        <f t="shared" si="28"/>
        <v>1</v>
      </c>
      <c r="N123" s="634"/>
      <c r="O123" s="21">
        <f t="shared" si="29"/>
        <v>1</v>
      </c>
      <c r="P123" s="634"/>
      <c r="Q123" s="21">
        <f t="shared" si="30"/>
        <v>0</v>
      </c>
      <c r="R123" s="21">
        <f t="shared" si="31"/>
        <v>0</v>
      </c>
      <c r="S123" s="307">
        <f t="shared" ref="S123:S186" si="32">ROUND(R123*B123/10000,0)</f>
        <v>0</v>
      </c>
    </row>
    <row r="124" spans="1:19">
      <c r="A124" s="632"/>
      <c r="B124" s="52"/>
      <c r="C124" s="21">
        <f t="shared" si="23"/>
        <v>1</v>
      </c>
      <c r="D124" s="634"/>
      <c r="E124" s="21">
        <f t="shared" si="24"/>
        <v>0.05</v>
      </c>
      <c r="F124" s="634"/>
      <c r="G124" s="21">
        <f t="shared" si="25"/>
        <v>1</v>
      </c>
      <c r="H124" s="634"/>
      <c r="I124" s="21">
        <f t="shared" si="26"/>
        <v>1</v>
      </c>
      <c r="J124" s="634"/>
      <c r="K124" s="21">
        <f t="shared" si="27"/>
        <v>1</v>
      </c>
      <c r="L124" s="634"/>
      <c r="M124" s="21">
        <f t="shared" si="28"/>
        <v>1</v>
      </c>
      <c r="N124" s="634"/>
      <c r="O124" s="21">
        <f t="shared" si="29"/>
        <v>1</v>
      </c>
      <c r="P124" s="634"/>
      <c r="Q124" s="21">
        <f t="shared" si="30"/>
        <v>0</v>
      </c>
      <c r="R124" s="21">
        <f t="shared" si="31"/>
        <v>0</v>
      </c>
      <c r="S124" s="307">
        <f t="shared" si="32"/>
        <v>0</v>
      </c>
    </row>
    <row r="125" spans="1:19">
      <c r="A125" s="632"/>
      <c r="B125" s="52"/>
      <c r="C125" s="21">
        <f t="shared" si="23"/>
        <v>1</v>
      </c>
      <c r="D125" s="634"/>
      <c r="E125" s="21">
        <f t="shared" si="24"/>
        <v>0.05</v>
      </c>
      <c r="F125" s="634"/>
      <c r="G125" s="21">
        <f t="shared" si="25"/>
        <v>1</v>
      </c>
      <c r="H125" s="634"/>
      <c r="I125" s="21">
        <f t="shared" si="26"/>
        <v>1</v>
      </c>
      <c r="J125" s="634"/>
      <c r="K125" s="21">
        <f t="shared" si="27"/>
        <v>1</v>
      </c>
      <c r="L125" s="634"/>
      <c r="M125" s="21">
        <f t="shared" si="28"/>
        <v>1</v>
      </c>
      <c r="N125" s="634"/>
      <c r="O125" s="21">
        <f t="shared" si="29"/>
        <v>1</v>
      </c>
      <c r="P125" s="634"/>
      <c r="Q125" s="21">
        <f t="shared" si="30"/>
        <v>0</v>
      </c>
      <c r="R125" s="21">
        <f t="shared" si="31"/>
        <v>0</v>
      </c>
      <c r="S125" s="307">
        <f t="shared" si="32"/>
        <v>0</v>
      </c>
    </row>
    <row r="126" spans="1:19">
      <c r="A126" s="632"/>
      <c r="B126" s="52"/>
      <c r="C126" s="21">
        <f t="shared" si="23"/>
        <v>1</v>
      </c>
      <c r="D126" s="634"/>
      <c r="E126" s="21">
        <f t="shared" si="24"/>
        <v>0.05</v>
      </c>
      <c r="F126" s="634"/>
      <c r="G126" s="21">
        <f t="shared" si="25"/>
        <v>1</v>
      </c>
      <c r="H126" s="634"/>
      <c r="I126" s="21">
        <f t="shared" si="26"/>
        <v>1</v>
      </c>
      <c r="J126" s="634"/>
      <c r="K126" s="21">
        <f t="shared" si="27"/>
        <v>1</v>
      </c>
      <c r="L126" s="634"/>
      <c r="M126" s="21">
        <f t="shared" si="28"/>
        <v>1</v>
      </c>
      <c r="N126" s="634"/>
      <c r="O126" s="21">
        <f t="shared" si="29"/>
        <v>1</v>
      </c>
      <c r="P126" s="634"/>
      <c r="Q126" s="21">
        <f t="shared" si="30"/>
        <v>0</v>
      </c>
      <c r="R126" s="21">
        <f t="shared" si="31"/>
        <v>0</v>
      </c>
      <c r="S126" s="307">
        <f t="shared" si="32"/>
        <v>0</v>
      </c>
    </row>
    <row r="127" spans="1:19">
      <c r="A127" s="632"/>
      <c r="B127" s="52"/>
      <c r="C127" s="21">
        <f t="shared" si="23"/>
        <v>1</v>
      </c>
      <c r="D127" s="634"/>
      <c r="E127" s="21">
        <f t="shared" si="24"/>
        <v>0.05</v>
      </c>
      <c r="F127" s="634"/>
      <c r="G127" s="21">
        <f t="shared" si="25"/>
        <v>1</v>
      </c>
      <c r="H127" s="634"/>
      <c r="I127" s="21">
        <f t="shared" si="26"/>
        <v>1</v>
      </c>
      <c r="J127" s="634"/>
      <c r="K127" s="21">
        <f t="shared" si="27"/>
        <v>1</v>
      </c>
      <c r="L127" s="634"/>
      <c r="M127" s="21">
        <f t="shared" si="28"/>
        <v>1</v>
      </c>
      <c r="N127" s="634"/>
      <c r="O127" s="21">
        <f t="shared" si="29"/>
        <v>1</v>
      </c>
      <c r="P127" s="634"/>
      <c r="Q127" s="21">
        <f t="shared" si="30"/>
        <v>0</v>
      </c>
      <c r="R127" s="21">
        <f t="shared" si="31"/>
        <v>0</v>
      </c>
      <c r="S127" s="307">
        <f t="shared" si="32"/>
        <v>0</v>
      </c>
    </row>
    <row r="128" spans="1:19">
      <c r="A128" s="632"/>
      <c r="B128" s="52"/>
      <c r="C128" s="21">
        <f t="shared" si="23"/>
        <v>1</v>
      </c>
      <c r="D128" s="634"/>
      <c r="E128" s="21">
        <f t="shared" si="24"/>
        <v>0.05</v>
      </c>
      <c r="F128" s="634"/>
      <c r="G128" s="21">
        <f t="shared" si="25"/>
        <v>1</v>
      </c>
      <c r="H128" s="634"/>
      <c r="I128" s="21">
        <f t="shared" si="26"/>
        <v>1</v>
      </c>
      <c r="J128" s="634"/>
      <c r="K128" s="21">
        <f t="shared" si="27"/>
        <v>1</v>
      </c>
      <c r="L128" s="634"/>
      <c r="M128" s="21">
        <f t="shared" si="28"/>
        <v>1</v>
      </c>
      <c r="N128" s="634"/>
      <c r="O128" s="21">
        <f t="shared" si="29"/>
        <v>1</v>
      </c>
      <c r="P128" s="634"/>
      <c r="Q128" s="21">
        <f t="shared" si="30"/>
        <v>0</v>
      </c>
      <c r="R128" s="21">
        <f t="shared" si="31"/>
        <v>0</v>
      </c>
      <c r="S128" s="307">
        <f t="shared" si="32"/>
        <v>0</v>
      </c>
    </row>
    <row r="129" spans="1:19">
      <c r="A129" s="632"/>
      <c r="B129" s="52"/>
      <c r="C129" s="21">
        <f t="shared" si="23"/>
        <v>1</v>
      </c>
      <c r="D129" s="634"/>
      <c r="E129" s="21">
        <f t="shared" si="24"/>
        <v>0.05</v>
      </c>
      <c r="F129" s="634"/>
      <c r="G129" s="21">
        <f t="shared" si="25"/>
        <v>1</v>
      </c>
      <c r="H129" s="634"/>
      <c r="I129" s="21">
        <f t="shared" si="26"/>
        <v>1</v>
      </c>
      <c r="J129" s="634"/>
      <c r="K129" s="21">
        <f t="shared" si="27"/>
        <v>1</v>
      </c>
      <c r="L129" s="634"/>
      <c r="M129" s="21">
        <f t="shared" si="28"/>
        <v>1</v>
      </c>
      <c r="N129" s="634"/>
      <c r="O129" s="21">
        <f t="shared" si="29"/>
        <v>1</v>
      </c>
      <c r="P129" s="634"/>
      <c r="Q129" s="21">
        <f t="shared" si="30"/>
        <v>0</v>
      </c>
      <c r="R129" s="21">
        <f t="shared" si="31"/>
        <v>0</v>
      </c>
      <c r="S129" s="307">
        <f t="shared" si="32"/>
        <v>0</v>
      </c>
    </row>
    <row r="130" spans="1:19">
      <c r="A130" s="142"/>
      <c r="B130" s="52"/>
      <c r="C130" s="21">
        <f t="shared" si="23"/>
        <v>1</v>
      </c>
      <c r="D130" s="634"/>
      <c r="E130" s="21">
        <f t="shared" si="24"/>
        <v>0.05</v>
      </c>
      <c r="F130" s="634"/>
      <c r="G130" s="21">
        <f t="shared" si="25"/>
        <v>1</v>
      </c>
      <c r="H130" s="634"/>
      <c r="I130" s="21">
        <f t="shared" si="26"/>
        <v>1</v>
      </c>
      <c r="J130" s="634"/>
      <c r="K130" s="21">
        <f t="shared" si="27"/>
        <v>1</v>
      </c>
      <c r="L130" s="634"/>
      <c r="M130" s="21">
        <f t="shared" si="28"/>
        <v>1</v>
      </c>
      <c r="N130" s="634"/>
      <c r="O130" s="21">
        <f t="shared" si="29"/>
        <v>1</v>
      </c>
      <c r="P130" s="634"/>
      <c r="Q130" s="21">
        <f t="shared" si="30"/>
        <v>0</v>
      </c>
      <c r="R130" s="21">
        <f t="shared" si="31"/>
        <v>0</v>
      </c>
      <c r="S130" s="307">
        <f t="shared" si="32"/>
        <v>0</v>
      </c>
    </row>
    <row r="131" spans="1:19">
      <c r="A131" s="142"/>
      <c r="B131" s="52"/>
      <c r="C131" s="21">
        <f t="shared" si="23"/>
        <v>1</v>
      </c>
      <c r="D131" s="634"/>
      <c r="E131" s="21">
        <f t="shared" si="24"/>
        <v>0.05</v>
      </c>
      <c r="F131" s="634"/>
      <c r="G131" s="21">
        <f t="shared" si="25"/>
        <v>1</v>
      </c>
      <c r="H131" s="634"/>
      <c r="I131" s="21">
        <f t="shared" si="26"/>
        <v>1</v>
      </c>
      <c r="J131" s="634"/>
      <c r="K131" s="21">
        <f t="shared" si="27"/>
        <v>1</v>
      </c>
      <c r="L131" s="634"/>
      <c r="M131" s="21">
        <f t="shared" si="28"/>
        <v>1</v>
      </c>
      <c r="N131" s="634"/>
      <c r="O131" s="21">
        <f t="shared" si="29"/>
        <v>1</v>
      </c>
      <c r="P131" s="634"/>
      <c r="Q131" s="21">
        <f t="shared" si="30"/>
        <v>0</v>
      </c>
      <c r="R131" s="21">
        <f t="shared" si="31"/>
        <v>0</v>
      </c>
      <c r="S131" s="307">
        <f t="shared" si="32"/>
        <v>0</v>
      </c>
    </row>
    <row r="132" spans="1:19">
      <c r="A132" s="142"/>
      <c r="B132" s="52"/>
      <c r="C132" s="21">
        <f t="shared" si="23"/>
        <v>1</v>
      </c>
      <c r="D132" s="634"/>
      <c r="E132" s="21">
        <f t="shared" si="24"/>
        <v>0.05</v>
      </c>
      <c r="F132" s="634"/>
      <c r="G132" s="21">
        <f t="shared" si="25"/>
        <v>1</v>
      </c>
      <c r="H132" s="634"/>
      <c r="I132" s="21">
        <f t="shared" si="26"/>
        <v>1</v>
      </c>
      <c r="J132" s="634"/>
      <c r="K132" s="21">
        <f t="shared" si="27"/>
        <v>1</v>
      </c>
      <c r="L132" s="634"/>
      <c r="M132" s="21">
        <f t="shared" si="28"/>
        <v>1</v>
      </c>
      <c r="N132" s="634"/>
      <c r="O132" s="21">
        <f t="shared" si="29"/>
        <v>1</v>
      </c>
      <c r="P132" s="634"/>
      <c r="Q132" s="21">
        <f t="shared" si="30"/>
        <v>0</v>
      </c>
      <c r="R132" s="21">
        <f t="shared" si="31"/>
        <v>0</v>
      </c>
      <c r="S132" s="307">
        <f t="shared" si="32"/>
        <v>0</v>
      </c>
    </row>
    <row r="133" spans="1:19">
      <c r="A133" s="142"/>
      <c r="B133" s="52"/>
      <c r="C133" s="21">
        <f t="shared" si="23"/>
        <v>1</v>
      </c>
      <c r="D133" s="634"/>
      <c r="E133" s="21">
        <f t="shared" si="24"/>
        <v>0.05</v>
      </c>
      <c r="F133" s="634"/>
      <c r="G133" s="21">
        <f t="shared" si="25"/>
        <v>1</v>
      </c>
      <c r="H133" s="634"/>
      <c r="I133" s="21">
        <f t="shared" si="26"/>
        <v>1</v>
      </c>
      <c r="J133" s="634"/>
      <c r="K133" s="21">
        <f t="shared" si="27"/>
        <v>1</v>
      </c>
      <c r="L133" s="634"/>
      <c r="M133" s="21">
        <f t="shared" si="28"/>
        <v>1</v>
      </c>
      <c r="N133" s="634"/>
      <c r="O133" s="21">
        <f t="shared" si="29"/>
        <v>1</v>
      </c>
      <c r="P133" s="634"/>
      <c r="Q133" s="21">
        <f t="shared" si="30"/>
        <v>0</v>
      </c>
      <c r="R133" s="21">
        <f t="shared" si="31"/>
        <v>0</v>
      </c>
      <c r="S133" s="307">
        <f t="shared" si="32"/>
        <v>0</v>
      </c>
    </row>
    <row r="134" spans="1:19">
      <c r="A134" s="142"/>
      <c r="B134" s="52"/>
      <c r="C134" s="21">
        <f t="shared" si="23"/>
        <v>1</v>
      </c>
      <c r="D134" s="634"/>
      <c r="E134" s="21">
        <f t="shared" si="24"/>
        <v>0.05</v>
      </c>
      <c r="F134" s="634"/>
      <c r="G134" s="21">
        <f t="shared" si="25"/>
        <v>1</v>
      </c>
      <c r="H134" s="634"/>
      <c r="I134" s="21">
        <f t="shared" si="26"/>
        <v>1</v>
      </c>
      <c r="J134" s="634"/>
      <c r="K134" s="21">
        <f t="shared" si="27"/>
        <v>1</v>
      </c>
      <c r="L134" s="634"/>
      <c r="M134" s="21">
        <f t="shared" si="28"/>
        <v>1</v>
      </c>
      <c r="N134" s="634"/>
      <c r="O134" s="21">
        <f t="shared" si="29"/>
        <v>1</v>
      </c>
      <c r="P134" s="634"/>
      <c r="Q134" s="21">
        <f t="shared" si="30"/>
        <v>0</v>
      </c>
      <c r="R134" s="21">
        <f t="shared" si="31"/>
        <v>0</v>
      </c>
      <c r="S134" s="307">
        <f t="shared" si="32"/>
        <v>0</v>
      </c>
    </row>
    <row r="135" spans="1:19">
      <c r="A135" s="142"/>
      <c r="B135" s="52"/>
      <c r="C135" s="21">
        <f t="shared" si="23"/>
        <v>1</v>
      </c>
      <c r="D135" s="634"/>
      <c r="E135" s="21">
        <f t="shared" si="24"/>
        <v>0.05</v>
      </c>
      <c r="F135" s="634"/>
      <c r="G135" s="21">
        <f t="shared" si="25"/>
        <v>1</v>
      </c>
      <c r="H135" s="634"/>
      <c r="I135" s="21">
        <f t="shared" si="26"/>
        <v>1</v>
      </c>
      <c r="J135" s="634"/>
      <c r="K135" s="21">
        <f t="shared" si="27"/>
        <v>1</v>
      </c>
      <c r="L135" s="634"/>
      <c r="M135" s="21">
        <f t="shared" si="28"/>
        <v>1</v>
      </c>
      <c r="N135" s="634"/>
      <c r="O135" s="21">
        <f t="shared" si="29"/>
        <v>1</v>
      </c>
      <c r="P135" s="634"/>
      <c r="Q135" s="21">
        <f t="shared" si="30"/>
        <v>0</v>
      </c>
      <c r="R135" s="21">
        <f t="shared" si="31"/>
        <v>0</v>
      </c>
      <c r="S135" s="307">
        <f t="shared" si="32"/>
        <v>0</v>
      </c>
    </row>
    <row r="136" spans="1:19">
      <c r="A136" s="142"/>
      <c r="B136" s="52"/>
      <c r="C136" s="21">
        <f t="shared" si="23"/>
        <v>1</v>
      </c>
      <c r="D136" s="634"/>
      <c r="E136" s="21">
        <f t="shared" si="24"/>
        <v>0.05</v>
      </c>
      <c r="F136" s="634"/>
      <c r="G136" s="21">
        <f t="shared" si="25"/>
        <v>1</v>
      </c>
      <c r="H136" s="634"/>
      <c r="I136" s="21">
        <f t="shared" si="26"/>
        <v>1</v>
      </c>
      <c r="J136" s="634"/>
      <c r="K136" s="21">
        <f t="shared" si="27"/>
        <v>1</v>
      </c>
      <c r="L136" s="634"/>
      <c r="M136" s="21">
        <f t="shared" si="28"/>
        <v>1</v>
      </c>
      <c r="N136" s="634"/>
      <c r="O136" s="21">
        <f t="shared" si="29"/>
        <v>1</v>
      </c>
      <c r="P136" s="634"/>
      <c r="Q136" s="21">
        <f t="shared" si="30"/>
        <v>0</v>
      </c>
      <c r="R136" s="21">
        <f t="shared" si="31"/>
        <v>0</v>
      </c>
      <c r="S136" s="307">
        <f t="shared" si="32"/>
        <v>0</v>
      </c>
    </row>
    <row r="137" spans="1:19">
      <c r="A137" s="142"/>
      <c r="B137" s="52"/>
      <c r="C137" s="21">
        <f t="shared" si="23"/>
        <v>1</v>
      </c>
      <c r="D137" s="634"/>
      <c r="E137" s="21">
        <f t="shared" si="24"/>
        <v>0.05</v>
      </c>
      <c r="F137" s="634"/>
      <c r="G137" s="21">
        <f t="shared" si="25"/>
        <v>1</v>
      </c>
      <c r="H137" s="634"/>
      <c r="I137" s="21">
        <f t="shared" si="26"/>
        <v>1</v>
      </c>
      <c r="J137" s="634"/>
      <c r="K137" s="21">
        <f t="shared" si="27"/>
        <v>1</v>
      </c>
      <c r="L137" s="634"/>
      <c r="M137" s="21">
        <f t="shared" si="28"/>
        <v>1</v>
      </c>
      <c r="N137" s="634"/>
      <c r="O137" s="21">
        <f t="shared" si="29"/>
        <v>1</v>
      </c>
      <c r="P137" s="634"/>
      <c r="Q137" s="21">
        <f t="shared" si="30"/>
        <v>0</v>
      </c>
      <c r="R137" s="21">
        <f t="shared" si="31"/>
        <v>0</v>
      </c>
      <c r="S137" s="307">
        <f t="shared" si="32"/>
        <v>0</v>
      </c>
    </row>
    <row r="138" spans="1:19">
      <c r="A138" s="142"/>
      <c r="B138" s="52"/>
      <c r="C138" s="21">
        <f t="shared" si="23"/>
        <v>1</v>
      </c>
      <c r="D138" s="634"/>
      <c r="E138" s="21">
        <f t="shared" si="24"/>
        <v>0.05</v>
      </c>
      <c r="F138" s="634"/>
      <c r="G138" s="21">
        <f t="shared" si="25"/>
        <v>1</v>
      </c>
      <c r="H138" s="634"/>
      <c r="I138" s="21">
        <f t="shared" si="26"/>
        <v>1</v>
      </c>
      <c r="J138" s="634"/>
      <c r="K138" s="21">
        <f t="shared" si="27"/>
        <v>1</v>
      </c>
      <c r="L138" s="634"/>
      <c r="M138" s="21">
        <f t="shared" si="28"/>
        <v>1</v>
      </c>
      <c r="N138" s="634"/>
      <c r="O138" s="21">
        <f t="shared" si="29"/>
        <v>1</v>
      </c>
      <c r="P138" s="634"/>
      <c r="Q138" s="21">
        <f t="shared" si="30"/>
        <v>0</v>
      </c>
      <c r="R138" s="21">
        <f t="shared" si="31"/>
        <v>0</v>
      </c>
      <c r="S138" s="307">
        <f t="shared" si="32"/>
        <v>0</v>
      </c>
    </row>
    <row r="139" spans="1:19">
      <c r="A139" s="142"/>
      <c r="B139" s="52"/>
      <c r="C139" s="21">
        <f t="shared" si="23"/>
        <v>1</v>
      </c>
      <c r="D139" s="634"/>
      <c r="E139" s="21">
        <f t="shared" si="24"/>
        <v>0.05</v>
      </c>
      <c r="F139" s="634"/>
      <c r="G139" s="21">
        <f t="shared" si="25"/>
        <v>1</v>
      </c>
      <c r="H139" s="634"/>
      <c r="I139" s="21">
        <f t="shared" si="26"/>
        <v>1</v>
      </c>
      <c r="J139" s="634"/>
      <c r="K139" s="21">
        <f t="shared" si="27"/>
        <v>1</v>
      </c>
      <c r="L139" s="634"/>
      <c r="M139" s="21">
        <f t="shared" si="28"/>
        <v>1</v>
      </c>
      <c r="N139" s="634"/>
      <c r="O139" s="21">
        <f t="shared" si="29"/>
        <v>1</v>
      </c>
      <c r="P139" s="634"/>
      <c r="Q139" s="21">
        <f t="shared" si="30"/>
        <v>0</v>
      </c>
      <c r="R139" s="21">
        <f t="shared" si="31"/>
        <v>0</v>
      </c>
      <c r="S139" s="307">
        <f t="shared" si="32"/>
        <v>0</v>
      </c>
    </row>
    <row r="140" spans="1:19">
      <c r="A140" s="142"/>
      <c r="B140" s="52"/>
      <c r="C140" s="21">
        <f t="shared" si="23"/>
        <v>1</v>
      </c>
      <c r="D140" s="634"/>
      <c r="E140" s="21">
        <f t="shared" si="24"/>
        <v>0.05</v>
      </c>
      <c r="F140" s="634"/>
      <c r="G140" s="21">
        <f t="shared" si="25"/>
        <v>1</v>
      </c>
      <c r="H140" s="634"/>
      <c r="I140" s="21">
        <f t="shared" si="26"/>
        <v>1</v>
      </c>
      <c r="J140" s="634"/>
      <c r="K140" s="21">
        <f t="shared" si="27"/>
        <v>1</v>
      </c>
      <c r="L140" s="634"/>
      <c r="M140" s="21">
        <f t="shared" si="28"/>
        <v>1</v>
      </c>
      <c r="N140" s="634"/>
      <c r="O140" s="21">
        <f t="shared" si="29"/>
        <v>1</v>
      </c>
      <c r="P140" s="634"/>
      <c r="Q140" s="21">
        <f t="shared" si="30"/>
        <v>0</v>
      </c>
      <c r="R140" s="21">
        <f t="shared" si="31"/>
        <v>0</v>
      </c>
      <c r="S140" s="307">
        <f t="shared" si="32"/>
        <v>0</v>
      </c>
    </row>
    <row r="141" spans="1:19">
      <c r="A141" s="142"/>
      <c r="B141" s="52"/>
      <c r="C141" s="21">
        <f t="shared" si="23"/>
        <v>1</v>
      </c>
      <c r="D141" s="634"/>
      <c r="E141" s="21">
        <f t="shared" si="24"/>
        <v>0.05</v>
      </c>
      <c r="F141" s="634"/>
      <c r="G141" s="21">
        <f t="shared" si="25"/>
        <v>1</v>
      </c>
      <c r="H141" s="634"/>
      <c r="I141" s="21">
        <f t="shared" si="26"/>
        <v>1</v>
      </c>
      <c r="J141" s="634"/>
      <c r="K141" s="21">
        <f t="shared" si="27"/>
        <v>1</v>
      </c>
      <c r="L141" s="634"/>
      <c r="M141" s="21">
        <f t="shared" si="28"/>
        <v>1</v>
      </c>
      <c r="N141" s="634"/>
      <c r="O141" s="21">
        <f t="shared" si="29"/>
        <v>1</v>
      </c>
      <c r="P141" s="634"/>
      <c r="Q141" s="21">
        <f t="shared" si="30"/>
        <v>0</v>
      </c>
      <c r="R141" s="21">
        <f t="shared" si="31"/>
        <v>0</v>
      </c>
      <c r="S141" s="307">
        <f t="shared" si="32"/>
        <v>0</v>
      </c>
    </row>
    <row r="142" spans="1:19">
      <c r="A142" s="142"/>
      <c r="B142" s="52"/>
      <c r="C142" s="21">
        <f t="shared" si="23"/>
        <v>1</v>
      </c>
      <c r="D142" s="634"/>
      <c r="E142" s="21">
        <f t="shared" si="24"/>
        <v>0.05</v>
      </c>
      <c r="F142" s="634"/>
      <c r="G142" s="21">
        <f t="shared" si="25"/>
        <v>1</v>
      </c>
      <c r="H142" s="634"/>
      <c r="I142" s="21">
        <f t="shared" si="26"/>
        <v>1</v>
      </c>
      <c r="J142" s="634"/>
      <c r="K142" s="21">
        <f t="shared" si="27"/>
        <v>1</v>
      </c>
      <c r="L142" s="634"/>
      <c r="M142" s="21">
        <f t="shared" si="28"/>
        <v>1</v>
      </c>
      <c r="N142" s="634"/>
      <c r="O142" s="21">
        <f t="shared" si="29"/>
        <v>1</v>
      </c>
      <c r="P142" s="634"/>
      <c r="Q142" s="21">
        <f t="shared" si="30"/>
        <v>0</v>
      </c>
      <c r="R142" s="21">
        <f t="shared" si="31"/>
        <v>0</v>
      </c>
      <c r="S142" s="307">
        <f t="shared" si="32"/>
        <v>0</v>
      </c>
    </row>
    <row r="143" spans="1:19">
      <c r="A143" s="142"/>
      <c r="B143" s="52"/>
      <c r="C143" s="21">
        <f t="shared" si="23"/>
        <v>1</v>
      </c>
      <c r="D143" s="634"/>
      <c r="E143" s="21">
        <f t="shared" si="24"/>
        <v>0.05</v>
      </c>
      <c r="F143" s="634"/>
      <c r="G143" s="21">
        <f t="shared" si="25"/>
        <v>1</v>
      </c>
      <c r="H143" s="634"/>
      <c r="I143" s="21">
        <f t="shared" si="26"/>
        <v>1</v>
      </c>
      <c r="J143" s="634"/>
      <c r="K143" s="21">
        <f t="shared" si="27"/>
        <v>1</v>
      </c>
      <c r="L143" s="634"/>
      <c r="M143" s="21">
        <f t="shared" si="28"/>
        <v>1</v>
      </c>
      <c r="N143" s="634"/>
      <c r="O143" s="21">
        <f t="shared" si="29"/>
        <v>1</v>
      </c>
      <c r="P143" s="634"/>
      <c r="Q143" s="21">
        <f t="shared" si="30"/>
        <v>0</v>
      </c>
      <c r="R143" s="21">
        <f t="shared" si="31"/>
        <v>0</v>
      </c>
      <c r="S143" s="307">
        <f t="shared" si="32"/>
        <v>0</v>
      </c>
    </row>
    <row r="144" spans="1:19">
      <c r="A144" s="142"/>
      <c r="B144" s="52"/>
      <c r="C144" s="21">
        <f t="shared" si="23"/>
        <v>1</v>
      </c>
      <c r="D144" s="634"/>
      <c r="E144" s="21">
        <f t="shared" si="24"/>
        <v>0.05</v>
      </c>
      <c r="F144" s="634"/>
      <c r="G144" s="21">
        <f t="shared" si="25"/>
        <v>1</v>
      </c>
      <c r="H144" s="634"/>
      <c r="I144" s="21">
        <f t="shared" si="26"/>
        <v>1</v>
      </c>
      <c r="J144" s="634"/>
      <c r="K144" s="21">
        <f t="shared" si="27"/>
        <v>1</v>
      </c>
      <c r="L144" s="634"/>
      <c r="M144" s="21">
        <f t="shared" si="28"/>
        <v>1</v>
      </c>
      <c r="N144" s="634"/>
      <c r="O144" s="21">
        <f t="shared" si="29"/>
        <v>1</v>
      </c>
      <c r="P144" s="634"/>
      <c r="Q144" s="21">
        <f t="shared" si="30"/>
        <v>0</v>
      </c>
      <c r="R144" s="21">
        <f t="shared" si="31"/>
        <v>0</v>
      </c>
      <c r="S144" s="307">
        <f t="shared" si="32"/>
        <v>0</v>
      </c>
    </row>
    <row r="145" spans="1:19">
      <c r="A145" s="142"/>
      <c r="B145" s="52"/>
      <c r="C145" s="21">
        <f t="shared" si="23"/>
        <v>1</v>
      </c>
      <c r="D145" s="634"/>
      <c r="E145" s="21">
        <f t="shared" si="24"/>
        <v>0.05</v>
      </c>
      <c r="F145" s="634"/>
      <c r="G145" s="21">
        <f t="shared" si="25"/>
        <v>1</v>
      </c>
      <c r="H145" s="634"/>
      <c r="I145" s="21">
        <f t="shared" si="26"/>
        <v>1</v>
      </c>
      <c r="J145" s="634"/>
      <c r="K145" s="21">
        <f t="shared" si="27"/>
        <v>1</v>
      </c>
      <c r="L145" s="634"/>
      <c r="M145" s="21">
        <f t="shared" si="28"/>
        <v>1</v>
      </c>
      <c r="N145" s="634"/>
      <c r="O145" s="21">
        <f t="shared" si="29"/>
        <v>1</v>
      </c>
      <c r="P145" s="634"/>
      <c r="Q145" s="21">
        <f t="shared" si="30"/>
        <v>0</v>
      </c>
      <c r="R145" s="21">
        <f t="shared" si="31"/>
        <v>0</v>
      </c>
      <c r="S145" s="307">
        <f t="shared" si="32"/>
        <v>0</v>
      </c>
    </row>
    <row r="146" spans="1:19">
      <c r="A146" s="142"/>
      <c r="B146" s="52"/>
      <c r="C146" s="21">
        <f t="shared" si="23"/>
        <v>1</v>
      </c>
      <c r="D146" s="634"/>
      <c r="E146" s="21">
        <f t="shared" si="24"/>
        <v>0.05</v>
      </c>
      <c r="F146" s="634"/>
      <c r="G146" s="21">
        <f t="shared" si="25"/>
        <v>1</v>
      </c>
      <c r="H146" s="634"/>
      <c r="I146" s="21">
        <f t="shared" si="26"/>
        <v>1</v>
      </c>
      <c r="J146" s="634"/>
      <c r="K146" s="21">
        <f t="shared" si="27"/>
        <v>1</v>
      </c>
      <c r="L146" s="634"/>
      <c r="M146" s="21">
        <f t="shared" si="28"/>
        <v>1</v>
      </c>
      <c r="N146" s="634"/>
      <c r="O146" s="21">
        <f t="shared" si="29"/>
        <v>1</v>
      </c>
      <c r="P146" s="634"/>
      <c r="Q146" s="21">
        <f t="shared" si="30"/>
        <v>0</v>
      </c>
      <c r="R146" s="21">
        <f t="shared" si="31"/>
        <v>0</v>
      </c>
      <c r="S146" s="307">
        <f t="shared" si="32"/>
        <v>0</v>
      </c>
    </row>
    <row r="147" spans="1:19">
      <c r="A147" s="142"/>
      <c r="B147" s="52"/>
      <c r="C147" s="21">
        <f t="shared" si="23"/>
        <v>1</v>
      </c>
      <c r="D147" s="634"/>
      <c r="E147" s="21">
        <f t="shared" si="24"/>
        <v>0.05</v>
      </c>
      <c r="F147" s="634"/>
      <c r="G147" s="21">
        <f t="shared" si="25"/>
        <v>1</v>
      </c>
      <c r="H147" s="634"/>
      <c r="I147" s="21">
        <f t="shared" si="26"/>
        <v>1</v>
      </c>
      <c r="J147" s="634"/>
      <c r="K147" s="21">
        <f t="shared" si="27"/>
        <v>1</v>
      </c>
      <c r="L147" s="634"/>
      <c r="M147" s="21">
        <f t="shared" si="28"/>
        <v>1</v>
      </c>
      <c r="N147" s="634"/>
      <c r="O147" s="21">
        <f t="shared" si="29"/>
        <v>1</v>
      </c>
      <c r="P147" s="634"/>
      <c r="Q147" s="21">
        <f t="shared" si="30"/>
        <v>0</v>
      </c>
      <c r="R147" s="21">
        <f t="shared" si="31"/>
        <v>0</v>
      </c>
      <c r="S147" s="307">
        <f t="shared" si="32"/>
        <v>0</v>
      </c>
    </row>
    <row r="148" spans="1:19">
      <c r="A148" s="142"/>
      <c r="B148" s="52"/>
      <c r="C148" s="21">
        <f t="shared" si="23"/>
        <v>1</v>
      </c>
      <c r="D148" s="634"/>
      <c r="E148" s="21">
        <f t="shared" si="24"/>
        <v>0.05</v>
      </c>
      <c r="F148" s="634"/>
      <c r="G148" s="21">
        <f t="shared" si="25"/>
        <v>1</v>
      </c>
      <c r="H148" s="634"/>
      <c r="I148" s="21">
        <f t="shared" si="26"/>
        <v>1</v>
      </c>
      <c r="J148" s="634"/>
      <c r="K148" s="21">
        <f t="shared" si="27"/>
        <v>1</v>
      </c>
      <c r="L148" s="634"/>
      <c r="M148" s="21">
        <f t="shared" si="28"/>
        <v>1</v>
      </c>
      <c r="N148" s="634"/>
      <c r="O148" s="21">
        <f t="shared" si="29"/>
        <v>1</v>
      </c>
      <c r="P148" s="634"/>
      <c r="Q148" s="21">
        <f t="shared" si="30"/>
        <v>0</v>
      </c>
      <c r="R148" s="21">
        <f t="shared" si="31"/>
        <v>0</v>
      </c>
      <c r="S148" s="307">
        <f t="shared" si="32"/>
        <v>0</v>
      </c>
    </row>
    <row r="149" spans="1:19">
      <c r="A149" s="142"/>
      <c r="B149" s="52"/>
      <c r="C149" s="21">
        <f t="shared" si="23"/>
        <v>1</v>
      </c>
      <c r="D149" s="634"/>
      <c r="E149" s="21">
        <f t="shared" si="24"/>
        <v>0.05</v>
      </c>
      <c r="F149" s="634"/>
      <c r="G149" s="21">
        <f t="shared" si="25"/>
        <v>1</v>
      </c>
      <c r="H149" s="634"/>
      <c r="I149" s="21">
        <f t="shared" si="26"/>
        <v>1</v>
      </c>
      <c r="J149" s="634"/>
      <c r="K149" s="21">
        <f t="shared" si="27"/>
        <v>1</v>
      </c>
      <c r="L149" s="634"/>
      <c r="M149" s="21">
        <f t="shared" si="28"/>
        <v>1</v>
      </c>
      <c r="N149" s="634"/>
      <c r="O149" s="21">
        <f t="shared" si="29"/>
        <v>1</v>
      </c>
      <c r="P149" s="634"/>
      <c r="Q149" s="21">
        <f t="shared" si="30"/>
        <v>0</v>
      </c>
      <c r="R149" s="21">
        <f t="shared" si="31"/>
        <v>0</v>
      </c>
      <c r="S149" s="307">
        <f t="shared" si="32"/>
        <v>0</v>
      </c>
    </row>
    <row r="150" spans="1:19">
      <c r="A150" s="142"/>
      <c r="B150" s="52"/>
      <c r="C150" s="21">
        <f t="shared" si="23"/>
        <v>1</v>
      </c>
      <c r="D150" s="634"/>
      <c r="E150" s="21">
        <f t="shared" si="24"/>
        <v>0.05</v>
      </c>
      <c r="F150" s="634"/>
      <c r="G150" s="21">
        <f t="shared" si="25"/>
        <v>1</v>
      </c>
      <c r="H150" s="634"/>
      <c r="I150" s="21">
        <f t="shared" si="26"/>
        <v>1</v>
      </c>
      <c r="J150" s="634"/>
      <c r="K150" s="21">
        <f t="shared" si="27"/>
        <v>1</v>
      </c>
      <c r="L150" s="634"/>
      <c r="M150" s="21">
        <f t="shared" si="28"/>
        <v>1</v>
      </c>
      <c r="N150" s="634"/>
      <c r="O150" s="21">
        <f t="shared" si="29"/>
        <v>1</v>
      </c>
      <c r="P150" s="634"/>
      <c r="Q150" s="21">
        <f t="shared" si="30"/>
        <v>0</v>
      </c>
      <c r="R150" s="21">
        <f t="shared" si="31"/>
        <v>0</v>
      </c>
      <c r="S150" s="307">
        <f t="shared" si="32"/>
        <v>0</v>
      </c>
    </row>
    <row r="151" spans="1:19">
      <c r="A151" s="142"/>
      <c r="B151" s="52"/>
      <c r="C151" s="21">
        <f t="shared" si="23"/>
        <v>1</v>
      </c>
      <c r="D151" s="634"/>
      <c r="E151" s="21">
        <f t="shared" si="24"/>
        <v>0.05</v>
      </c>
      <c r="F151" s="634"/>
      <c r="G151" s="21">
        <f t="shared" si="25"/>
        <v>1</v>
      </c>
      <c r="H151" s="634"/>
      <c r="I151" s="21">
        <f t="shared" si="26"/>
        <v>1</v>
      </c>
      <c r="J151" s="634"/>
      <c r="K151" s="21">
        <f t="shared" si="27"/>
        <v>1</v>
      </c>
      <c r="L151" s="634"/>
      <c r="M151" s="21">
        <f t="shared" si="28"/>
        <v>1</v>
      </c>
      <c r="N151" s="634"/>
      <c r="O151" s="21">
        <f t="shared" si="29"/>
        <v>1</v>
      </c>
      <c r="P151" s="634"/>
      <c r="Q151" s="21">
        <f t="shared" si="30"/>
        <v>0</v>
      </c>
      <c r="R151" s="21">
        <f t="shared" si="31"/>
        <v>0</v>
      </c>
      <c r="S151" s="307">
        <f t="shared" si="32"/>
        <v>0</v>
      </c>
    </row>
    <row r="152" spans="1:19">
      <c r="A152" s="142"/>
      <c r="B152" s="52"/>
      <c r="C152" s="21">
        <f t="shared" si="23"/>
        <v>1</v>
      </c>
      <c r="D152" s="634"/>
      <c r="E152" s="21">
        <f t="shared" si="24"/>
        <v>0.05</v>
      </c>
      <c r="F152" s="634"/>
      <c r="G152" s="21">
        <f t="shared" si="25"/>
        <v>1</v>
      </c>
      <c r="H152" s="634"/>
      <c r="I152" s="21">
        <f t="shared" si="26"/>
        <v>1</v>
      </c>
      <c r="J152" s="634"/>
      <c r="K152" s="21">
        <f t="shared" si="27"/>
        <v>1</v>
      </c>
      <c r="L152" s="634"/>
      <c r="M152" s="21">
        <f t="shared" si="28"/>
        <v>1</v>
      </c>
      <c r="N152" s="634"/>
      <c r="O152" s="21">
        <f t="shared" si="29"/>
        <v>1</v>
      </c>
      <c r="P152" s="634"/>
      <c r="Q152" s="21">
        <f t="shared" si="30"/>
        <v>0</v>
      </c>
      <c r="R152" s="21">
        <f t="shared" si="31"/>
        <v>0</v>
      </c>
      <c r="S152" s="307">
        <f t="shared" si="32"/>
        <v>0</v>
      </c>
    </row>
    <row r="153" spans="1:19">
      <c r="A153" s="142"/>
      <c r="B153" s="52"/>
      <c r="C153" s="21">
        <f t="shared" si="23"/>
        <v>1</v>
      </c>
      <c r="D153" s="634"/>
      <c r="E153" s="21">
        <f t="shared" si="24"/>
        <v>0.05</v>
      </c>
      <c r="F153" s="634"/>
      <c r="G153" s="21">
        <f t="shared" si="25"/>
        <v>1</v>
      </c>
      <c r="H153" s="634"/>
      <c r="I153" s="21">
        <f t="shared" si="26"/>
        <v>1</v>
      </c>
      <c r="J153" s="634"/>
      <c r="K153" s="21">
        <f t="shared" si="27"/>
        <v>1</v>
      </c>
      <c r="L153" s="634"/>
      <c r="M153" s="21">
        <f t="shared" si="28"/>
        <v>1</v>
      </c>
      <c r="N153" s="634"/>
      <c r="O153" s="21">
        <f t="shared" si="29"/>
        <v>1</v>
      </c>
      <c r="P153" s="634"/>
      <c r="Q153" s="21">
        <f t="shared" si="30"/>
        <v>0</v>
      </c>
      <c r="R153" s="21">
        <f t="shared" si="31"/>
        <v>0</v>
      </c>
      <c r="S153" s="307">
        <f t="shared" si="32"/>
        <v>0</v>
      </c>
    </row>
    <row r="154" spans="1:19">
      <c r="A154" s="142"/>
      <c r="B154" s="52"/>
      <c r="C154" s="21">
        <f t="shared" ref="C154:C217" si="33">IF(B154="",1,(LOOKUP(B154,$3:$3,$4:$4)-LOOKUP($B$24,$3:$3,$4:$4)+100)/100)</f>
        <v>1</v>
      </c>
      <c r="D154" s="634"/>
      <c r="E154" s="21">
        <f t="shared" ref="E154:E217" si="34">(SUMIF($5:$5,D154,$6:$6)-SUMIF($5:$5,$D$24,$6:$6)+100)/100</f>
        <v>0.05</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0</v>
      </c>
      <c r="R154" s="21">
        <f t="shared" ref="R154:R217" si="41">IF(B154="",0,ROUND($R$24*C154*E154*G154*I154*K154*M154*O154*Q154,0))</f>
        <v>0</v>
      </c>
      <c r="S154" s="307">
        <f t="shared" si="32"/>
        <v>0</v>
      </c>
    </row>
    <row r="155" spans="1:19">
      <c r="A155" s="142"/>
      <c r="B155" s="52"/>
      <c r="C155" s="21">
        <f t="shared" si="33"/>
        <v>1</v>
      </c>
      <c r="D155" s="634"/>
      <c r="E155" s="21">
        <f t="shared" si="34"/>
        <v>0.05</v>
      </c>
      <c r="F155" s="634"/>
      <c r="G155" s="21">
        <f t="shared" si="35"/>
        <v>1</v>
      </c>
      <c r="H155" s="634"/>
      <c r="I155" s="21">
        <f t="shared" si="36"/>
        <v>1</v>
      </c>
      <c r="J155" s="634"/>
      <c r="K155" s="21">
        <f t="shared" si="37"/>
        <v>1</v>
      </c>
      <c r="L155" s="634"/>
      <c r="M155" s="21">
        <f t="shared" si="38"/>
        <v>1</v>
      </c>
      <c r="N155" s="634"/>
      <c r="O155" s="21">
        <f t="shared" si="39"/>
        <v>1</v>
      </c>
      <c r="P155" s="634"/>
      <c r="Q155" s="21">
        <f t="shared" si="40"/>
        <v>0</v>
      </c>
      <c r="R155" s="21">
        <f t="shared" si="41"/>
        <v>0</v>
      </c>
      <c r="S155" s="307">
        <f t="shared" si="32"/>
        <v>0</v>
      </c>
    </row>
    <row r="156" spans="1:19">
      <c r="A156" s="142"/>
      <c r="B156" s="52"/>
      <c r="C156" s="21">
        <f t="shared" si="33"/>
        <v>1</v>
      </c>
      <c r="D156" s="634"/>
      <c r="E156" s="21">
        <f t="shared" si="34"/>
        <v>0.05</v>
      </c>
      <c r="F156" s="634"/>
      <c r="G156" s="21">
        <f t="shared" si="35"/>
        <v>1</v>
      </c>
      <c r="H156" s="634"/>
      <c r="I156" s="21">
        <f t="shared" si="36"/>
        <v>1</v>
      </c>
      <c r="J156" s="634"/>
      <c r="K156" s="21">
        <f t="shared" si="37"/>
        <v>1</v>
      </c>
      <c r="L156" s="634"/>
      <c r="M156" s="21">
        <f t="shared" si="38"/>
        <v>1</v>
      </c>
      <c r="N156" s="634"/>
      <c r="O156" s="21">
        <f t="shared" si="39"/>
        <v>1</v>
      </c>
      <c r="P156" s="634"/>
      <c r="Q156" s="21">
        <f t="shared" si="40"/>
        <v>0</v>
      </c>
      <c r="R156" s="21">
        <f t="shared" si="41"/>
        <v>0</v>
      </c>
      <c r="S156" s="307">
        <f t="shared" si="32"/>
        <v>0</v>
      </c>
    </row>
    <row r="157" spans="1:19">
      <c r="A157" s="142"/>
      <c r="B157" s="52"/>
      <c r="C157" s="21">
        <f t="shared" si="33"/>
        <v>1</v>
      </c>
      <c r="D157" s="634"/>
      <c r="E157" s="21">
        <f t="shared" si="34"/>
        <v>0.05</v>
      </c>
      <c r="F157" s="634"/>
      <c r="G157" s="21">
        <f t="shared" si="35"/>
        <v>1</v>
      </c>
      <c r="H157" s="634"/>
      <c r="I157" s="21">
        <f t="shared" si="36"/>
        <v>1</v>
      </c>
      <c r="J157" s="634"/>
      <c r="K157" s="21">
        <f t="shared" si="37"/>
        <v>1</v>
      </c>
      <c r="L157" s="634"/>
      <c r="M157" s="21">
        <f t="shared" si="38"/>
        <v>1</v>
      </c>
      <c r="N157" s="634"/>
      <c r="O157" s="21">
        <f t="shared" si="39"/>
        <v>1</v>
      </c>
      <c r="P157" s="634"/>
      <c r="Q157" s="21">
        <f t="shared" si="40"/>
        <v>0</v>
      </c>
      <c r="R157" s="21">
        <f t="shared" si="41"/>
        <v>0</v>
      </c>
      <c r="S157" s="307">
        <f t="shared" si="32"/>
        <v>0</v>
      </c>
    </row>
    <row r="158" spans="1:19">
      <c r="A158" s="142"/>
      <c r="B158" s="52"/>
      <c r="C158" s="21">
        <f t="shared" si="33"/>
        <v>1</v>
      </c>
      <c r="D158" s="634"/>
      <c r="E158" s="21">
        <f t="shared" si="34"/>
        <v>0.05</v>
      </c>
      <c r="F158" s="634"/>
      <c r="G158" s="21">
        <f t="shared" si="35"/>
        <v>1</v>
      </c>
      <c r="H158" s="634"/>
      <c r="I158" s="21">
        <f t="shared" si="36"/>
        <v>1</v>
      </c>
      <c r="J158" s="634"/>
      <c r="K158" s="21">
        <f t="shared" si="37"/>
        <v>1</v>
      </c>
      <c r="L158" s="634"/>
      <c r="M158" s="21">
        <f t="shared" si="38"/>
        <v>1</v>
      </c>
      <c r="N158" s="634"/>
      <c r="O158" s="21">
        <f t="shared" si="39"/>
        <v>1</v>
      </c>
      <c r="P158" s="634"/>
      <c r="Q158" s="21">
        <f t="shared" si="40"/>
        <v>0</v>
      </c>
      <c r="R158" s="21">
        <f t="shared" si="41"/>
        <v>0</v>
      </c>
      <c r="S158" s="307">
        <f t="shared" si="32"/>
        <v>0</v>
      </c>
    </row>
    <row r="159" spans="1:19">
      <c r="A159" s="142"/>
      <c r="B159" s="52"/>
      <c r="C159" s="21">
        <f t="shared" si="33"/>
        <v>1</v>
      </c>
      <c r="D159" s="634"/>
      <c r="E159" s="21">
        <f t="shared" si="34"/>
        <v>0.05</v>
      </c>
      <c r="F159" s="634"/>
      <c r="G159" s="21">
        <f t="shared" si="35"/>
        <v>1</v>
      </c>
      <c r="H159" s="634"/>
      <c r="I159" s="21">
        <f t="shared" si="36"/>
        <v>1</v>
      </c>
      <c r="J159" s="634"/>
      <c r="K159" s="21">
        <f t="shared" si="37"/>
        <v>1</v>
      </c>
      <c r="L159" s="634"/>
      <c r="M159" s="21">
        <f t="shared" si="38"/>
        <v>1</v>
      </c>
      <c r="N159" s="634"/>
      <c r="O159" s="21">
        <f t="shared" si="39"/>
        <v>1</v>
      </c>
      <c r="P159" s="634"/>
      <c r="Q159" s="21">
        <f t="shared" si="40"/>
        <v>0</v>
      </c>
      <c r="R159" s="21">
        <f t="shared" si="41"/>
        <v>0</v>
      </c>
      <c r="S159" s="307">
        <f t="shared" si="32"/>
        <v>0</v>
      </c>
    </row>
    <row r="160" spans="1:19">
      <c r="A160" s="142"/>
      <c r="B160" s="52"/>
      <c r="C160" s="21">
        <f t="shared" si="33"/>
        <v>1</v>
      </c>
      <c r="D160" s="634"/>
      <c r="E160" s="21">
        <f t="shared" si="34"/>
        <v>0.05</v>
      </c>
      <c r="F160" s="634"/>
      <c r="G160" s="21">
        <f t="shared" si="35"/>
        <v>1</v>
      </c>
      <c r="H160" s="634"/>
      <c r="I160" s="21">
        <f t="shared" si="36"/>
        <v>1</v>
      </c>
      <c r="J160" s="634"/>
      <c r="K160" s="21">
        <f t="shared" si="37"/>
        <v>1</v>
      </c>
      <c r="L160" s="634"/>
      <c r="M160" s="21">
        <f t="shared" si="38"/>
        <v>1</v>
      </c>
      <c r="N160" s="634"/>
      <c r="O160" s="21">
        <f t="shared" si="39"/>
        <v>1</v>
      </c>
      <c r="P160" s="634"/>
      <c r="Q160" s="21">
        <f t="shared" si="40"/>
        <v>0</v>
      </c>
      <c r="R160" s="21">
        <f t="shared" si="41"/>
        <v>0</v>
      </c>
      <c r="S160" s="307">
        <f t="shared" si="32"/>
        <v>0</v>
      </c>
    </row>
    <row r="161" spans="1:19">
      <c r="A161" s="142"/>
      <c r="B161" s="52"/>
      <c r="C161" s="21">
        <f t="shared" si="33"/>
        <v>1</v>
      </c>
      <c r="D161" s="634"/>
      <c r="E161" s="21">
        <f t="shared" si="34"/>
        <v>0.05</v>
      </c>
      <c r="F161" s="634"/>
      <c r="G161" s="21">
        <f t="shared" si="35"/>
        <v>1</v>
      </c>
      <c r="H161" s="634"/>
      <c r="I161" s="21">
        <f t="shared" si="36"/>
        <v>1</v>
      </c>
      <c r="J161" s="634"/>
      <c r="K161" s="21">
        <f t="shared" si="37"/>
        <v>1</v>
      </c>
      <c r="L161" s="634"/>
      <c r="M161" s="21">
        <f t="shared" si="38"/>
        <v>1</v>
      </c>
      <c r="N161" s="634"/>
      <c r="O161" s="21">
        <f t="shared" si="39"/>
        <v>1</v>
      </c>
      <c r="P161" s="634"/>
      <c r="Q161" s="21">
        <f t="shared" si="40"/>
        <v>0</v>
      </c>
      <c r="R161" s="21">
        <f t="shared" si="41"/>
        <v>0</v>
      </c>
      <c r="S161" s="307">
        <f t="shared" si="32"/>
        <v>0</v>
      </c>
    </row>
    <row r="162" spans="1:19">
      <c r="A162" s="142"/>
      <c r="B162" s="52"/>
      <c r="C162" s="21">
        <f t="shared" si="33"/>
        <v>1</v>
      </c>
      <c r="D162" s="634"/>
      <c r="E162" s="21">
        <f t="shared" si="34"/>
        <v>0.05</v>
      </c>
      <c r="F162" s="634"/>
      <c r="G162" s="21">
        <f t="shared" si="35"/>
        <v>1</v>
      </c>
      <c r="H162" s="634"/>
      <c r="I162" s="21">
        <f t="shared" si="36"/>
        <v>1</v>
      </c>
      <c r="J162" s="634"/>
      <c r="K162" s="21">
        <f t="shared" si="37"/>
        <v>1</v>
      </c>
      <c r="L162" s="634"/>
      <c r="M162" s="21">
        <f t="shared" si="38"/>
        <v>1</v>
      </c>
      <c r="N162" s="634"/>
      <c r="O162" s="21">
        <f t="shared" si="39"/>
        <v>1</v>
      </c>
      <c r="P162" s="634"/>
      <c r="Q162" s="21">
        <f t="shared" si="40"/>
        <v>0</v>
      </c>
      <c r="R162" s="21">
        <f t="shared" si="41"/>
        <v>0</v>
      </c>
      <c r="S162" s="307">
        <f t="shared" si="32"/>
        <v>0</v>
      </c>
    </row>
    <row r="163" spans="1:19">
      <c r="A163" s="142"/>
      <c r="B163" s="52"/>
      <c r="C163" s="21">
        <f t="shared" si="33"/>
        <v>1</v>
      </c>
      <c r="D163" s="634"/>
      <c r="E163" s="21">
        <f t="shared" si="34"/>
        <v>0.05</v>
      </c>
      <c r="F163" s="634"/>
      <c r="G163" s="21">
        <f t="shared" si="35"/>
        <v>1</v>
      </c>
      <c r="H163" s="634"/>
      <c r="I163" s="21">
        <f t="shared" si="36"/>
        <v>1</v>
      </c>
      <c r="J163" s="634"/>
      <c r="K163" s="21">
        <f t="shared" si="37"/>
        <v>1</v>
      </c>
      <c r="L163" s="634"/>
      <c r="M163" s="21">
        <f t="shared" si="38"/>
        <v>1</v>
      </c>
      <c r="N163" s="634"/>
      <c r="O163" s="21">
        <f t="shared" si="39"/>
        <v>1</v>
      </c>
      <c r="P163" s="634"/>
      <c r="Q163" s="21">
        <f t="shared" si="40"/>
        <v>0</v>
      </c>
      <c r="R163" s="21">
        <f t="shared" si="41"/>
        <v>0</v>
      </c>
      <c r="S163" s="307">
        <f t="shared" si="32"/>
        <v>0</v>
      </c>
    </row>
    <row r="164" spans="1:19">
      <c r="A164" s="142"/>
      <c r="B164" s="52"/>
      <c r="C164" s="21">
        <f t="shared" si="33"/>
        <v>1</v>
      </c>
      <c r="D164" s="634"/>
      <c r="E164" s="21">
        <f t="shared" si="34"/>
        <v>0.05</v>
      </c>
      <c r="F164" s="634"/>
      <c r="G164" s="21">
        <f t="shared" si="35"/>
        <v>1</v>
      </c>
      <c r="H164" s="634"/>
      <c r="I164" s="21">
        <f t="shared" si="36"/>
        <v>1</v>
      </c>
      <c r="J164" s="634"/>
      <c r="K164" s="21">
        <f t="shared" si="37"/>
        <v>1</v>
      </c>
      <c r="L164" s="634"/>
      <c r="M164" s="21">
        <f t="shared" si="38"/>
        <v>1</v>
      </c>
      <c r="N164" s="634"/>
      <c r="O164" s="21">
        <f t="shared" si="39"/>
        <v>1</v>
      </c>
      <c r="P164" s="634"/>
      <c r="Q164" s="21">
        <f t="shared" si="40"/>
        <v>0</v>
      </c>
      <c r="R164" s="21">
        <f t="shared" si="41"/>
        <v>0</v>
      </c>
      <c r="S164" s="307">
        <f t="shared" si="32"/>
        <v>0</v>
      </c>
    </row>
    <row r="165" spans="1:19">
      <c r="A165" s="142"/>
      <c r="B165" s="52"/>
      <c r="C165" s="21">
        <f t="shared" si="33"/>
        <v>1</v>
      </c>
      <c r="D165" s="634"/>
      <c r="E165" s="21">
        <f t="shared" si="34"/>
        <v>0.05</v>
      </c>
      <c r="F165" s="634"/>
      <c r="G165" s="21">
        <f t="shared" si="35"/>
        <v>1</v>
      </c>
      <c r="H165" s="634"/>
      <c r="I165" s="21">
        <f t="shared" si="36"/>
        <v>1</v>
      </c>
      <c r="J165" s="634"/>
      <c r="K165" s="21">
        <f t="shared" si="37"/>
        <v>1</v>
      </c>
      <c r="L165" s="634"/>
      <c r="M165" s="21">
        <f t="shared" si="38"/>
        <v>1</v>
      </c>
      <c r="N165" s="634"/>
      <c r="O165" s="21">
        <f t="shared" si="39"/>
        <v>1</v>
      </c>
      <c r="P165" s="634"/>
      <c r="Q165" s="21">
        <f t="shared" si="40"/>
        <v>0</v>
      </c>
      <c r="R165" s="21">
        <f t="shared" si="41"/>
        <v>0</v>
      </c>
      <c r="S165" s="307">
        <f t="shared" si="32"/>
        <v>0</v>
      </c>
    </row>
    <row r="166" spans="1:19">
      <c r="A166" s="142"/>
      <c r="B166" s="52"/>
      <c r="C166" s="21">
        <f t="shared" si="33"/>
        <v>1</v>
      </c>
      <c r="D166" s="634"/>
      <c r="E166" s="21">
        <f t="shared" si="34"/>
        <v>0.05</v>
      </c>
      <c r="F166" s="634"/>
      <c r="G166" s="21">
        <f t="shared" si="35"/>
        <v>1</v>
      </c>
      <c r="H166" s="634"/>
      <c r="I166" s="21">
        <f t="shared" si="36"/>
        <v>1</v>
      </c>
      <c r="J166" s="634"/>
      <c r="K166" s="21">
        <f t="shared" si="37"/>
        <v>1</v>
      </c>
      <c r="L166" s="634"/>
      <c r="M166" s="21">
        <f t="shared" si="38"/>
        <v>1</v>
      </c>
      <c r="N166" s="634"/>
      <c r="O166" s="21">
        <f t="shared" si="39"/>
        <v>1</v>
      </c>
      <c r="P166" s="634"/>
      <c r="Q166" s="21">
        <f t="shared" si="40"/>
        <v>0</v>
      </c>
      <c r="R166" s="21">
        <f t="shared" si="41"/>
        <v>0</v>
      </c>
      <c r="S166" s="307">
        <f t="shared" si="32"/>
        <v>0</v>
      </c>
    </row>
    <row r="167" spans="1:19">
      <c r="A167" s="142"/>
      <c r="B167" s="52"/>
      <c r="C167" s="21">
        <f t="shared" si="33"/>
        <v>1</v>
      </c>
      <c r="D167" s="634"/>
      <c r="E167" s="21">
        <f t="shared" si="34"/>
        <v>0.05</v>
      </c>
      <c r="F167" s="634"/>
      <c r="G167" s="21">
        <f t="shared" si="35"/>
        <v>1</v>
      </c>
      <c r="H167" s="634"/>
      <c r="I167" s="21">
        <f t="shared" si="36"/>
        <v>1</v>
      </c>
      <c r="J167" s="634"/>
      <c r="K167" s="21">
        <f t="shared" si="37"/>
        <v>1</v>
      </c>
      <c r="L167" s="634"/>
      <c r="M167" s="21">
        <f t="shared" si="38"/>
        <v>1</v>
      </c>
      <c r="N167" s="634"/>
      <c r="O167" s="21">
        <f t="shared" si="39"/>
        <v>1</v>
      </c>
      <c r="P167" s="634"/>
      <c r="Q167" s="21">
        <f t="shared" si="40"/>
        <v>0</v>
      </c>
      <c r="R167" s="21">
        <f t="shared" si="41"/>
        <v>0</v>
      </c>
      <c r="S167" s="307">
        <f t="shared" si="32"/>
        <v>0</v>
      </c>
    </row>
    <row r="168" spans="1:19">
      <c r="A168" s="142"/>
      <c r="B168" s="52"/>
      <c r="C168" s="21">
        <f t="shared" si="33"/>
        <v>1</v>
      </c>
      <c r="D168" s="634"/>
      <c r="E168" s="21">
        <f t="shared" si="34"/>
        <v>0.05</v>
      </c>
      <c r="F168" s="634"/>
      <c r="G168" s="21">
        <f t="shared" si="35"/>
        <v>1</v>
      </c>
      <c r="H168" s="634"/>
      <c r="I168" s="21">
        <f t="shared" si="36"/>
        <v>1</v>
      </c>
      <c r="J168" s="634"/>
      <c r="K168" s="21">
        <f t="shared" si="37"/>
        <v>1</v>
      </c>
      <c r="L168" s="634"/>
      <c r="M168" s="21">
        <f t="shared" si="38"/>
        <v>1</v>
      </c>
      <c r="N168" s="634"/>
      <c r="O168" s="21">
        <f t="shared" si="39"/>
        <v>1</v>
      </c>
      <c r="P168" s="634"/>
      <c r="Q168" s="21">
        <f t="shared" si="40"/>
        <v>0</v>
      </c>
      <c r="R168" s="21">
        <f t="shared" si="41"/>
        <v>0</v>
      </c>
      <c r="S168" s="307">
        <f t="shared" si="32"/>
        <v>0</v>
      </c>
    </row>
    <row r="169" spans="1:19">
      <c r="A169" s="142"/>
      <c r="B169" s="52"/>
      <c r="C169" s="21">
        <f t="shared" si="33"/>
        <v>1</v>
      </c>
      <c r="D169" s="634"/>
      <c r="E169" s="21">
        <f t="shared" si="34"/>
        <v>0.05</v>
      </c>
      <c r="F169" s="634"/>
      <c r="G169" s="21">
        <f t="shared" si="35"/>
        <v>1</v>
      </c>
      <c r="H169" s="634"/>
      <c r="I169" s="21">
        <f t="shared" si="36"/>
        <v>1</v>
      </c>
      <c r="J169" s="634"/>
      <c r="K169" s="21">
        <f t="shared" si="37"/>
        <v>1</v>
      </c>
      <c r="L169" s="634"/>
      <c r="M169" s="21">
        <f t="shared" si="38"/>
        <v>1</v>
      </c>
      <c r="N169" s="634"/>
      <c r="O169" s="21">
        <f t="shared" si="39"/>
        <v>1</v>
      </c>
      <c r="P169" s="634"/>
      <c r="Q169" s="21">
        <f t="shared" si="40"/>
        <v>0</v>
      </c>
      <c r="R169" s="21">
        <f t="shared" si="41"/>
        <v>0</v>
      </c>
      <c r="S169" s="307">
        <f t="shared" si="32"/>
        <v>0</v>
      </c>
    </row>
    <row r="170" spans="1:19">
      <c r="A170" s="142"/>
      <c r="B170" s="52"/>
      <c r="C170" s="21">
        <f t="shared" si="33"/>
        <v>1</v>
      </c>
      <c r="D170" s="634"/>
      <c r="E170" s="21">
        <f t="shared" si="34"/>
        <v>0.05</v>
      </c>
      <c r="F170" s="634"/>
      <c r="G170" s="21">
        <f t="shared" si="35"/>
        <v>1</v>
      </c>
      <c r="H170" s="634"/>
      <c r="I170" s="21">
        <f t="shared" si="36"/>
        <v>1</v>
      </c>
      <c r="J170" s="634"/>
      <c r="K170" s="21">
        <f t="shared" si="37"/>
        <v>1</v>
      </c>
      <c r="L170" s="634"/>
      <c r="M170" s="21">
        <f t="shared" si="38"/>
        <v>1</v>
      </c>
      <c r="N170" s="634"/>
      <c r="O170" s="21">
        <f t="shared" si="39"/>
        <v>1</v>
      </c>
      <c r="P170" s="634"/>
      <c r="Q170" s="21">
        <f t="shared" si="40"/>
        <v>0</v>
      </c>
      <c r="R170" s="21">
        <f t="shared" si="41"/>
        <v>0</v>
      </c>
      <c r="S170" s="307">
        <f t="shared" si="32"/>
        <v>0</v>
      </c>
    </row>
    <row r="171" spans="1:19">
      <c r="A171" s="142"/>
      <c r="B171" s="52"/>
      <c r="C171" s="21">
        <f t="shared" si="33"/>
        <v>1</v>
      </c>
      <c r="D171" s="634"/>
      <c r="E171" s="21">
        <f t="shared" si="34"/>
        <v>0.05</v>
      </c>
      <c r="F171" s="634"/>
      <c r="G171" s="21">
        <f t="shared" si="35"/>
        <v>1</v>
      </c>
      <c r="H171" s="634"/>
      <c r="I171" s="21">
        <f t="shared" si="36"/>
        <v>1</v>
      </c>
      <c r="J171" s="634"/>
      <c r="K171" s="21">
        <f t="shared" si="37"/>
        <v>1</v>
      </c>
      <c r="L171" s="634"/>
      <c r="M171" s="21">
        <f t="shared" si="38"/>
        <v>1</v>
      </c>
      <c r="N171" s="634"/>
      <c r="O171" s="21">
        <f t="shared" si="39"/>
        <v>1</v>
      </c>
      <c r="P171" s="634"/>
      <c r="Q171" s="21">
        <f t="shared" si="40"/>
        <v>0</v>
      </c>
      <c r="R171" s="21">
        <f t="shared" si="41"/>
        <v>0</v>
      </c>
      <c r="S171" s="307">
        <f t="shared" si="32"/>
        <v>0</v>
      </c>
    </row>
    <row r="172" spans="1:19">
      <c r="A172" s="142"/>
      <c r="B172" s="52"/>
      <c r="C172" s="21">
        <f t="shared" si="33"/>
        <v>1</v>
      </c>
      <c r="D172" s="634"/>
      <c r="E172" s="21">
        <f t="shared" si="34"/>
        <v>0.05</v>
      </c>
      <c r="F172" s="634"/>
      <c r="G172" s="21">
        <f t="shared" si="35"/>
        <v>1</v>
      </c>
      <c r="H172" s="634"/>
      <c r="I172" s="21">
        <f t="shared" si="36"/>
        <v>1</v>
      </c>
      <c r="J172" s="634"/>
      <c r="K172" s="21">
        <f t="shared" si="37"/>
        <v>1</v>
      </c>
      <c r="L172" s="634"/>
      <c r="M172" s="21">
        <f t="shared" si="38"/>
        <v>1</v>
      </c>
      <c r="N172" s="634"/>
      <c r="O172" s="21">
        <f t="shared" si="39"/>
        <v>1</v>
      </c>
      <c r="P172" s="634"/>
      <c r="Q172" s="21">
        <f t="shared" si="40"/>
        <v>0</v>
      </c>
      <c r="R172" s="21">
        <f t="shared" si="41"/>
        <v>0</v>
      </c>
      <c r="S172" s="307">
        <f t="shared" si="32"/>
        <v>0</v>
      </c>
    </row>
    <row r="173" spans="1:19">
      <c r="A173" s="142"/>
      <c r="B173" s="52"/>
      <c r="C173" s="21">
        <f t="shared" si="33"/>
        <v>1</v>
      </c>
      <c r="D173" s="634"/>
      <c r="E173" s="21">
        <f t="shared" si="34"/>
        <v>0.05</v>
      </c>
      <c r="F173" s="634"/>
      <c r="G173" s="21">
        <f t="shared" si="35"/>
        <v>1</v>
      </c>
      <c r="H173" s="634"/>
      <c r="I173" s="21">
        <f t="shared" si="36"/>
        <v>1</v>
      </c>
      <c r="J173" s="634"/>
      <c r="K173" s="21">
        <f t="shared" si="37"/>
        <v>1</v>
      </c>
      <c r="L173" s="634"/>
      <c r="M173" s="21">
        <f t="shared" si="38"/>
        <v>1</v>
      </c>
      <c r="N173" s="634"/>
      <c r="O173" s="21">
        <f t="shared" si="39"/>
        <v>1</v>
      </c>
      <c r="P173" s="634"/>
      <c r="Q173" s="21">
        <f t="shared" si="40"/>
        <v>0</v>
      </c>
      <c r="R173" s="21">
        <f t="shared" si="41"/>
        <v>0</v>
      </c>
      <c r="S173" s="307">
        <f t="shared" si="32"/>
        <v>0</v>
      </c>
    </row>
    <row r="174" spans="1:19">
      <c r="A174" s="142"/>
      <c r="B174" s="52"/>
      <c r="C174" s="21">
        <f t="shared" si="33"/>
        <v>1</v>
      </c>
      <c r="D174" s="634"/>
      <c r="E174" s="21">
        <f t="shared" si="34"/>
        <v>0.05</v>
      </c>
      <c r="F174" s="634"/>
      <c r="G174" s="21">
        <f t="shared" si="35"/>
        <v>1</v>
      </c>
      <c r="H174" s="634"/>
      <c r="I174" s="21">
        <f t="shared" si="36"/>
        <v>1</v>
      </c>
      <c r="J174" s="634"/>
      <c r="K174" s="21">
        <f t="shared" si="37"/>
        <v>1</v>
      </c>
      <c r="L174" s="634"/>
      <c r="M174" s="21">
        <f t="shared" si="38"/>
        <v>1</v>
      </c>
      <c r="N174" s="634"/>
      <c r="O174" s="21">
        <f t="shared" si="39"/>
        <v>1</v>
      </c>
      <c r="P174" s="634"/>
      <c r="Q174" s="21">
        <f t="shared" si="40"/>
        <v>0</v>
      </c>
      <c r="R174" s="21">
        <f t="shared" si="41"/>
        <v>0</v>
      </c>
      <c r="S174" s="307">
        <f t="shared" si="32"/>
        <v>0</v>
      </c>
    </row>
    <row r="175" spans="1:19">
      <c r="A175" s="142"/>
      <c r="B175" s="52"/>
      <c r="C175" s="21">
        <f t="shared" si="33"/>
        <v>1</v>
      </c>
      <c r="D175" s="634"/>
      <c r="E175" s="21">
        <f t="shared" si="34"/>
        <v>0.05</v>
      </c>
      <c r="F175" s="634"/>
      <c r="G175" s="21">
        <f t="shared" si="35"/>
        <v>1</v>
      </c>
      <c r="H175" s="634"/>
      <c r="I175" s="21">
        <f t="shared" si="36"/>
        <v>1</v>
      </c>
      <c r="J175" s="634"/>
      <c r="K175" s="21">
        <f t="shared" si="37"/>
        <v>1</v>
      </c>
      <c r="L175" s="634"/>
      <c r="M175" s="21">
        <f t="shared" si="38"/>
        <v>1</v>
      </c>
      <c r="N175" s="634"/>
      <c r="O175" s="21">
        <f t="shared" si="39"/>
        <v>1</v>
      </c>
      <c r="P175" s="634"/>
      <c r="Q175" s="21">
        <f t="shared" si="40"/>
        <v>0</v>
      </c>
      <c r="R175" s="21">
        <f t="shared" si="41"/>
        <v>0</v>
      </c>
      <c r="S175" s="307">
        <f t="shared" si="32"/>
        <v>0</v>
      </c>
    </row>
    <row r="176" spans="1:19">
      <c r="A176" s="142"/>
      <c r="B176" s="52"/>
      <c r="C176" s="21">
        <f t="shared" si="33"/>
        <v>1</v>
      </c>
      <c r="D176" s="634"/>
      <c r="E176" s="21">
        <f t="shared" si="34"/>
        <v>0.05</v>
      </c>
      <c r="F176" s="634"/>
      <c r="G176" s="21">
        <f t="shared" si="35"/>
        <v>1</v>
      </c>
      <c r="H176" s="634"/>
      <c r="I176" s="21">
        <f t="shared" si="36"/>
        <v>1</v>
      </c>
      <c r="J176" s="634"/>
      <c r="K176" s="21">
        <f t="shared" si="37"/>
        <v>1</v>
      </c>
      <c r="L176" s="634"/>
      <c r="M176" s="21">
        <f t="shared" si="38"/>
        <v>1</v>
      </c>
      <c r="N176" s="634"/>
      <c r="O176" s="21">
        <f t="shared" si="39"/>
        <v>1</v>
      </c>
      <c r="P176" s="634"/>
      <c r="Q176" s="21">
        <f t="shared" si="40"/>
        <v>0</v>
      </c>
      <c r="R176" s="21">
        <f t="shared" si="41"/>
        <v>0</v>
      </c>
      <c r="S176" s="307">
        <f t="shared" si="32"/>
        <v>0</v>
      </c>
    </row>
    <row r="177" spans="1:19">
      <c r="A177" s="142"/>
      <c r="B177" s="52"/>
      <c r="C177" s="21">
        <f t="shared" si="33"/>
        <v>1</v>
      </c>
      <c r="D177" s="634"/>
      <c r="E177" s="21">
        <f t="shared" si="34"/>
        <v>0.05</v>
      </c>
      <c r="F177" s="634"/>
      <c r="G177" s="21">
        <f t="shared" si="35"/>
        <v>1</v>
      </c>
      <c r="H177" s="634"/>
      <c r="I177" s="21">
        <f t="shared" si="36"/>
        <v>1</v>
      </c>
      <c r="J177" s="634"/>
      <c r="K177" s="21">
        <f t="shared" si="37"/>
        <v>1</v>
      </c>
      <c r="L177" s="634"/>
      <c r="M177" s="21">
        <f t="shared" si="38"/>
        <v>1</v>
      </c>
      <c r="N177" s="634"/>
      <c r="O177" s="21">
        <f t="shared" si="39"/>
        <v>1</v>
      </c>
      <c r="P177" s="634"/>
      <c r="Q177" s="21">
        <f t="shared" si="40"/>
        <v>0</v>
      </c>
      <c r="R177" s="21">
        <f t="shared" si="41"/>
        <v>0</v>
      </c>
      <c r="S177" s="307">
        <f t="shared" si="32"/>
        <v>0</v>
      </c>
    </row>
    <row r="178" spans="1:19">
      <c r="A178" s="142"/>
      <c r="B178" s="52"/>
      <c r="C178" s="21">
        <f t="shared" si="33"/>
        <v>1</v>
      </c>
      <c r="D178" s="634"/>
      <c r="E178" s="21">
        <f t="shared" si="34"/>
        <v>0.05</v>
      </c>
      <c r="F178" s="634"/>
      <c r="G178" s="21">
        <f t="shared" si="35"/>
        <v>1</v>
      </c>
      <c r="H178" s="634"/>
      <c r="I178" s="21">
        <f t="shared" si="36"/>
        <v>1</v>
      </c>
      <c r="J178" s="634"/>
      <c r="K178" s="21">
        <f t="shared" si="37"/>
        <v>1</v>
      </c>
      <c r="L178" s="634"/>
      <c r="M178" s="21">
        <f t="shared" si="38"/>
        <v>1</v>
      </c>
      <c r="N178" s="634"/>
      <c r="O178" s="21">
        <f t="shared" si="39"/>
        <v>1</v>
      </c>
      <c r="P178" s="634"/>
      <c r="Q178" s="21">
        <f t="shared" si="40"/>
        <v>0</v>
      </c>
      <c r="R178" s="21">
        <f t="shared" si="41"/>
        <v>0</v>
      </c>
      <c r="S178" s="307">
        <f t="shared" si="32"/>
        <v>0</v>
      </c>
    </row>
    <row r="179" spans="1:19">
      <c r="A179" s="142"/>
      <c r="B179" s="52"/>
      <c r="C179" s="21">
        <f t="shared" si="33"/>
        <v>1</v>
      </c>
      <c r="D179" s="634"/>
      <c r="E179" s="21">
        <f t="shared" si="34"/>
        <v>0.05</v>
      </c>
      <c r="F179" s="634"/>
      <c r="G179" s="21">
        <f t="shared" si="35"/>
        <v>1</v>
      </c>
      <c r="H179" s="634"/>
      <c r="I179" s="21">
        <f t="shared" si="36"/>
        <v>1</v>
      </c>
      <c r="J179" s="634"/>
      <c r="K179" s="21">
        <f t="shared" si="37"/>
        <v>1</v>
      </c>
      <c r="L179" s="634"/>
      <c r="M179" s="21">
        <f t="shared" si="38"/>
        <v>1</v>
      </c>
      <c r="N179" s="634"/>
      <c r="O179" s="21">
        <f t="shared" si="39"/>
        <v>1</v>
      </c>
      <c r="P179" s="634"/>
      <c r="Q179" s="21">
        <f t="shared" si="40"/>
        <v>0</v>
      </c>
      <c r="R179" s="21">
        <f t="shared" si="41"/>
        <v>0</v>
      </c>
      <c r="S179" s="307">
        <f t="shared" si="32"/>
        <v>0</v>
      </c>
    </row>
    <row r="180" spans="1:19">
      <c r="A180" s="142"/>
      <c r="B180" s="52"/>
      <c r="C180" s="21">
        <f t="shared" si="33"/>
        <v>1</v>
      </c>
      <c r="D180" s="634"/>
      <c r="E180" s="21">
        <f t="shared" si="34"/>
        <v>0.05</v>
      </c>
      <c r="F180" s="634"/>
      <c r="G180" s="21">
        <f t="shared" si="35"/>
        <v>1</v>
      </c>
      <c r="H180" s="634"/>
      <c r="I180" s="21">
        <f t="shared" si="36"/>
        <v>1</v>
      </c>
      <c r="J180" s="634"/>
      <c r="K180" s="21">
        <f t="shared" si="37"/>
        <v>1</v>
      </c>
      <c r="L180" s="634"/>
      <c r="M180" s="21">
        <f t="shared" si="38"/>
        <v>1</v>
      </c>
      <c r="N180" s="634"/>
      <c r="O180" s="21">
        <f t="shared" si="39"/>
        <v>1</v>
      </c>
      <c r="P180" s="634"/>
      <c r="Q180" s="21">
        <f t="shared" si="40"/>
        <v>0</v>
      </c>
      <c r="R180" s="21">
        <f t="shared" si="41"/>
        <v>0</v>
      </c>
      <c r="S180" s="307">
        <f t="shared" si="32"/>
        <v>0</v>
      </c>
    </row>
    <row r="181" spans="1:19">
      <c r="A181" s="142"/>
      <c r="B181" s="52"/>
      <c r="C181" s="21">
        <f t="shared" si="33"/>
        <v>1</v>
      </c>
      <c r="D181" s="634"/>
      <c r="E181" s="21">
        <f t="shared" si="34"/>
        <v>0.05</v>
      </c>
      <c r="F181" s="634"/>
      <c r="G181" s="21">
        <f t="shared" si="35"/>
        <v>1</v>
      </c>
      <c r="H181" s="634"/>
      <c r="I181" s="21">
        <f t="shared" si="36"/>
        <v>1</v>
      </c>
      <c r="J181" s="634"/>
      <c r="K181" s="21">
        <f t="shared" si="37"/>
        <v>1</v>
      </c>
      <c r="L181" s="634"/>
      <c r="M181" s="21">
        <f t="shared" si="38"/>
        <v>1</v>
      </c>
      <c r="N181" s="634"/>
      <c r="O181" s="21">
        <f t="shared" si="39"/>
        <v>1</v>
      </c>
      <c r="P181" s="634"/>
      <c r="Q181" s="21">
        <f t="shared" si="40"/>
        <v>0</v>
      </c>
      <c r="R181" s="21">
        <f t="shared" si="41"/>
        <v>0</v>
      </c>
      <c r="S181" s="307">
        <f t="shared" si="32"/>
        <v>0</v>
      </c>
    </row>
    <row r="182" spans="1:19">
      <c r="A182" s="142"/>
      <c r="B182" s="52"/>
      <c r="C182" s="21">
        <f t="shared" si="33"/>
        <v>1</v>
      </c>
      <c r="D182" s="634"/>
      <c r="E182" s="21">
        <f t="shared" si="34"/>
        <v>0.05</v>
      </c>
      <c r="F182" s="634"/>
      <c r="G182" s="21">
        <f t="shared" si="35"/>
        <v>1</v>
      </c>
      <c r="H182" s="634"/>
      <c r="I182" s="21">
        <f t="shared" si="36"/>
        <v>1</v>
      </c>
      <c r="J182" s="634"/>
      <c r="K182" s="21">
        <f t="shared" si="37"/>
        <v>1</v>
      </c>
      <c r="L182" s="634"/>
      <c r="M182" s="21">
        <f t="shared" si="38"/>
        <v>1</v>
      </c>
      <c r="N182" s="634"/>
      <c r="O182" s="21">
        <f t="shared" si="39"/>
        <v>1</v>
      </c>
      <c r="P182" s="634"/>
      <c r="Q182" s="21">
        <f t="shared" si="40"/>
        <v>0</v>
      </c>
      <c r="R182" s="21">
        <f t="shared" si="41"/>
        <v>0</v>
      </c>
      <c r="S182" s="307">
        <f t="shared" si="32"/>
        <v>0</v>
      </c>
    </row>
    <row r="183" spans="1:19">
      <c r="A183" s="142"/>
      <c r="B183" s="52"/>
      <c r="C183" s="21">
        <f t="shared" si="33"/>
        <v>1</v>
      </c>
      <c r="D183" s="634"/>
      <c r="E183" s="21">
        <f t="shared" si="34"/>
        <v>0.05</v>
      </c>
      <c r="F183" s="634"/>
      <c r="G183" s="21">
        <f t="shared" si="35"/>
        <v>1</v>
      </c>
      <c r="H183" s="634"/>
      <c r="I183" s="21">
        <f t="shared" si="36"/>
        <v>1</v>
      </c>
      <c r="J183" s="634"/>
      <c r="K183" s="21">
        <f t="shared" si="37"/>
        <v>1</v>
      </c>
      <c r="L183" s="634"/>
      <c r="M183" s="21">
        <f t="shared" si="38"/>
        <v>1</v>
      </c>
      <c r="N183" s="634"/>
      <c r="O183" s="21">
        <f t="shared" si="39"/>
        <v>1</v>
      </c>
      <c r="P183" s="634"/>
      <c r="Q183" s="21">
        <f t="shared" si="40"/>
        <v>0</v>
      </c>
      <c r="R183" s="21">
        <f t="shared" si="41"/>
        <v>0</v>
      </c>
      <c r="S183" s="307">
        <f t="shared" si="32"/>
        <v>0</v>
      </c>
    </row>
    <row r="184" spans="1:19">
      <c r="A184" s="142"/>
      <c r="B184" s="52"/>
      <c r="C184" s="21">
        <f t="shared" si="33"/>
        <v>1</v>
      </c>
      <c r="D184" s="634"/>
      <c r="E184" s="21">
        <f t="shared" si="34"/>
        <v>0.05</v>
      </c>
      <c r="F184" s="634"/>
      <c r="G184" s="21">
        <f t="shared" si="35"/>
        <v>1</v>
      </c>
      <c r="H184" s="634"/>
      <c r="I184" s="21">
        <f t="shared" si="36"/>
        <v>1</v>
      </c>
      <c r="J184" s="634"/>
      <c r="K184" s="21">
        <f t="shared" si="37"/>
        <v>1</v>
      </c>
      <c r="L184" s="634"/>
      <c r="M184" s="21">
        <f t="shared" si="38"/>
        <v>1</v>
      </c>
      <c r="N184" s="634"/>
      <c r="O184" s="21">
        <f t="shared" si="39"/>
        <v>1</v>
      </c>
      <c r="P184" s="634"/>
      <c r="Q184" s="21">
        <f t="shared" si="40"/>
        <v>0</v>
      </c>
      <c r="R184" s="21">
        <f t="shared" si="41"/>
        <v>0</v>
      </c>
      <c r="S184" s="307">
        <f t="shared" si="32"/>
        <v>0</v>
      </c>
    </row>
    <row r="185" spans="1:19">
      <c r="A185" s="142"/>
      <c r="B185" s="52"/>
      <c r="C185" s="21">
        <f t="shared" si="33"/>
        <v>1</v>
      </c>
      <c r="D185" s="634"/>
      <c r="E185" s="21">
        <f t="shared" si="34"/>
        <v>0.05</v>
      </c>
      <c r="F185" s="634"/>
      <c r="G185" s="21">
        <f t="shared" si="35"/>
        <v>1</v>
      </c>
      <c r="H185" s="634"/>
      <c r="I185" s="21">
        <f t="shared" si="36"/>
        <v>1</v>
      </c>
      <c r="J185" s="634"/>
      <c r="K185" s="21">
        <f t="shared" si="37"/>
        <v>1</v>
      </c>
      <c r="L185" s="634"/>
      <c r="M185" s="21">
        <f t="shared" si="38"/>
        <v>1</v>
      </c>
      <c r="N185" s="634"/>
      <c r="O185" s="21">
        <f t="shared" si="39"/>
        <v>1</v>
      </c>
      <c r="P185" s="634"/>
      <c r="Q185" s="21">
        <f t="shared" si="40"/>
        <v>0</v>
      </c>
      <c r="R185" s="21">
        <f t="shared" si="41"/>
        <v>0</v>
      </c>
      <c r="S185" s="307">
        <f t="shared" si="32"/>
        <v>0</v>
      </c>
    </row>
    <row r="186" spans="1:19">
      <c r="A186" s="142"/>
      <c r="B186" s="52"/>
      <c r="C186" s="21">
        <f t="shared" si="33"/>
        <v>1</v>
      </c>
      <c r="D186" s="634"/>
      <c r="E186" s="21">
        <f t="shared" si="34"/>
        <v>0.05</v>
      </c>
      <c r="F186" s="634"/>
      <c r="G186" s="21">
        <f t="shared" si="35"/>
        <v>1</v>
      </c>
      <c r="H186" s="634"/>
      <c r="I186" s="21">
        <f t="shared" si="36"/>
        <v>1</v>
      </c>
      <c r="J186" s="634"/>
      <c r="K186" s="21">
        <f t="shared" si="37"/>
        <v>1</v>
      </c>
      <c r="L186" s="634"/>
      <c r="M186" s="21">
        <f t="shared" si="38"/>
        <v>1</v>
      </c>
      <c r="N186" s="634"/>
      <c r="O186" s="21">
        <f t="shared" si="39"/>
        <v>1</v>
      </c>
      <c r="P186" s="634"/>
      <c r="Q186" s="21">
        <f t="shared" si="40"/>
        <v>0</v>
      </c>
      <c r="R186" s="21">
        <f t="shared" si="41"/>
        <v>0</v>
      </c>
      <c r="S186" s="307">
        <f t="shared" si="32"/>
        <v>0</v>
      </c>
    </row>
    <row r="187" spans="1:19">
      <c r="A187" s="142"/>
      <c r="B187" s="52"/>
      <c r="C187" s="21">
        <f t="shared" si="33"/>
        <v>1</v>
      </c>
      <c r="D187" s="634"/>
      <c r="E187" s="21">
        <f t="shared" si="34"/>
        <v>0.05</v>
      </c>
      <c r="F187" s="634"/>
      <c r="G187" s="21">
        <f t="shared" si="35"/>
        <v>1</v>
      </c>
      <c r="H187" s="634"/>
      <c r="I187" s="21">
        <f t="shared" si="36"/>
        <v>1</v>
      </c>
      <c r="J187" s="634"/>
      <c r="K187" s="21">
        <f t="shared" si="37"/>
        <v>1</v>
      </c>
      <c r="L187" s="634"/>
      <c r="M187" s="21">
        <f t="shared" si="38"/>
        <v>1</v>
      </c>
      <c r="N187" s="634"/>
      <c r="O187" s="21">
        <f t="shared" si="39"/>
        <v>1</v>
      </c>
      <c r="P187" s="634"/>
      <c r="Q187" s="21">
        <f t="shared" si="40"/>
        <v>0</v>
      </c>
      <c r="R187" s="21">
        <f t="shared" si="41"/>
        <v>0</v>
      </c>
      <c r="S187" s="307">
        <f t="shared" ref="S187:S222" si="42">ROUND(R187*B187/10000,0)</f>
        <v>0</v>
      </c>
    </row>
    <row r="188" spans="1:19">
      <c r="A188" s="142"/>
      <c r="B188" s="52"/>
      <c r="C188" s="21">
        <f t="shared" si="33"/>
        <v>1</v>
      </c>
      <c r="D188" s="634"/>
      <c r="E188" s="21">
        <f t="shared" si="34"/>
        <v>0.05</v>
      </c>
      <c r="F188" s="634"/>
      <c r="G188" s="21">
        <f t="shared" si="35"/>
        <v>1</v>
      </c>
      <c r="H188" s="634"/>
      <c r="I188" s="21">
        <f t="shared" si="36"/>
        <v>1</v>
      </c>
      <c r="J188" s="634"/>
      <c r="K188" s="21">
        <f t="shared" si="37"/>
        <v>1</v>
      </c>
      <c r="L188" s="634"/>
      <c r="M188" s="21">
        <f t="shared" si="38"/>
        <v>1</v>
      </c>
      <c r="N188" s="634"/>
      <c r="O188" s="21">
        <f t="shared" si="39"/>
        <v>1</v>
      </c>
      <c r="P188" s="634"/>
      <c r="Q188" s="21">
        <f t="shared" si="40"/>
        <v>0</v>
      </c>
      <c r="R188" s="21">
        <f t="shared" si="41"/>
        <v>0</v>
      </c>
      <c r="S188" s="307">
        <f t="shared" si="42"/>
        <v>0</v>
      </c>
    </row>
    <row r="189" spans="1:19">
      <c r="A189" s="142"/>
      <c r="B189" s="52"/>
      <c r="C189" s="21">
        <f t="shared" si="33"/>
        <v>1</v>
      </c>
      <c r="D189" s="634"/>
      <c r="E189" s="21">
        <f t="shared" si="34"/>
        <v>0.05</v>
      </c>
      <c r="F189" s="634"/>
      <c r="G189" s="21">
        <f t="shared" si="35"/>
        <v>1</v>
      </c>
      <c r="H189" s="634"/>
      <c r="I189" s="21">
        <f t="shared" si="36"/>
        <v>1</v>
      </c>
      <c r="J189" s="634"/>
      <c r="K189" s="21">
        <f t="shared" si="37"/>
        <v>1</v>
      </c>
      <c r="L189" s="634"/>
      <c r="M189" s="21">
        <f t="shared" si="38"/>
        <v>1</v>
      </c>
      <c r="N189" s="634"/>
      <c r="O189" s="21">
        <f t="shared" si="39"/>
        <v>1</v>
      </c>
      <c r="P189" s="634"/>
      <c r="Q189" s="21">
        <f t="shared" si="40"/>
        <v>0</v>
      </c>
      <c r="R189" s="21">
        <f t="shared" si="41"/>
        <v>0</v>
      </c>
      <c r="S189" s="307">
        <f t="shared" si="42"/>
        <v>0</v>
      </c>
    </row>
    <row r="190" spans="1:19">
      <c r="A190" s="142"/>
      <c r="B190" s="52"/>
      <c r="C190" s="21">
        <f t="shared" si="33"/>
        <v>1</v>
      </c>
      <c r="D190" s="634"/>
      <c r="E190" s="21">
        <f t="shared" si="34"/>
        <v>0.05</v>
      </c>
      <c r="F190" s="634"/>
      <c r="G190" s="21">
        <f t="shared" si="35"/>
        <v>1</v>
      </c>
      <c r="H190" s="634"/>
      <c r="I190" s="21">
        <f t="shared" si="36"/>
        <v>1</v>
      </c>
      <c r="J190" s="634"/>
      <c r="K190" s="21">
        <f t="shared" si="37"/>
        <v>1</v>
      </c>
      <c r="L190" s="634"/>
      <c r="M190" s="21">
        <f t="shared" si="38"/>
        <v>1</v>
      </c>
      <c r="N190" s="634"/>
      <c r="O190" s="21">
        <f t="shared" si="39"/>
        <v>1</v>
      </c>
      <c r="P190" s="634"/>
      <c r="Q190" s="21">
        <f t="shared" si="40"/>
        <v>0</v>
      </c>
      <c r="R190" s="21">
        <f t="shared" si="41"/>
        <v>0</v>
      </c>
      <c r="S190" s="307">
        <f t="shared" si="42"/>
        <v>0</v>
      </c>
    </row>
    <row r="191" spans="1:19">
      <c r="A191" s="142"/>
      <c r="B191" s="52"/>
      <c r="C191" s="21">
        <f t="shared" si="33"/>
        <v>1</v>
      </c>
      <c r="D191" s="634"/>
      <c r="E191" s="21">
        <f t="shared" si="34"/>
        <v>0.05</v>
      </c>
      <c r="F191" s="634"/>
      <c r="G191" s="21">
        <f t="shared" si="35"/>
        <v>1</v>
      </c>
      <c r="H191" s="634"/>
      <c r="I191" s="21">
        <f t="shared" si="36"/>
        <v>1</v>
      </c>
      <c r="J191" s="634"/>
      <c r="K191" s="21">
        <f t="shared" si="37"/>
        <v>1</v>
      </c>
      <c r="L191" s="634"/>
      <c r="M191" s="21">
        <f t="shared" si="38"/>
        <v>1</v>
      </c>
      <c r="N191" s="634"/>
      <c r="O191" s="21">
        <f t="shared" si="39"/>
        <v>1</v>
      </c>
      <c r="P191" s="634"/>
      <c r="Q191" s="21">
        <f t="shared" si="40"/>
        <v>0</v>
      </c>
      <c r="R191" s="21">
        <f t="shared" si="41"/>
        <v>0</v>
      </c>
      <c r="S191" s="307">
        <f t="shared" si="42"/>
        <v>0</v>
      </c>
    </row>
    <row r="192" spans="1:19">
      <c r="A192" s="142"/>
      <c r="B192" s="52"/>
      <c r="C192" s="21">
        <f t="shared" si="33"/>
        <v>1</v>
      </c>
      <c r="D192" s="634"/>
      <c r="E192" s="21">
        <f t="shared" si="34"/>
        <v>0.05</v>
      </c>
      <c r="F192" s="634"/>
      <c r="G192" s="21">
        <f t="shared" si="35"/>
        <v>1</v>
      </c>
      <c r="H192" s="634"/>
      <c r="I192" s="21">
        <f t="shared" si="36"/>
        <v>1</v>
      </c>
      <c r="J192" s="634"/>
      <c r="K192" s="21">
        <f t="shared" si="37"/>
        <v>1</v>
      </c>
      <c r="L192" s="634"/>
      <c r="M192" s="21">
        <f t="shared" si="38"/>
        <v>1</v>
      </c>
      <c r="N192" s="634"/>
      <c r="O192" s="21">
        <f t="shared" si="39"/>
        <v>1</v>
      </c>
      <c r="P192" s="634"/>
      <c r="Q192" s="21">
        <f t="shared" si="40"/>
        <v>0</v>
      </c>
      <c r="R192" s="21">
        <f t="shared" si="41"/>
        <v>0</v>
      </c>
      <c r="S192" s="307">
        <f t="shared" si="42"/>
        <v>0</v>
      </c>
    </row>
    <row r="193" spans="1:19">
      <c r="A193" s="142"/>
      <c r="B193" s="52"/>
      <c r="C193" s="21">
        <f t="shared" si="33"/>
        <v>1</v>
      </c>
      <c r="D193" s="634"/>
      <c r="E193" s="21">
        <f t="shared" si="34"/>
        <v>0.05</v>
      </c>
      <c r="F193" s="634"/>
      <c r="G193" s="21">
        <f t="shared" si="35"/>
        <v>1</v>
      </c>
      <c r="H193" s="634"/>
      <c r="I193" s="21">
        <f t="shared" si="36"/>
        <v>1</v>
      </c>
      <c r="J193" s="634"/>
      <c r="K193" s="21">
        <f t="shared" si="37"/>
        <v>1</v>
      </c>
      <c r="L193" s="634"/>
      <c r="M193" s="21">
        <f t="shared" si="38"/>
        <v>1</v>
      </c>
      <c r="N193" s="634"/>
      <c r="O193" s="21">
        <f t="shared" si="39"/>
        <v>1</v>
      </c>
      <c r="P193" s="634"/>
      <c r="Q193" s="21">
        <f t="shared" si="40"/>
        <v>0</v>
      </c>
      <c r="R193" s="21">
        <f t="shared" si="41"/>
        <v>0</v>
      </c>
      <c r="S193" s="307">
        <f t="shared" si="42"/>
        <v>0</v>
      </c>
    </row>
    <row r="194" spans="1:19">
      <c r="A194" s="142"/>
      <c r="B194" s="52"/>
      <c r="C194" s="21">
        <f t="shared" si="33"/>
        <v>1</v>
      </c>
      <c r="D194" s="634"/>
      <c r="E194" s="21">
        <f t="shared" si="34"/>
        <v>0.05</v>
      </c>
      <c r="F194" s="634"/>
      <c r="G194" s="21">
        <f t="shared" si="35"/>
        <v>1</v>
      </c>
      <c r="H194" s="634"/>
      <c r="I194" s="21">
        <f t="shared" si="36"/>
        <v>1</v>
      </c>
      <c r="J194" s="634"/>
      <c r="K194" s="21">
        <f t="shared" si="37"/>
        <v>1</v>
      </c>
      <c r="L194" s="634"/>
      <c r="M194" s="21">
        <f t="shared" si="38"/>
        <v>1</v>
      </c>
      <c r="N194" s="634"/>
      <c r="O194" s="21">
        <f t="shared" si="39"/>
        <v>1</v>
      </c>
      <c r="P194" s="634"/>
      <c r="Q194" s="21">
        <f t="shared" si="40"/>
        <v>0</v>
      </c>
      <c r="R194" s="21">
        <f t="shared" si="41"/>
        <v>0</v>
      </c>
      <c r="S194" s="307">
        <f t="shared" si="42"/>
        <v>0</v>
      </c>
    </row>
    <row r="195" spans="1:19">
      <c r="A195" s="142"/>
      <c r="B195" s="52"/>
      <c r="C195" s="21">
        <f t="shared" si="33"/>
        <v>1</v>
      </c>
      <c r="D195" s="634"/>
      <c r="E195" s="21">
        <f t="shared" si="34"/>
        <v>0.05</v>
      </c>
      <c r="F195" s="634"/>
      <c r="G195" s="21">
        <f t="shared" si="35"/>
        <v>1</v>
      </c>
      <c r="H195" s="634"/>
      <c r="I195" s="21">
        <f t="shared" si="36"/>
        <v>1</v>
      </c>
      <c r="J195" s="634"/>
      <c r="K195" s="21">
        <f t="shared" si="37"/>
        <v>1</v>
      </c>
      <c r="L195" s="634"/>
      <c r="M195" s="21">
        <f t="shared" si="38"/>
        <v>1</v>
      </c>
      <c r="N195" s="634"/>
      <c r="O195" s="21">
        <f t="shared" si="39"/>
        <v>1</v>
      </c>
      <c r="P195" s="634"/>
      <c r="Q195" s="21">
        <f t="shared" si="40"/>
        <v>0</v>
      </c>
      <c r="R195" s="21">
        <f t="shared" si="41"/>
        <v>0</v>
      </c>
      <c r="S195" s="307">
        <f t="shared" si="42"/>
        <v>0</v>
      </c>
    </row>
    <row r="196" spans="1:19">
      <c r="A196" s="142"/>
      <c r="B196" s="52"/>
      <c r="C196" s="21">
        <f t="shared" si="33"/>
        <v>1</v>
      </c>
      <c r="D196" s="634"/>
      <c r="E196" s="21">
        <f t="shared" si="34"/>
        <v>0.05</v>
      </c>
      <c r="F196" s="634"/>
      <c r="G196" s="21">
        <f t="shared" si="35"/>
        <v>1</v>
      </c>
      <c r="H196" s="634"/>
      <c r="I196" s="21">
        <f t="shared" si="36"/>
        <v>1</v>
      </c>
      <c r="J196" s="634"/>
      <c r="K196" s="21">
        <f t="shared" si="37"/>
        <v>1</v>
      </c>
      <c r="L196" s="634"/>
      <c r="M196" s="21">
        <f t="shared" si="38"/>
        <v>1</v>
      </c>
      <c r="N196" s="634"/>
      <c r="O196" s="21">
        <f t="shared" si="39"/>
        <v>1</v>
      </c>
      <c r="P196" s="634"/>
      <c r="Q196" s="21">
        <f t="shared" si="40"/>
        <v>0</v>
      </c>
      <c r="R196" s="21">
        <f t="shared" si="41"/>
        <v>0</v>
      </c>
      <c r="S196" s="307">
        <f t="shared" si="42"/>
        <v>0</v>
      </c>
    </row>
    <row r="197" spans="1:19">
      <c r="A197" s="142"/>
      <c r="B197" s="52"/>
      <c r="C197" s="21">
        <f t="shared" si="33"/>
        <v>1</v>
      </c>
      <c r="D197" s="634"/>
      <c r="E197" s="21">
        <f t="shared" si="34"/>
        <v>0.05</v>
      </c>
      <c r="F197" s="634"/>
      <c r="G197" s="21">
        <f t="shared" si="35"/>
        <v>1</v>
      </c>
      <c r="H197" s="634"/>
      <c r="I197" s="21">
        <f t="shared" si="36"/>
        <v>1</v>
      </c>
      <c r="J197" s="634"/>
      <c r="K197" s="21">
        <f t="shared" si="37"/>
        <v>1</v>
      </c>
      <c r="L197" s="634"/>
      <c r="M197" s="21">
        <f t="shared" si="38"/>
        <v>1</v>
      </c>
      <c r="N197" s="634"/>
      <c r="O197" s="21">
        <f t="shared" si="39"/>
        <v>1</v>
      </c>
      <c r="P197" s="634"/>
      <c r="Q197" s="21">
        <f t="shared" si="40"/>
        <v>0</v>
      </c>
      <c r="R197" s="21">
        <f t="shared" si="41"/>
        <v>0</v>
      </c>
      <c r="S197" s="307">
        <f t="shared" si="42"/>
        <v>0</v>
      </c>
    </row>
    <row r="198" spans="1:19">
      <c r="A198" s="142"/>
      <c r="B198" s="52"/>
      <c r="C198" s="21">
        <f t="shared" si="33"/>
        <v>1</v>
      </c>
      <c r="D198" s="634"/>
      <c r="E198" s="21">
        <f t="shared" si="34"/>
        <v>0.05</v>
      </c>
      <c r="F198" s="634"/>
      <c r="G198" s="21">
        <f t="shared" si="35"/>
        <v>1</v>
      </c>
      <c r="H198" s="634"/>
      <c r="I198" s="21">
        <f t="shared" si="36"/>
        <v>1</v>
      </c>
      <c r="J198" s="634"/>
      <c r="K198" s="21">
        <f t="shared" si="37"/>
        <v>1</v>
      </c>
      <c r="L198" s="634"/>
      <c r="M198" s="21">
        <f t="shared" si="38"/>
        <v>1</v>
      </c>
      <c r="N198" s="634"/>
      <c r="O198" s="21">
        <f t="shared" si="39"/>
        <v>1</v>
      </c>
      <c r="P198" s="634"/>
      <c r="Q198" s="21">
        <f t="shared" si="40"/>
        <v>0</v>
      </c>
      <c r="R198" s="21">
        <f t="shared" si="41"/>
        <v>0</v>
      </c>
      <c r="S198" s="307">
        <f t="shared" si="42"/>
        <v>0</v>
      </c>
    </row>
    <row r="199" spans="1:19">
      <c r="A199" s="142"/>
      <c r="B199" s="52"/>
      <c r="C199" s="21">
        <f t="shared" si="33"/>
        <v>1</v>
      </c>
      <c r="D199" s="634"/>
      <c r="E199" s="21">
        <f t="shared" si="34"/>
        <v>0.05</v>
      </c>
      <c r="F199" s="634"/>
      <c r="G199" s="21">
        <f t="shared" si="35"/>
        <v>1</v>
      </c>
      <c r="H199" s="634"/>
      <c r="I199" s="21">
        <f t="shared" si="36"/>
        <v>1</v>
      </c>
      <c r="J199" s="634"/>
      <c r="K199" s="21">
        <f t="shared" si="37"/>
        <v>1</v>
      </c>
      <c r="L199" s="634"/>
      <c r="M199" s="21">
        <f t="shared" si="38"/>
        <v>1</v>
      </c>
      <c r="N199" s="634"/>
      <c r="O199" s="21">
        <f t="shared" si="39"/>
        <v>1</v>
      </c>
      <c r="P199" s="634"/>
      <c r="Q199" s="21">
        <f t="shared" si="40"/>
        <v>0</v>
      </c>
      <c r="R199" s="21">
        <f t="shared" si="41"/>
        <v>0</v>
      </c>
      <c r="S199" s="307">
        <f t="shared" si="42"/>
        <v>0</v>
      </c>
    </row>
    <row r="200" spans="1:19">
      <c r="A200" s="142"/>
      <c r="B200" s="52"/>
      <c r="C200" s="21">
        <f t="shared" si="33"/>
        <v>1</v>
      </c>
      <c r="D200" s="634"/>
      <c r="E200" s="21">
        <f t="shared" si="34"/>
        <v>0.05</v>
      </c>
      <c r="F200" s="634"/>
      <c r="G200" s="21">
        <f t="shared" si="35"/>
        <v>1</v>
      </c>
      <c r="H200" s="634"/>
      <c r="I200" s="21">
        <f t="shared" si="36"/>
        <v>1</v>
      </c>
      <c r="J200" s="634"/>
      <c r="K200" s="21">
        <f t="shared" si="37"/>
        <v>1</v>
      </c>
      <c r="L200" s="634"/>
      <c r="M200" s="21">
        <f t="shared" si="38"/>
        <v>1</v>
      </c>
      <c r="N200" s="634"/>
      <c r="O200" s="21">
        <f t="shared" si="39"/>
        <v>1</v>
      </c>
      <c r="P200" s="634"/>
      <c r="Q200" s="21">
        <f t="shared" si="40"/>
        <v>0</v>
      </c>
      <c r="R200" s="21">
        <f t="shared" si="41"/>
        <v>0</v>
      </c>
      <c r="S200" s="307">
        <f t="shared" si="42"/>
        <v>0</v>
      </c>
    </row>
    <row r="201" spans="1:19">
      <c r="A201" s="142"/>
      <c r="B201" s="52"/>
      <c r="C201" s="21">
        <f t="shared" si="33"/>
        <v>1</v>
      </c>
      <c r="D201" s="634"/>
      <c r="E201" s="21">
        <f t="shared" si="34"/>
        <v>0.05</v>
      </c>
      <c r="F201" s="634"/>
      <c r="G201" s="21">
        <f t="shared" si="35"/>
        <v>1</v>
      </c>
      <c r="H201" s="634"/>
      <c r="I201" s="21">
        <f t="shared" si="36"/>
        <v>1</v>
      </c>
      <c r="J201" s="634"/>
      <c r="K201" s="21">
        <f t="shared" si="37"/>
        <v>1</v>
      </c>
      <c r="L201" s="634"/>
      <c r="M201" s="21">
        <f t="shared" si="38"/>
        <v>1</v>
      </c>
      <c r="N201" s="634"/>
      <c r="O201" s="21">
        <f t="shared" si="39"/>
        <v>1</v>
      </c>
      <c r="P201" s="634"/>
      <c r="Q201" s="21">
        <f t="shared" si="40"/>
        <v>0</v>
      </c>
      <c r="R201" s="21">
        <f t="shared" si="41"/>
        <v>0</v>
      </c>
      <c r="S201" s="307">
        <f t="shared" si="42"/>
        <v>0</v>
      </c>
    </row>
    <row r="202" spans="1:19">
      <c r="A202" s="142"/>
      <c r="B202" s="52"/>
      <c r="C202" s="21">
        <f t="shared" si="33"/>
        <v>1</v>
      </c>
      <c r="D202" s="634"/>
      <c r="E202" s="21">
        <f t="shared" si="34"/>
        <v>0.05</v>
      </c>
      <c r="F202" s="634"/>
      <c r="G202" s="21">
        <f t="shared" si="35"/>
        <v>1</v>
      </c>
      <c r="H202" s="634"/>
      <c r="I202" s="21">
        <f t="shared" si="36"/>
        <v>1</v>
      </c>
      <c r="J202" s="634"/>
      <c r="K202" s="21">
        <f t="shared" si="37"/>
        <v>1</v>
      </c>
      <c r="L202" s="634"/>
      <c r="M202" s="21">
        <f t="shared" si="38"/>
        <v>1</v>
      </c>
      <c r="N202" s="634"/>
      <c r="O202" s="21">
        <f t="shared" si="39"/>
        <v>1</v>
      </c>
      <c r="P202" s="634"/>
      <c r="Q202" s="21">
        <f t="shared" si="40"/>
        <v>0</v>
      </c>
      <c r="R202" s="21">
        <f t="shared" si="41"/>
        <v>0</v>
      </c>
      <c r="S202" s="307">
        <f t="shared" si="42"/>
        <v>0</v>
      </c>
    </row>
    <row r="203" spans="1:19">
      <c r="A203" s="142"/>
      <c r="B203" s="52"/>
      <c r="C203" s="21">
        <f t="shared" si="33"/>
        <v>1</v>
      </c>
      <c r="D203" s="634"/>
      <c r="E203" s="21">
        <f t="shared" si="34"/>
        <v>0.05</v>
      </c>
      <c r="F203" s="634"/>
      <c r="G203" s="21">
        <f t="shared" si="35"/>
        <v>1</v>
      </c>
      <c r="H203" s="634"/>
      <c r="I203" s="21">
        <f t="shared" si="36"/>
        <v>1</v>
      </c>
      <c r="J203" s="634"/>
      <c r="K203" s="21">
        <f t="shared" si="37"/>
        <v>1</v>
      </c>
      <c r="L203" s="634"/>
      <c r="M203" s="21">
        <f t="shared" si="38"/>
        <v>1</v>
      </c>
      <c r="N203" s="634"/>
      <c r="O203" s="21">
        <f t="shared" si="39"/>
        <v>1</v>
      </c>
      <c r="P203" s="634"/>
      <c r="Q203" s="21">
        <f t="shared" si="40"/>
        <v>0</v>
      </c>
      <c r="R203" s="21">
        <f t="shared" si="41"/>
        <v>0</v>
      </c>
      <c r="S203" s="307">
        <f t="shared" si="42"/>
        <v>0</v>
      </c>
    </row>
    <row r="204" spans="1:19">
      <c r="A204" s="142"/>
      <c r="B204" s="52"/>
      <c r="C204" s="21">
        <f t="shared" si="33"/>
        <v>1</v>
      </c>
      <c r="D204" s="634"/>
      <c r="E204" s="21">
        <f t="shared" si="34"/>
        <v>0.05</v>
      </c>
      <c r="F204" s="634"/>
      <c r="G204" s="21">
        <f t="shared" si="35"/>
        <v>1</v>
      </c>
      <c r="H204" s="634"/>
      <c r="I204" s="21">
        <f t="shared" si="36"/>
        <v>1</v>
      </c>
      <c r="J204" s="634"/>
      <c r="K204" s="21">
        <f t="shared" si="37"/>
        <v>1</v>
      </c>
      <c r="L204" s="634"/>
      <c r="M204" s="21">
        <f t="shared" si="38"/>
        <v>1</v>
      </c>
      <c r="N204" s="634"/>
      <c r="O204" s="21">
        <f t="shared" si="39"/>
        <v>1</v>
      </c>
      <c r="P204" s="634"/>
      <c r="Q204" s="21">
        <f t="shared" si="40"/>
        <v>0</v>
      </c>
      <c r="R204" s="21">
        <f t="shared" si="41"/>
        <v>0</v>
      </c>
      <c r="S204" s="307">
        <f t="shared" si="42"/>
        <v>0</v>
      </c>
    </row>
    <row r="205" spans="1:19">
      <c r="A205" s="142"/>
      <c r="B205" s="52"/>
      <c r="C205" s="21">
        <f t="shared" si="33"/>
        <v>1</v>
      </c>
      <c r="D205" s="634"/>
      <c r="E205" s="21">
        <f t="shared" si="34"/>
        <v>0.05</v>
      </c>
      <c r="F205" s="634"/>
      <c r="G205" s="21">
        <f t="shared" si="35"/>
        <v>1</v>
      </c>
      <c r="H205" s="634"/>
      <c r="I205" s="21">
        <f t="shared" si="36"/>
        <v>1</v>
      </c>
      <c r="J205" s="634"/>
      <c r="K205" s="21">
        <f t="shared" si="37"/>
        <v>1</v>
      </c>
      <c r="L205" s="634"/>
      <c r="M205" s="21">
        <f t="shared" si="38"/>
        <v>1</v>
      </c>
      <c r="N205" s="634"/>
      <c r="O205" s="21">
        <f t="shared" si="39"/>
        <v>1</v>
      </c>
      <c r="P205" s="634"/>
      <c r="Q205" s="21">
        <f t="shared" si="40"/>
        <v>0</v>
      </c>
      <c r="R205" s="21">
        <f t="shared" si="41"/>
        <v>0</v>
      </c>
      <c r="S205" s="307">
        <f t="shared" si="42"/>
        <v>0</v>
      </c>
    </row>
    <row r="206" spans="1:19">
      <c r="A206" s="142"/>
      <c r="B206" s="52"/>
      <c r="C206" s="21">
        <f t="shared" si="33"/>
        <v>1</v>
      </c>
      <c r="D206" s="634"/>
      <c r="E206" s="21">
        <f t="shared" si="34"/>
        <v>0.05</v>
      </c>
      <c r="F206" s="634"/>
      <c r="G206" s="21">
        <f t="shared" si="35"/>
        <v>1</v>
      </c>
      <c r="H206" s="634"/>
      <c r="I206" s="21">
        <f t="shared" si="36"/>
        <v>1</v>
      </c>
      <c r="J206" s="634"/>
      <c r="K206" s="21">
        <f t="shared" si="37"/>
        <v>1</v>
      </c>
      <c r="L206" s="634"/>
      <c r="M206" s="21">
        <f t="shared" si="38"/>
        <v>1</v>
      </c>
      <c r="N206" s="634"/>
      <c r="O206" s="21">
        <f t="shared" si="39"/>
        <v>1</v>
      </c>
      <c r="P206" s="634"/>
      <c r="Q206" s="21">
        <f t="shared" si="40"/>
        <v>0</v>
      </c>
      <c r="R206" s="21">
        <f t="shared" si="41"/>
        <v>0</v>
      </c>
      <c r="S206" s="307">
        <f t="shared" si="42"/>
        <v>0</v>
      </c>
    </row>
    <row r="207" spans="1:19">
      <c r="A207" s="142"/>
      <c r="B207" s="52"/>
      <c r="C207" s="21">
        <f t="shared" si="33"/>
        <v>1</v>
      </c>
      <c r="D207" s="634"/>
      <c r="E207" s="21">
        <f t="shared" si="34"/>
        <v>0.05</v>
      </c>
      <c r="F207" s="634"/>
      <c r="G207" s="21">
        <f t="shared" si="35"/>
        <v>1</v>
      </c>
      <c r="H207" s="634"/>
      <c r="I207" s="21">
        <f t="shared" si="36"/>
        <v>1</v>
      </c>
      <c r="J207" s="634"/>
      <c r="K207" s="21">
        <f t="shared" si="37"/>
        <v>1</v>
      </c>
      <c r="L207" s="634"/>
      <c r="M207" s="21">
        <f t="shared" si="38"/>
        <v>1</v>
      </c>
      <c r="N207" s="634"/>
      <c r="O207" s="21">
        <f t="shared" si="39"/>
        <v>1</v>
      </c>
      <c r="P207" s="634"/>
      <c r="Q207" s="21">
        <f t="shared" si="40"/>
        <v>0</v>
      </c>
      <c r="R207" s="21">
        <f t="shared" si="41"/>
        <v>0</v>
      </c>
      <c r="S207" s="307">
        <f t="shared" si="42"/>
        <v>0</v>
      </c>
    </row>
    <row r="208" spans="1:19">
      <c r="A208" s="142"/>
      <c r="B208" s="52"/>
      <c r="C208" s="21">
        <f t="shared" si="33"/>
        <v>1</v>
      </c>
      <c r="D208" s="634"/>
      <c r="E208" s="21">
        <f t="shared" si="34"/>
        <v>0.05</v>
      </c>
      <c r="F208" s="634"/>
      <c r="G208" s="21">
        <f t="shared" si="35"/>
        <v>1</v>
      </c>
      <c r="H208" s="634"/>
      <c r="I208" s="21">
        <f t="shared" si="36"/>
        <v>1</v>
      </c>
      <c r="J208" s="634"/>
      <c r="K208" s="21">
        <f t="shared" si="37"/>
        <v>1</v>
      </c>
      <c r="L208" s="634"/>
      <c r="M208" s="21">
        <f t="shared" si="38"/>
        <v>1</v>
      </c>
      <c r="N208" s="634"/>
      <c r="O208" s="21">
        <f t="shared" si="39"/>
        <v>1</v>
      </c>
      <c r="P208" s="634"/>
      <c r="Q208" s="21">
        <f t="shared" si="40"/>
        <v>0</v>
      </c>
      <c r="R208" s="21">
        <f t="shared" si="41"/>
        <v>0</v>
      </c>
      <c r="S208" s="307">
        <f t="shared" si="42"/>
        <v>0</v>
      </c>
    </row>
    <row r="209" spans="1:19">
      <c r="A209" s="142"/>
      <c r="B209" s="52"/>
      <c r="C209" s="21">
        <f t="shared" si="33"/>
        <v>1</v>
      </c>
      <c r="D209" s="634"/>
      <c r="E209" s="21">
        <f t="shared" si="34"/>
        <v>0.05</v>
      </c>
      <c r="F209" s="634"/>
      <c r="G209" s="21">
        <f t="shared" si="35"/>
        <v>1</v>
      </c>
      <c r="H209" s="634"/>
      <c r="I209" s="21">
        <f t="shared" si="36"/>
        <v>1</v>
      </c>
      <c r="J209" s="634"/>
      <c r="K209" s="21">
        <f t="shared" si="37"/>
        <v>1</v>
      </c>
      <c r="L209" s="634"/>
      <c r="M209" s="21">
        <f t="shared" si="38"/>
        <v>1</v>
      </c>
      <c r="N209" s="634"/>
      <c r="O209" s="21">
        <f t="shared" si="39"/>
        <v>1</v>
      </c>
      <c r="P209" s="634"/>
      <c r="Q209" s="21">
        <f t="shared" si="40"/>
        <v>0</v>
      </c>
      <c r="R209" s="21">
        <f t="shared" si="41"/>
        <v>0</v>
      </c>
      <c r="S209" s="307">
        <f t="shared" si="42"/>
        <v>0</v>
      </c>
    </row>
    <row r="210" spans="1:19">
      <c r="A210" s="142"/>
      <c r="B210" s="52"/>
      <c r="C210" s="21">
        <f t="shared" si="33"/>
        <v>1</v>
      </c>
      <c r="D210" s="634"/>
      <c r="E210" s="21">
        <f t="shared" si="34"/>
        <v>0.05</v>
      </c>
      <c r="F210" s="634"/>
      <c r="G210" s="21">
        <f t="shared" si="35"/>
        <v>1</v>
      </c>
      <c r="H210" s="634"/>
      <c r="I210" s="21">
        <f t="shared" si="36"/>
        <v>1</v>
      </c>
      <c r="J210" s="634"/>
      <c r="K210" s="21">
        <f t="shared" si="37"/>
        <v>1</v>
      </c>
      <c r="L210" s="634"/>
      <c r="M210" s="21">
        <f t="shared" si="38"/>
        <v>1</v>
      </c>
      <c r="N210" s="634"/>
      <c r="O210" s="21">
        <f t="shared" si="39"/>
        <v>1</v>
      </c>
      <c r="P210" s="634"/>
      <c r="Q210" s="21">
        <f t="shared" si="40"/>
        <v>0</v>
      </c>
      <c r="R210" s="21">
        <f t="shared" si="41"/>
        <v>0</v>
      </c>
      <c r="S210" s="307">
        <f t="shared" si="42"/>
        <v>0</v>
      </c>
    </row>
    <row r="211" spans="1:19">
      <c r="A211" s="142"/>
      <c r="B211" s="52"/>
      <c r="C211" s="21">
        <f t="shared" si="33"/>
        <v>1</v>
      </c>
      <c r="D211" s="634"/>
      <c r="E211" s="21">
        <f t="shared" si="34"/>
        <v>0.05</v>
      </c>
      <c r="F211" s="634"/>
      <c r="G211" s="21">
        <f t="shared" si="35"/>
        <v>1</v>
      </c>
      <c r="H211" s="634"/>
      <c r="I211" s="21">
        <f t="shared" si="36"/>
        <v>1</v>
      </c>
      <c r="J211" s="634"/>
      <c r="K211" s="21">
        <f t="shared" si="37"/>
        <v>1</v>
      </c>
      <c r="L211" s="634"/>
      <c r="M211" s="21">
        <f t="shared" si="38"/>
        <v>1</v>
      </c>
      <c r="N211" s="634"/>
      <c r="O211" s="21">
        <f t="shared" si="39"/>
        <v>1</v>
      </c>
      <c r="P211" s="634"/>
      <c r="Q211" s="21">
        <f t="shared" si="40"/>
        <v>0</v>
      </c>
      <c r="R211" s="21">
        <f t="shared" si="41"/>
        <v>0</v>
      </c>
      <c r="S211" s="307">
        <f t="shared" si="42"/>
        <v>0</v>
      </c>
    </row>
    <row r="212" spans="1:19">
      <c r="A212" s="142"/>
      <c r="B212" s="52"/>
      <c r="C212" s="21">
        <f t="shared" si="33"/>
        <v>1</v>
      </c>
      <c r="D212" s="634"/>
      <c r="E212" s="21">
        <f t="shared" si="34"/>
        <v>0.05</v>
      </c>
      <c r="F212" s="634"/>
      <c r="G212" s="21">
        <f t="shared" si="35"/>
        <v>1</v>
      </c>
      <c r="H212" s="634"/>
      <c r="I212" s="21">
        <f t="shared" si="36"/>
        <v>1</v>
      </c>
      <c r="J212" s="634"/>
      <c r="K212" s="21">
        <f t="shared" si="37"/>
        <v>1</v>
      </c>
      <c r="L212" s="634"/>
      <c r="M212" s="21">
        <f t="shared" si="38"/>
        <v>1</v>
      </c>
      <c r="N212" s="634"/>
      <c r="O212" s="21">
        <f t="shared" si="39"/>
        <v>1</v>
      </c>
      <c r="P212" s="634"/>
      <c r="Q212" s="21">
        <f t="shared" si="40"/>
        <v>0</v>
      </c>
      <c r="R212" s="21">
        <f t="shared" si="41"/>
        <v>0</v>
      </c>
      <c r="S212" s="307">
        <f t="shared" si="42"/>
        <v>0</v>
      </c>
    </row>
    <row r="213" spans="1:19">
      <c r="A213" s="142"/>
      <c r="B213" s="52"/>
      <c r="C213" s="21">
        <f t="shared" si="33"/>
        <v>1</v>
      </c>
      <c r="D213" s="634"/>
      <c r="E213" s="21">
        <f t="shared" si="34"/>
        <v>0.05</v>
      </c>
      <c r="F213" s="634"/>
      <c r="G213" s="21">
        <f t="shared" si="35"/>
        <v>1</v>
      </c>
      <c r="H213" s="634"/>
      <c r="I213" s="21">
        <f t="shared" si="36"/>
        <v>1</v>
      </c>
      <c r="J213" s="634"/>
      <c r="K213" s="21">
        <f t="shared" si="37"/>
        <v>1</v>
      </c>
      <c r="L213" s="634"/>
      <c r="M213" s="21">
        <f t="shared" si="38"/>
        <v>1</v>
      </c>
      <c r="N213" s="634"/>
      <c r="O213" s="21">
        <f t="shared" si="39"/>
        <v>1</v>
      </c>
      <c r="P213" s="634"/>
      <c r="Q213" s="21">
        <f t="shared" si="40"/>
        <v>0</v>
      </c>
      <c r="R213" s="21">
        <f t="shared" si="41"/>
        <v>0</v>
      </c>
      <c r="S213" s="307">
        <f t="shared" si="42"/>
        <v>0</v>
      </c>
    </row>
    <row r="214" spans="1:19">
      <c r="A214" s="142"/>
      <c r="B214" s="52"/>
      <c r="C214" s="21">
        <f t="shared" si="33"/>
        <v>1</v>
      </c>
      <c r="D214" s="634"/>
      <c r="E214" s="21">
        <f t="shared" si="34"/>
        <v>0.05</v>
      </c>
      <c r="F214" s="634"/>
      <c r="G214" s="21">
        <f t="shared" si="35"/>
        <v>1</v>
      </c>
      <c r="H214" s="634"/>
      <c r="I214" s="21">
        <f t="shared" si="36"/>
        <v>1</v>
      </c>
      <c r="J214" s="634"/>
      <c r="K214" s="21">
        <f t="shared" si="37"/>
        <v>1</v>
      </c>
      <c r="L214" s="634"/>
      <c r="M214" s="21">
        <f t="shared" si="38"/>
        <v>1</v>
      </c>
      <c r="N214" s="634"/>
      <c r="O214" s="21">
        <f t="shared" si="39"/>
        <v>1</v>
      </c>
      <c r="P214" s="634"/>
      <c r="Q214" s="21">
        <f t="shared" si="40"/>
        <v>0</v>
      </c>
      <c r="R214" s="21">
        <f t="shared" si="41"/>
        <v>0</v>
      </c>
      <c r="S214" s="307">
        <f t="shared" si="42"/>
        <v>0</v>
      </c>
    </row>
    <row r="215" spans="1:19">
      <c r="A215" s="142"/>
      <c r="B215" s="52"/>
      <c r="C215" s="21">
        <f t="shared" si="33"/>
        <v>1</v>
      </c>
      <c r="D215" s="634"/>
      <c r="E215" s="21">
        <f t="shared" si="34"/>
        <v>0.05</v>
      </c>
      <c r="F215" s="634"/>
      <c r="G215" s="21">
        <f t="shared" si="35"/>
        <v>1</v>
      </c>
      <c r="H215" s="634"/>
      <c r="I215" s="21">
        <f t="shared" si="36"/>
        <v>1</v>
      </c>
      <c r="J215" s="634"/>
      <c r="K215" s="21">
        <f t="shared" si="37"/>
        <v>1</v>
      </c>
      <c r="L215" s="634"/>
      <c r="M215" s="21">
        <f t="shared" si="38"/>
        <v>1</v>
      </c>
      <c r="N215" s="634"/>
      <c r="O215" s="21">
        <f t="shared" si="39"/>
        <v>1</v>
      </c>
      <c r="P215" s="634"/>
      <c r="Q215" s="21">
        <f t="shared" si="40"/>
        <v>0</v>
      </c>
      <c r="R215" s="21">
        <f t="shared" si="41"/>
        <v>0</v>
      </c>
      <c r="S215" s="307">
        <f t="shared" si="42"/>
        <v>0</v>
      </c>
    </row>
    <row r="216" spans="1:19">
      <c r="A216" s="142"/>
      <c r="B216" s="52"/>
      <c r="C216" s="21">
        <f t="shared" si="33"/>
        <v>1</v>
      </c>
      <c r="D216" s="634"/>
      <c r="E216" s="21">
        <f t="shared" si="34"/>
        <v>0.05</v>
      </c>
      <c r="F216" s="634"/>
      <c r="G216" s="21">
        <f t="shared" si="35"/>
        <v>1</v>
      </c>
      <c r="H216" s="634"/>
      <c r="I216" s="21">
        <f t="shared" si="36"/>
        <v>1</v>
      </c>
      <c r="J216" s="634"/>
      <c r="K216" s="21">
        <f t="shared" si="37"/>
        <v>1</v>
      </c>
      <c r="L216" s="634"/>
      <c r="M216" s="21">
        <f t="shared" si="38"/>
        <v>1</v>
      </c>
      <c r="N216" s="634"/>
      <c r="O216" s="21">
        <f t="shared" si="39"/>
        <v>1</v>
      </c>
      <c r="P216" s="634"/>
      <c r="Q216" s="21">
        <f t="shared" si="40"/>
        <v>0</v>
      </c>
      <c r="R216" s="21">
        <f t="shared" si="41"/>
        <v>0</v>
      </c>
      <c r="S216" s="307">
        <f t="shared" si="42"/>
        <v>0</v>
      </c>
    </row>
    <row r="217" spans="1:19">
      <c r="A217" s="142"/>
      <c r="B217" s="52"/>
      <c r="C217" s="21">
        <f t="shared" si="33"/>
        <v>1</v>
      </c>
      <c r="D217" s="634"/>
      <c r="E217" s="21">
        <f t="shared" si="34"/>
        <v>0.05</v>
      </c>
      <c r="F217" s="634"/>
      <c r="G217" s="21">
        <f t="shared" si="35"/>
        <v>1</v>
      </c>
      <c r="H217" s="634"/>
      <c r="I217" s="21">
        <f t="shared" si="36"/>
        <v>1</v>
      </c>
      <c r="J217" s="634"/>
      <c r="K217" s="21">
        <f t="shared" si="37"/>
        <v>1</v>
      </c>
      <c r="L217" s="634"/>
      <c r="M217" s="21">
        <f t="shared" si="38"/>
        <v>1</v>
      </c>
      <c r="N217" s="634"/>
      <c r="O217" s="21">
        <f t="shared" si="39"/>
        <v>1</v>
      </c>
      <c r="P217" s="634"/>
      <c r="Q217" s="21">
        <f t="shared" si="40"/>
        <v>0</v>
      </c>
      <c r="R217" s="21">
        <f t="shared" si="41"/>
        <v>0</v>
      </c>
      <c r="S217" s="307">
        <f t="shared" si="42"/>
        <v>0</v>
      </c>
    </row>
    <row r="218" spans="1:19">
      <c r="A218" s="142"/>
      <c r="B218" s="52"/>
      <c r="C218" s="21">
        <f t="shared" ref="C218:C281" si="43">IF(B218="",1,(LOOKUP(B218,$3:$3,$4:$4)-LOOKUP($B$24,$3:$3,$4:$4)+100)/100)</f>
        <v>1</v>
      </c>
      <c r="D218" s="634"/>
      <c r="E218" s="21">
        <f t="shared" ref="E218:E281" si="44">(SUMIF($5:$5,D218,$6:$6)-SUMIF($5:$5,$D$24,$6:$6)+100)/100</f>
        <v>0.05</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0</v>
      </c>
      <c r="R218" s="21">
        <f t="shared" ref="R218:R281" si="51">IF(B218="",0,ROUND($R$24*C218*E218*G218*I218*K218*M218*O218*Q218,0))</f>
        <v>0</v>
      </c>
      <c r="S218" s="307">
        <f t="shared" si="42"/>
        <v>0</v>
      </c>
    </row>
    <row r="219" spans="1:19">
      <c r="A219" s="142"/>
      <c r="B219" s="52"/>
      <c r="C219" s="21">
        <f t="shared" si="43"/>
        <v>1</v>
      </c>
      <c r="D219" s="634"/>
      <c r="E219" s="21">
        <f t="shared" si="44"/>
        <v>0.05</v>
      </c>
      <c r="F219" s="634"/>
      <c r="G219" s="21">
        <f t="shared" si="45"/>
        <v>1</v>
      </c>
      <c r="H219" s="634"/>
      <c r="I219" s="21">
        <f t="shared" si="46"/>
        <v>1</v>
      </c>
      <c r="J219" s="634"/>
      <c r="K219" s="21">
        <f t="shared" si="47"/>
        <v>1</v>
      </c>
      <c r="L219" s="634"/>
      <c r="M219" s="21">
        <f t="shared" si="48"/>
        <v>1</v>
      </c>
      <c r="N219" s="634"/>
      <c r="O219" s="21">
        <f t="shared" si="49"/>
        <v>1</v>
      </c>
      <c r="P219" s="634"/>
      <c r="Q219" s="21">
        <f t="shared" si="50"/>
        <v>0</v>
      </c>
      <c r="R219" s="21">
        <f t="shared" si="51"/>
        <v>0</v>
      </c>
      <c r="S219" s="307">
        <f t="shared" si="42"/>
        <v>0</v>
      </c>
    </row>
    <row r="220" spans="1:19">
      <c r="A220" s="142"/>
      <c r="B220" s="52"/>
      <c r="C220" s="21">
        <f t="shared" si="43"/>
        <v>1</v>
      </c>
      <c r="D220" s="634"/>
      <c r="E220" s="21">
        <f t="shared" si="44"/>
        <v>0.05</v>
      </c>
      <c r="F220" s="634"/>
      <c r="G220" s="21">
        <f t="shared" si="45"/>
        <v>1</v>
      </c>
      <c r="H220" s="634"/>
      <c r="I220" s="21">
        <f t="shared" si="46"/>
        <v>1</v>
      </c>
      <c r="J220" s="634"/>
      <c r="K220" s="21">
        <f t="shared" si="47"/>
        <v>1</v>
      </c>
      <c r="L220" s="634"/>
      <c r="M220" s="21">
        <f t="shared" si="48"/>
        <v>1</v>
      </c>
      <c r="N220" s="634"/>
      <c r="O220" s="21">
        <f t="shared" si="49"/>
        <v>1</v>
      </c>
      <c r="P220" s="634"/>
      <c r="Q220" s="21">
        <f t="shared" si="50"/>
        <v>0</v>
      </c>
      <c r="R220" s="21">
        <f t="shared" si="51"/>
        <v>0</v>
      </c>
      <c r="S220" s="307">
        <f t="shared" si="42"/>
        <v>0</v>
      </c>
    </row>
    <row r="221" spans="1:19">
      <c r="A221" s="142"/>
      <c r="B221" s="52"/>
      <c r="C221" s="21">
        <f t="shared" si="43"/>
        <v>1</v>
      </c>
      <c r="D221" s="634"/>
      <c r="E221" s="21">
        <f t="shared" si="44"/>
        <v>0.05</v>
      </c>
      <c r="F221" s="634"/>
      <c r="G221" s="21">
        <f t="shared" si="45"/>
        <v>1</v>
      </c>
      <c r="H221" s="634"/>
      <c r="I221" s="21">
        <f t="shared" si="46"/>
        <v>1</v>
      </c>
      <c r="J221" s="634"/>
      <c r="K221" s="21">
        <f t="shared" si="47"/>
        <v>1</v>
      </c>
      <c r="L221" s="634"/>
      <c r="M221" s="21">
        <f t="shared" si="48"/>
        <v>1</v>
      </c>
      <c r="N221" s="634"/>
      <c r="O221" s="21">
        <f t="shared" si="49"/>
        <v>1</v>
      </c>
      <c r="P221" s="634"/>
      <c r="Q221" s="21">
        <f t="shared" si="50"/>
        <v>0</v>
      </c>
      <c r="R221" s="21">
        <f t="shared" si="51"/>
        <v>0</v>
      </c>
      <c r="S221" s="307">
        <f t="shared" si="42"/>
        <v>0</v>
      </c>
    </row>
    <row r="222" spans="1:19">
      <c r="A222" s="142"/>
      <c r="B222" s="52"/>
      <c r="C222" s="21">
        <f t="shared" si="43"/>
        <v>1</v>
      </c>
      <c r="D222" s="634"/>
      <c r="E222" s="21">
        <f t="shared" si="44"/>
        <v>0.05</v>
      </c>
      <c r="F222" s="634"/>
      <c r="G222" s="21">
        <f t="shared" si="45"/>
        <v>1</v>
      </c>
      <c r="H222" s="634"/>
      <c r="I222" s="21">
        <f t="shared" si="46"/>
        <v>1</v>
      </c>
      <c r="J222" s="634"/>
      <c r="K222" s="21">
        <f t="shared" si="47"/>
        <v>1</v>
      </c>
      <c r="L222" s="634"/>
      <c r="M222" s="21">
        <f t="shared" si="48"/>
        <v>1</v>
      </c>
      <c r="N222" s="634"/>
      <c r="O222" s="21">
        <f t="shared" si="49"/>
        <v>1</v>
      </c>
      <c r="P222" s="634"/>
      <c r="Q222" s="21">
        <f t="shared" si="50"/>
        <v>0</v>
      </c>
      <c r="R222" s="21">
        <f t="shared" si="51"/>
        <v>0</v>
      </c>
      <c r="S222" s="307">
        <f t="shared" si="42"/>
        <v>0</v>
      </c>
    </row>
    <row r="223" spans="1:19">
      <c r="A223" s="142"/>
      <c r="B223" s="52"/>
      <c r="C223" s="21">
        <f t="shared" si="43"/>
        <v>1</v>
      </c>
      <c r="D223" s="634"/>
      <c r="E223" s="21">
        <f t="shared" si="44"/>
        <v>0.05</v>
      </c>
      <c r="F223" s="634"/>
      <c r="G223" s="21">
        <f t="shared" si="45"/>
        <v>1</v>
      </c>
      <c r="H223" s="634"/>
      <c r="I223" s="21">
        <f t="shared" si="46"/>
        <v>1</v>
      </c>
      <c r="J223" s="634"/>
      <c r="K223" s="21">
        <f t="shared" si="47"/>
        <v>1</v>
      </c>
      <c r="L223" s="634"/>
      <c r="M223" s="21">
        <f t="shared" si="48"/>
        <v>1</v>
      </c>
      <c r="N223" s="634"/>
      <c r="O223" s="21">
        <f t="shared" si="49"/>
        <v>1</v>
      </c>
      <c r="P223" s="634"/>
      <c r="Q223" s="21">
        <f t="shared" si="50"/>
        <v>0</v>
      </c>
      <c r="R223" s="21">
        <f t="shared" si="51"/>
        <v>0</v>
      </c>
      <c r="S223" s="307">
        <f t="shared" ref="S223:S286" si="52">ROUND(R223*B223/10000,0)</f>
        <v>0</v>
      </c>
    </row>
    <row r="224" spans="1:19">
      <c r="A224" s="142"/>
      <c r="B224" s="52"/>
      <c r="C224" s="21">
        <f t="shared" si="43"/>
        <v>1</v>
      </c>
      <c r="D224" s="634"/>
      <c r="E224" s="21">
        <f t="shared" si="44"/>
        <v>0.05</v>
      </c>
      <c r="F224" s="634"/>
      <c r="G224" s="21">
        <f t="shared" si="45"/>
        <v>1</v>
      </c>
      <c r="H224" s="634"/>
      <c r="I224" s="21">
        <f t="shared" si="46"/>
        <v>1</v>
      </c>
      <c r="J224" s="634"/>
      <c r="K224" s="21">
        <f t="shared" si="47"/>
        <v>1</v>
      </c>
      <c r="L224" s="634"/>
      <c r="M224" s="21">
        <f t="shared" si="48"/>
        <v>1</v>
      </c>
      <c r="N224" s="634"/>
      <c r="O224" s="21">
        <f t="shared" si="49"/>
        <v>1</v>
      </c>
      <c r="P224" s="634"/>
      <c r="Q224" s="21">
        <f t="shared" si="50"/>
        <v>0</v>
      </c>
      <c r="R224" s="21">
        <f t="shared" si="51"/>
        <v>0</v>
      </c>
      <c r="S224" s="307">
        <f t="shared" si="52"/>
        <v>0</v>
      </c>
    </row>
    <row r="225" spans="1:19">
      <c r="A225" s="142"/>
      <c r="B225" s="52"/>
      <c r="C225" s="21">
        <f t="shared" si="43"/>
        <v>1</v>
      </c>
      <c r="D225" s="634"/>
      <c r="E225" s="21">
        <f t="shared" si="44"/>
        <v>0.05</v>
      </c>
      <c r="F225" s="634"/>
      <c r="G225" s="21">
        <f t="shared" si="45"/>
        <v>1</v>
      </c>
      <c r="H225" s="634"/>
      <c r="I225" s="21">
        <f t="shared" si="46"/>
        <v>1</v>
      </c>
      <c r="J225" s="634"/>
      <c r="K225" s="21">
        <f t="shared" si="47"/>
        <v>1</v>
      </c>
      <c r="L225" s="634"/>
      <c r="M225" s="21">
        <f t="shared" si="48"/>
        <v>1</v>
      </c>
      <c r="N225" s="634"/>
      <c r="O225" s="21">
        <f t="shared" si="49"/>
        <v>1</v>
      </c>
      <c r="P225" s="634"/>
      <c r="Q225" s="21">
        <f t="shared" si="50"/>
        <v>0</v>
      </c>
      <c r="R225" s="21">
        <f t="shared" si="51"/>
        <v>0</v>
      </c>
      <c r="S225" s="307">
        <f t="shared" si="52"/>
        <v>0</v>
      </c>
    </row>
    <row r="226" spans="1:19">
      <c r="A226" s="142"/>
      <c r="B226" s="52"/>
      <c r="C226" s="21">
        <f t="shared" si="43"/>
        <v>1</v>
      </c>
      <c r="D226" s="634"/>
      <c r="E226" s="21">
        <f t="shared" si="44"/>
        <v>0.05</v>
      </c>
      <c r="F226" s="634"/>
      <c r="G226" s="21">
        <f t="shared" si="45"/>
        <v>1</v>
      </c>
      <c r="H226" s="634"/>
      <c r="I226" s="21">
        <f t="shared" si="46"/>
        <v>1</v>
      </c>
      <c r="J226" s="634"/>
      <c r="K226" s="21">
        <f t="shared" si="47"/>
        <v>1</v>
      </c>
      <c r="L226" s="634"/>
      <c r="M226" s="21">
        <f t="shared" si="48"/>
        <v>1</v>
      </c>
      <c r="N226" s="634"/>
      <c r="O226" s="21">
        <f t="shared" si="49"/>
        <v>1</v>
      </c>
      <c r="P226" s="634"/>
      <c r="Q226" s="21">
        <f t="shared" si="50"/>
        <v>0</v>
      </c>
      <c r="R226" s="21">
        <f t="shared" si="51"/>
        <v>0</v>
      </c>
      <c r="S226" s="307">
        <f t="shared" si="52"/>
        <v>0</v>
      </c>
    </row>
    <row r="227" spans="1:19">
      <c r="A227" s="142"/>
      <c r="B227" s="52"/>
      <c r="C227" s="21">
        <f t="shared" si="43"/>
        <v>1</v>
      </c>
      <c r="D227" s="634"/>
      <c r="E227" s="21">
        <f t="shared" si="44"/>
        <v>0.05</v>
      </c>
      <c r="F227" s="634"/>
      <c r="G227" s="21">
        <f t="shared" si="45"/>
        <v>1</v>
      </c>
      <c r="H227" s="634"/>
      <c r="I227" s="21">
        <f t="shared" si="46"/>
        <v>1</v>
      </c>
      <c r="J227" s="634"/>
      <c r="K227" s="21">
        <f t="shared" si="47"/>
        <v>1</v>
      </c>
      <c r="L227" s="634"/>
      <c r="M227" s="21">
        <f t="shared" si="48"/>
        <v>1</v>
      </c>
      <c r="N227" s="634"/>
      <c r="O227" s="21">
        <f t="shared" si="49"/>
        <v>1</v>
      </c>
      <c r="P227" s="634"/>
      <c r="Q227" s="21">
        <f t="shared" si="50"/>
        <v>0</v>
      </c>
      <c r="R227" s="21">
        <f t="shared" si="51"/>
        <v>0</v>
      </c>
      <c r="S227" s="307">
        <f t="shared" si="52"/>
        <v>0</v>
      </c>
    </row>
    <row r="228" spans="1:19">
      <c r="A228" s="142"/>
      <c r="B228" s="52"/>
      <c r="C228" s="21">
        <f t="shared" si="43"/>
        <v>1</v>
      </c>
      <c r="D228" s="634"/>
      <c r="E228" s="21">
        <f t="shared" si="44"/>
        <v>0.05</v>
      </c>
      <c r="F228" s="634"/>
      <c r="G228" s="21">
        <f t="shared" si="45"/>
        <v>1</v>
      </c>
      <c r="H228" s="634"/>
      <c r="I228" s="21">
        <f t="shared" si="46"/>
        <v>1</v>
      </c>
      <c r="J228" s="634"/>
      <c r="K228" s="21">
        <f t="shared" si="47"/>
        <v>1</v>
      </c>
      <c r="L228" s="634"/>
      <c r="M228" s="21">
        <f t="shared" si="48"/>
        <v>1</v>
      </c>
      <c r="N228" s="634"/>
      <c r="O228" s="21">
        <f t="shared" si="49"/>
        <v>1</v>
      </c>
      <c r="P228" s="634"/>
      <c r="Q228" s="21">
        <f t="shared" si="50"/>
        <v>0</v>
      </c>
      <c r="R228" s="21">
        <f t="shared" si="51"/>
        <v>0</v>
      </c>
      <c r="S228" s="307">
        <f t="shared" si="52"/>
        <v>0</v>
      </c>
    </row>
    <row r="229" spans="1:19">
      <c r="A229" s="142"/>
      <c r="B229" s="52"/>
      <c r="C229" s="21">
        <f t="shared" si="43"/>
        <v>1</v>
      </c>
      <c r="D229" s="634"/>
      <c r="E229" s="21">
        <f t="shared" si="44"/>
        <v>0.05</v>
      </c>
      <c r="F229" s="634"/>
      <c r="G229" s="21">
        <f t="shared" si="45"/>
        <v>1</v>
      </c>
      <c r="H229" s="634"/>
      <c r="I229" s="21">
        <f t="shared" si="46"/>
        <v>1</v>
      </c>
      <c r="J229" s="634"/>
      <c r="K229" s="21">
        <f t="shared" si="47"/>
        <v>1</v>
      </c>
      <c r="L229" s="634"/>
      <c r="M229" s="21">
        <f t="shared" si="48"/>
        <v>1</v>
      </c>
      <c r="N229" s="634"/>
      <c r="O229" s="21">
        <f t="shared" si="49"/>
        <v>1</v>
      </c>
      <c r="P229" s="634"/>
      <c r="Q229" s="21">
        <f t="shared" si="50"/>
        <v>0</v>
      </c>
      <c r="R229" s="21">
        <f t="shared" si="51"/>
        <v>0</v>
      </c>
      <c r="S229" s="307">
        <f t="shared" si="52"/>
        <v>0</v>
      </c>
    </row>
    <row r="230" spans="1:19">
      <c r="A230" s="142"/>
      <c r="B230" s="52"/>
      <c r="C230" s="21">
        <f t="shared" si="43"/>
        <v>1</v>
      </c>
      <c r="D230" s="634"/>
      <c r="E230" s="21">
        <f t="shared" si="44"/>
        <v>0.05</v>
      </c>
      <c r="F230" s="634"/>
      <c r="G230" s="21">
        <f t="shared" si="45"/>
        <v>1</v>
      </c>
      <c r="H230" s="634"/>
      <c r="I230" s="21">
        <f t="shared" si="46"/>
        <v>1</v>
      </c>
      <c r="J230" s="634"/>
      <c r="K230" s="21">
        <f t="shared" si="47"/>
        <v>1</v>
      </c>
      <c r="L230" s="634"/>
      <c r="M230" s="21">
        <f t="shared" si="48"/>
        <v>1</v>
      </c>
      <c r="N230" s="634"/>
      <c r="O230" s="21">
        <f t="shared" si="49"/>
        <v>1</v>
      </c>
      <c r="P230" s="634"/>
      <c r="Q230" s="21">
        <f t="shared" si="50"/>
        <v>0</v>
      </c>
      <c r="R230" s="21">
        <f t="shared" si="51"/>
        <v>0</v>
      </c>
      <c r="S230" s="307">
        <f t="shared" si="52"/>
        <v>0</v>
      </c>
    </row>
    <row r="231" spans="1:19">
      <c r="A231" s="142"/>
      <c r="B231" s="52"/>
      <c r="C231" s="21">
        <f t="shared" si="43"/>
        <v>1</v>
      </c>
      <c r="D231" s="634"/>
      <c r="E231" s="21">
        <f t="shared" si="44"/>
        <v>0.05</v>
      </c>
      <c r="F231" s="634"/>
      <c r="G231" s="21">
        <f t="shared" si="45"/>
        <v>1</v>
      </c>
      <c r="H231" s="634"/>
      <c r="I231" s="21">
        <f t="shared" si="46"/>
        <v>1</v>
      </c>
      <c r="J231" s="634"/>
      <c r="K231" s="21">
        <f t="shared" si="47"/>
        <v>1</v>
      </c>
      <c r="L231" s="634"/>
      <c r="M231" s="21">
        <f t="shared" si="48"/>
        <v>1</v>
      </c>
      <c r="N231" s="634"/>
      <c r="O231" s="21">
        <f t="shared" si="49"/>
        <v>1</v>
      </c>
      <c r="P231" s="634"/>
      <c r="Q231" s="21">
        <f t="shared" si="50"/>
        <v>0</v>
      </c>
      <c r="R231" s="21">
        <f t="shared" si="51"/>
        <v>0</v>
      </c>
      <c r="S231" s="307">
        <f t="shared" si="52"/>
        <v>0</v>
      </c>
    </row>
    <row r="232" spans="1:19">
      <c r="A232" s="142"/>
      <c r="B232" s="52"/>
      <c r="C232" s="21">
        <f t="shared" si="43"/>
        <v>1</v>
      </c>
      <c r="D232" s="634"/>
      <c r="E232" s="21">
        <f t="shared" si="44"/>
        <v>0.05</v>
      </c>
      <c r="F232" s="634"/>
      <c r="G232" s="21">
        <f t="shared" si="45"/>
        <v>1</v>
      </c>
      <c r="H232" s="634"/>
      <c r="I232" s="21">
        <f t="shared" si="46"/>
        <v>1</v>
      </c>
      <c r="J232" s="634"/>
      <c r="K232" s="21">
        <f t="shared" si="47"/>
        <v>1</v>
      </c>
      <c r="L232" s="634"/>
      <c r="M232" s="21">
        <f t="shared" si="48"/>
        <v>1</v>
      </c>
      <c r="N232" s="634"/>
      <c r="O232" s="21">
        <f t="shared" si="49"/>
        <v>1</v>
      </c>
      <c r="P232" s="634"/>
      <c r="Q232" s="21">
        <f t="shared" si="50"/>
        <v>0</v>
      </c>
      <c r="R232" s="21">
        <f t="shared" si="51"/>
        <v>0</v>
      </c>
      <c r="S232" s="307">
        <f t="shared" si="52"/>
        <v>0</v>
      </c>
    </row>
    <row r="233" spans="1:19">
      <c r="A233" s="142"/>
      <c r="B233" s="52"/>
      <c r="C233" s="21">
        <f t="shared" si="43"/>
        <v>1</v>
      </c>
      <c r="D233" s="634"/>
      <c r="E233" s="21">
        <f t="shared" si="44"/>
        <v>0.05</v>
      </c>
      <c r="F233" s="634"/>
      <c r="G233" s="21">
        <f t="shared" si="45"/>
        <v>1</v>
      </c>
      <c r="H233" s="634"/>
      <c r="I233" s="21">
        <f t="shared" si="46"/>
        <v>1</v>
      </c>
      <c r="J233" s="634"/>
      <c r="K233" s="21">
        <f t="shared" si="47"/>
        <v>1</v>
      </c>
      <c r="L233" s="634"/>
      <c r="M233" s="21">
        <f t="shared" si="48"/>
        <v>1</v>
      </c>
      <c r="N233" s="634"/>
      <c r="O233" s="21">
        <f t="shared" si="49"/>
        <v>1</v>
      </c>
      <c r="P233" s="634"/>
      <c r="Q233" s="21">
        <f t="shared" si="50"/>
        <v>0</v>
      </c>
      <c r="R233" s="21">
        <f t="shared" si="51"/>
        <v>0</v>
      </c>
      <c r="S233" s="307">
        <f t="shared" si="52"/>
        <v>0</v>
      </c>
    </row>
    <row r="234" spans="1:19">
      <c r="A234" s="142"/>
      <c r="B234" s="52"/>
      <c r="C234" s="21">
        <f t="shared" si="43"/>
        <v>1</v>
      </c>
      <c r="D234" s="634"/>
      <c r="E234" s="21">
        <f t="shared" si="44"/>
        <v>0.05</v>
      </c>
      <c r="F234" s="634"/>
      <c r="G234" s="21">
        <f t="shared" si="45"/>
        <v>1</v>
      </c>
      <c r="H234" s="634"/>
      <c r="I234" s="21">
        <f t="shared" si="46"/>
        <v>1</v>
      </c>
      <c r="J234" s="634"/>
      <c r="K234" s="21">
        <f t="shared" si="47"/>
        <v>1</v>
      </c>
      <c r="L234" s="634"/>
      <c r="M234" s="21">
        <f t="shared" si="48"/>
        <v>1</v>
      </c>
      <c r="N234" s="634"/>
      <c r="O234" s="21">
        <f t="shared" si="49"/>
        <v>1</v>
      </c>
      <c r="P234" s="634"/>
      <c r="Q234" s="21">
        <f t="shared" si="50"/>
        <v>0</v>
      </c>
      <c r="R234" s="21">
        <f t="shared" si="51"/>
        <v>0</v>
      </c>
      <c r="S234" s="307">
        <f t="shared" si="52"/>
        <v>0</v>
      </c>
    </row>
    <row r="235" spans="1:19">
      <c r="A235" s="142"/>
      <c r="B235" s="52"/>
      <c r="C235" s="21">
        <f t="shared" si="43"/>
        <v>1</v>
      </c>
      <c r="D235" s="634"/>
      <c r="E235" s="21">
        <f t="shared" si="44"/>
        <v>0.05</v>
      </c>
      <c r="F235" s="634"/>
      <c r="G235" s="21">
        <f t="shared" si="45"/>
        <v>1</v>
      </c>
      <c r="H235" s="634"/>
      <c r="I235" s="21">
        <f t="shared" si="46"/>
        <v>1</v>
      </c>
      <c r="J235" s="634"/>
      <c r="K235" s="21">
        <f t="shared" si="47"/>
        <v>1</v>
      </c>
      <c r="L235" s="634"/>
      <c r="M235" s="21">
        <f t="shared" si="48"/>
        <v>1</v>
      </c>
      <c r="N235" s="634"/>
      <c r="O235" s="21">
        <f t="shared" si="49"/>
        <v>1</v>
      </c>
      <c r="P235" s="634"/>
      <c r="Q235" s="21">
        <f t="shared" si="50"/>
        <v>0</v>
      </c>
      <c r="R235" s="21">
        <f t="shared" si="51"/>
        <v>0</v>
      </c>
      <c r="S235" s="307">
        <f t="shared" si="52"/>
        <v>0</v>
      </c>
    </row>
    <row r="236" spans="1:19">
      <c r="A236" s="142"/>
      <c r="B236" s="52"/>
      <c r="C236" s="21">
        <f t="shared" si="43"/>
        <v>1</v>
      </c>
      <c r="D236" s="634"/>
      <c r="E236" s="21">
        <f t="shared" si="44"/>
        <v>0.05</v>
      </c>
      <c r="F236" s="634"/>
      <c r="G236" s="21">
        <f t="shared" si="45"/>
        <v>1</v>
      </c>
      <c r="H236" s="634"/>
      <c r="I236" s="21">
        <f t="shared" si="46"/>
        <v>1</v>
      </c>
      <c r="J236" s="634"/>
      <c r="K236" s="21">
        <f t="shared" si="47"/>
        <v>1</v>
      </c>
      <c r="L236" s="634"/>
      <c r="M236" s="21">
        <f t="shared" si="48"/>
        <v>1</v>
      </c>
      <c r="N236" s="634"/>
      <c r="O236" s="21">
        <f t="shared" si="49"/>
        <v>1</v>
      </c>
      <c r="P236" s="634"/>
      <c r="Q236" s="21">
        <f t="shared" si="50"/>
        <v>0</v>
      </c>
      <c r="R236" s="21">
        <f t="shared" si="51"/>
        <v>0</v>
      </c>
      <c r="S236" s="307">
        <f t="shared" si="52"/>
        <v>0</v>
      </c>
    </row>
    <row r="237" spans="1:19">
      <c r="A237" s="142"/>
      <c r="B237" s="52"/>
      <c r="C237" s="21">
        <f t="shared" si="43"/>
        <v>1</v>
      </c>
      <c r="D237" s="634"/>
      <c r="E237" s="21">
        <f t="shared" si="44"/>
        <v>0.05</v>
      </c>
      <c r="F237" s="634"/>
      <c r="G237" s="21">
        <f t="shared" si="45"/>
        <v>1</v>
      </c>
      <c r="H237" s="634"/>
      <c r="I237" s="21">
        <f t="shared" si="46"/>
        <v>1</v>
      </c>
      <c r="J237" s="634"/>
      <c r="K237" s="21">
        <f t="shared" si="47"/>
        <v>1</v>
      </c>
      <c r="L237" s="634"/>
      <c r="M237" s="21">
        <f t="shared" si="48"/>
        <v>1</v>
      </c>
      <c r="N237" s="634"/>
      <c r="O237" s="21">
        <f t="shared" si="49"/>
        <v>1</v>
      </c>
      <c r="P237" s="634"/>
      <c r="Q237" s="21">
        <f t="shared" si="50"/>
        <v>0</v>
      </c>
      <c r="R237" s="21">
        <f t="shared" si="51"/>
        <v>0</v>
      </c>
      <c r="S237" s="307">
        <f t="shared" si="52"/>
        <v>0</v>
      </c>
    </row>
    <row r="238" spans="1:19">
      <c r="A238" s="142"/>
      <c r="B238" s="52"/>
      <c r="C238" s="21">
        <f t="shared" si="43"/>
        <v>1</v>
      </c>
      <c r="D238" s="634"/>
      <c r="E238" s="21">
        <f t="shared" si="44"/>
        <v>0.05</v>
      </c>
      <c r="F238" s="634"/>
      <c r="G238" s="21">
        <f t="shared" si="45"/>
        <v>1</v>
      </c>
      <c r="H238" s="634"/>
      <c r="I238" s="21">
        <f t="shared" si="46"/>
        <v>1</v>
      </c>
      <c r="J238" s="634"/>
      <c r="K238" s="21">
        <f t="shared" si="47"/>
        <v>1</v>
      </c>
      <c r="L238" s="634"/>
      <c r="M238" s="21">
        <f t="shared" si="48"/>
        <v>1</v>
      </c>
      <c r="N238" s="634"/>
      <c r="O238" s="21">
        <f t="shared" si="49"/>
        <v>1</v>
      </c>
      <c r="P238" s="634"/>
      <c r="Q238" s="21">
        <f t="shared" si="50"/>
        <v>0</v>
      </c>
      <c r="R238" s="21">
        <f t="shared" si="51"/>
        <v>0</v>
      </c>
      <c r="S238" s="307">
        <f t="shared" si="52"/>
        <v>0</v>
      </c>
    </row>
    <row r="239" spans="1:19">
      <c r="A239" s="142"/>
      <c r="B239" s="52"/>
      <c r="C239" s="21">
        <f t="shared" si="43"/>
        <v>1</v>
      </c>
      <c r="D239" s="634"/>
      <c r="E239" s="21">
        <f t="shared" si="44"/>
        <v>0.05</v>
      </c>
      <c r="F239" s="634"/>
      <c r="G239" s="21">
        <f t="shared" si="45"/>
        <v>1</v>
      </c>
      <c r="H239" s="634"/>
      <c r="I239" s="21">
        <f t="shared" si="46"/>
        <v>1</v>
      </c>
      <c r="J239" s="634"/>
      <c r="K239" s="21">
        <f t="shared" si="47"/>
        <v>1</v>
      </c>
      <c r="L239" s="634"/>
      <c r="M239" s="21">
        <f t="shared" si="48"/>
        <v>1</v>
      </c>
      <c r="N239" s="634"/>
      <c r="O239" s="21">
        <f t="shared" si="49"/>
        <v>1</v>
      </c>
      <c r="P239" s="634"/>
      <c r="Q239" s="21">
        <f t="shared" si="50"/>
        <v>0</v>
      </c>
      <c r="R239" s="21">
        <f t="shared" si="51"/>
        <v>0</v>
      </c>
      <c r="S239" s="307">
        <f t="shared" si="52"/>
        <v>0</v>
      </c>
    </row>
    <row r="240" spans="1:19">
      <c r="A240" s="142"/>
      <c r="B240" s="52"/>
      <c r="C240" s="21">
        <f t="shared" si="43"/>
        <v>1</v>
      </c>
      <c r="D240" s="634"/>
      <c r="E240" s="21">
        <f t="shared" si="44"/>
        <v>0.05</v>
      </c>
      <c r="F240" s="634"/>
      <c r="G240" s="21">
        <f t="shared" si="45"/>
        <v>1</v>
      </c>
      <c r="H240" s="634"/>
      <c r="I240" s="21">
        <f t="shared" si="46"/>
        <v>1</v>
      </c>
      <c r="J240" s="634"/>
      <c r="K240" s="21">
        <f t="shared" si="47"/>
        <v>1</v>
      </c>
      <c r="L240" s="634"/>
      <c r="M240" s="21">
        <f t="shared" si="48"/>
        <v>1</v>
      </c>
      <c r="N240" s="634"/>
      <c r="O240" s="21">
        <f t="shared" si="49"/>
        <v>1</v>
      </c>
      <c r="P240" s="634"/>
      <c r="Q240" s="21">
        <f t="shared" si="50"/>
        <v>0</v>
      </c>
      <c r="R240" s="21">
        <f t="shared" si="51"/>
        <v>0</v>
      </c>
      <c r="S240" s="307">
        <f t="shared" si="52"/>
        <v>0</v>
      </c>
    </row>
    <row r="241" spans="1:19">
      <c r="A241" s="142"/>
      <c r="B241" s="52"/>
      <c r="C241" s="21">
        <f t="shared" si="43"/>
        <v>1</v>
      </c>
      <c r="D241" s="634"/>
      <c r="E241" s="21">
        <f t="shared" si="44"/>
        <v>0.05</v>
      </c>
      <c r="F241" s="634"/>
      <c r="G241" s="21">
        <f t="shared" si="45"/>
        <v>1</v>
      </c>
      <c r="H241" s="634"/>
      <c r="I241" s="21">
        <f t="shared" si="46"/>
        <v>1</v>
      </c>
      <c r="J241" s="634"/>
      <c r="K241" s="21">
        <f t="shared" si="47"/>
        <v>1</v>
      </c>
      <c r="L241" s="634"/>
      <c r="M241" s="21">
        <f t="shared" si="48"/>
        <v>1</v>
      </c>
      <c r="N241" s="634"/>
      <c r="O241" s="21">
        <f t="shared" si="49"/>
        <v>1</v>
      </c>
      <c r="P241" s="634"/>
      <c r="Q241" s="21">
        <f t="shared" si="50"/>
        <v>0</v>
      </c>
      <c r="R241" s="21">
        <f t="shared" si="51"/>
        <v>0</v>
      </c>
      <c r="S241" s="307">
        <f t="shared" si="52"/>
        <v>0</v>
      </c>
    </row>
    <row r="242" spans="1:19">
      <c r="A242" s="142"/>
      <c r="B242" s="52"/>
      <c r="C242" s="21">
        <f t="shared" si="43"/>
        <v>1</v>
      </c>
      <c r="D242" s="634"/>
      <c r="E242" s="21">
        <f t="shared" si="44"/>
        <v>0.05</v>
      </c>
      <c r="F242" s="634"/>
      <c r="G242" s="21">
        <f t="shared" si="45"/>
        <v>1</v>
      </c>
      <c r="H242" s="634"/>
      <c r="I242" s="21">
        <f t="shared" si="46"/>
        <v>1</v>
      </c>
      <c r="J242" s="634"/>
      <c r="K242" s="21">
        <f t="shared" si="47"/>
        <v>1</v>
      </c>
      <c r="L242" s="634"/>
      <c r="M242" s="21">
        <f t="shared" si="48"/>
        <v>1</v>
      </c>
      <c r="N242" s="634"/>
      <c r="O242" s="21">
        <f t="shared" si="49"/>
        <v>1</v>
      </c>
      <c r="P242" s="634"/>
      <c r="Q242" s="21">
        <f t="shared" si="50"/>
        <v>0</v>
      </c>
      <c r="R242" s="21">
        <f t="shared" si="51"/>
        <v>0</v>
      </c>
      <c r="S242" s="307">
        <f t="shared" si="52"/>
        <v>0</v>
      </c>
    </row>
    <row r="243" spans="1:19">
      <c r="A243" s="142"/>
      <c r="B243" s="52"/>
      <c r="C243" s="21">
        <f t="shared" si="43"/>
        <v>1</v>
      </c>
      <c r="D243" s="634"/>
      <c r="E243" s="21">
        <f t="shared" si="44"/>
        <v>0.05</v>
      </c>
      <c r="F243" s="634"/>
      <c r="G243" s="21">
        <f t="shared" si="45"/>
        <v>1</v>
      </c>
      <c r="H243" s="634"/>
      <c r="I243" s="21">
        <f t="shared" si="46"/>
        <v>1</v>
      </c>
      <c r="J243" s="634"/>
      <c r="K243" s="21">
        <f t="shared" si="47"/>
        <v>1</v>
      </c>
      <c r="L243" s="634"/>
      <c r="M243" s="21">
        <f t="shared" si="48"/>
        <v>1</v>
      </c>
      <c r="N243" s="634"/>
      <c r="O243" s="21">
        <f t="shared" si="49"/>
        <v>1</v>
      </c>
      <c r="P243" s="634"/>
      <c r="Q243" s="21">
        <f t="shared" si="50"/>
        <v>0</v>
      </c>
      <c r="R243" s="21">
        <f t="shared" si="51"/>
        <v>0</v>
      </c>
      <c r="S243" s="307">
        <f t="shared" si="52"/>
        <v>0</v>
      </c>
    </row>
    <row r="244" spans="1:19">
      <c r="A244" s="142"/>
      <c r="B244" s="52"/>
      <c r="C244" s="21">
        <f t="shared" si="43"/>
        <v>1</v>
      </c>
      <c r="D244" s="634"/>
      <c r="E244" s="21">
        <f t="shared" si="44"/>
        <v>0.05</v>
      </c>
      <c r="F244" s="634"/>
      <c r="G244" s="21">
        <f t="shared" si="45"/>
        <v>1</v>
      </c>
      <c r="H244" s="634"/>
      <c r="I244" s="21">
        <f t="shared" si="46"/>
        <v>1</v>
      </c>
      <c r="J244" s="634"/>
      <c r="K244" s="21">
        <f t="shared" si="47"/>
        <v>1</v>
      </c>
      <c r="L244" s="634"/>
      <c r="M244" s="21">
        <f t="shared" si="48"/>
        <v>1</v>
      </c>
      <c r="N244" s="634"/>
      <c r="O244" s="21">
        <f t="shared" si="49"/>
        <v>1</v>
      </c>
      <c r="P244" s="634"/>
      <c r="Q244" s="21">
        <f t="shared" si="50"/>
        <v>0</v>
      </c>
      <c r="R244" s="21">
        <f t="shared" si="51"/>
        <v>0</v>
      </c>
      <c r="S244" s="307">
        <f t="shared" si="52"/>
        <v>0</v>
      </c>
    </row>
    <row r="245" spans="1:19">
      <c r="A245" s="142"/>
      <c r="B245" s="52"/>
      <c r="C245" s="21">
        <f t="shared" si="43"/>
        <v>1</v>
      </c>
      <c r="D245" s="634"/>
      <c r="E245" s="21">
        <f t="shared" si="44"/>
        <v>0.05</v>
      </c>
      <c r="F245" s="634"/>
      <c r="G245" s="21">
        <f t="shared" si="45"/>
        <v>1</v>
      </c>
      <c r="H245" s="634"/>
      <c r="I245" s="21">
        <f t="shared" si="46"/>
        <v>1</v>
      </c>
      <c r="J245" s="634"/>
      <c r="K245" s="21">
        <f t="shared" si="47"/>
        <v>1</v>
      </c>
      <c r="L245" s="634"/>
      <c r="M245" s="21">
        <f t="shared" si="48"/>
        <v>1</v>
      </c>
      <c r="N245" s="634"/>
      <c r="O245" s="21">
        <f t="shared" si="49"/>
        <v>1</v>
      </c>
      <c r="P245" s="634"/>
      <c r="Q245" s="21">
        <f t="shared" si="50"/>
        <v>0</v>
      </c>
      <c r="R245" s="21">
        <f t="shared" si="51"/>
        <v>0</v>
      </c>
      <c r="S245" s="307">
        <f t="shared" si="52"/>
        <v>0</v>
      </c>
    </row>
    <row r="246" spans="1:19">
      <c r="A246" s="142"/>
      <c r="B246" s="52"/>
      <c r="C246" s="21">
        <f t="shared" si="43"/>
        <v>1</v>
      </c>
      <c r="D246" s="634"/>
      <c r="E246" s="21">
        <f t="shared" si="44"/>
        <v>0.05</v>
      </c>
      <c r="F246" s="634"/>
      <c r="G246" s="21">
        <f t="shared" si="45"/>
        <v>1</v>
      </c>
      <c r="H246" s="634"/>
      <c r="I246" s="21">
        <f t="shared" si="46"/>
        <v>1</v>
      </c>
      <c r="J246" s="634"/>
      <c r="K246" s="21">
        <f t="shared" si="47"/>
        <v>1</v>
      </c>
      <c r="L246" s="634"/>
      <c r="M246" s="21">
        <f t="shared" si="48"/>
        <v>1</v>
      </c>
      <c r="N246" s="634"/>
      <c r="O246" s="21">
        <f t="shared" si="49"/>
        <v>1</v>
      </c>
      <c r="P246" s="634"/>
      <c r="Q246" s="21">
        <f t="shared" si="50"/>
        <v>0</v>
      </c>
      <c r="R246" s="21">
        <f t="shared" si="51"/>
        <v>0</v>
      </c>
      <c r="S246" s="307">
        <f t="shared" si="52"/>
        <v>0</v>
      </c>
    </row>
    <row r="247" spans="1:19">
      <c r="A247" s="142"/>
      <c r="B247" s="52"/>
      <c r="C247" s="21">
        <f t="shared" si="43"/>
        <v>1</v>
      </c>
      <c r="D247" s="634"/>
      <c r="E247" s="21">
        <f t="shared" si="44"/>
        <v>0.05</v>
      </c>
      <c r="F247" s="634"/>
      <c r="G247" s="21">
        <f t="shared" si="45"/>
        <v>1</v>
      </c>
      <c r="H247" s="634"/>
      <c r="I247" s="21">
        <f t="shared" si="46"/>
        <v>1</v>
      </c>
      <c r="J247" s="634"/>
      <c r="K247" s="21">
        <f t="shared" si="47"/>
        <v>1</v>
      </c>
      <c r="L247" s="634"/>
      <c r="M247" s="21">
        <f t="shared" si="48"/>
        <v>1</v>
      </c>
      <c r="N247" s="634"/>
      <c r="O247" s="21">
        <f t="shared" si="49"/>
        <v>1</v>
      </c>
      <c r="P247" s="634"/>
      <c r="Q247" s="21">
        <f t="shared" si="50"/>
        <v>0</v>
      </c>
      <c r="R247" s="21">
        <f t="shared" si="51"/>
        <v>0</v>
      </c>
      <c r="S247" s="307">
        <f t="shared" si="52"/>
        <v>0</v>
      </c>
    </row>
    <row r="248" spans="1:19">
      <c r="A248" s="142"/>
      <c r="B248" s="52"/>
      <c r="C248" s="21">
        <f t="shared" si="43"/>
        <v>1</v>
      </c>
      <c r="D248" s="634"/>
      <c r="E248" s="21">
        <f t="shared" si="44"/>
        <v>0.05</v>
      </c>
      <c r="F248" s="634"/>
      <c r="G248" s="21">
        <f t="shared" si="45"/>
        <v>1</v>
      </c>
      <c r="H248" s="634"/>
      <c r="I248" s="21">
        <f t="shared" si="46"/>
        <v>1</v>
      </c>
      <c r="J248" s="634"/>
      <c r="K248" s="21">
        <f t="shared" si="47"/>
        <v>1</v>
      </c>
      <c r="L248" s="634"/>
      <c r="M248" s="21">
        <f t="shared" si="48"/>
        <v>1</v>
      </c>
      <c r="N248" s="634"/>
      <c r="O248" s="21">
        <f t="shared" si="49"/>
        <v>1</v>
      </c>
      <c r="P248" s="634"/>
      <c r="Q248" s="21">
        <f t="shared" si="50"/>
        <v>0</v>
      </c>
      <c r="R248" s="21">
        <f t="shared" si="51"/>
        <v>0</v>
      </c>
      <c r="S248" s="307">
        <f t="shared" si="52"/>
        <v>0</v>
      </c>
    </row>
    <row r="249" spans="1:19">
      <c r="A249" s="142"/>
      <c r="B249" s="52"/>
      <c r="C249" s="21">
        <f t="shared" si="43"/>
        <v>1</v>
      </c>
      <c r="D249" s="634"/>
      <c r="E249" s="21">
        <f t="shared" si="44"/>
        <v>0.05</v>
      </c>
      <c r="F249" s="634"/>
      <c r="G249" s="21">
        <f t="shared" si="45"/>
        <v>1</v>
      </c>
      <c r="H249" s="634"/>
      <c r="I249" s="21">
        <f t="shared" si="46"/>
        <v>1</v>
      </c>
      <c r="J249" s="634"/>
      <c r="K249" s="21">
        <f t="shared" si="47"/>
        <v>1</v>
      </c>
      <c r="L249" s="634"/>
      <c r="M249" s="21">
        <f t="shared" si="48"/>
        <v>1</v>
      </c>
      <c r="N249" s="634"/>
      <c r="O249" s="21">
        <f t="shared" si="49"/>
        <v>1</v>
      </c>
      <c r="P249" s="634"/>
      <c r="Q249" s="21">
        <f t="shared" si="50"/>
        <v>0</v>
      </c>
      <c r="R249" s="21">
        <f t="shared" si="51"/>
        <v>0</v>
      </c>
      <c r="S249" s="307">
        <f t="shared" si="52"/>
        <v>0</v>
      </c>
    </row>
    <row r="250" spans="1:19">
      <c r="A250" s="142"/>
      <c r="B250" s="52"/>
      <c r="C250" s="21">
        <f t="shared" si="43"/>
        <v>1</v>
      </c>
      <c r="D250" s="634"/>
      <c r="E250" s="21">
        <f t="shared" si="44"/>
        <v>0.05</v>
      </c>
      <c r="F250" s="634"/>
      <c r="G250" s="21">
        <f t="shared" si="45"/>
        <v>1</v>
      </c>
      <c r="H250" s="634"/>
      <c r="I250" s="21">
        <f t="shared" si="46"/>
        <v>1</v>
      </c>
      <c r="J250" s="634"/>
      <c r="K250" s="21">
        <f t="shared" si="47"/>
        <v>1</v>
      </c>
      <c r="L250" s="634"/>
      <c r="M250" s="21">
        <f t="shared" si="48"/>
        <v>1</v>
      </c>
      <c r="N250" s="634"/>
      <c r="O250" s="21">
        <f t="shared" si="49"/>
        <v>1</v>
      </c>
      <c r="P250" s="634"/>
      <c r="Q250" s="21">
        <f t="shared" si="50"/>
        <v>0</v>
      </c>
      <c r="R250" s="21">
        <f t="shared" si="51"/>
        <v>0</v>
      </c>
      <c r="S250" s="307">
        <f t="shared" si="52"/>
        <v>0</v>
      </c>
    </row>
    <row r="251" spans="1:19">
      <c r="A251" s="142"/>
      <c r="B251" s="52"/>
      <c r="C251" s="21">
        <f t="shared" si="43"/>
        <v>1</v>
      </c>
      <c r="D251" s="634"/>
      <c r="E251" s="21">
        <f t="shared" si="44"/>
        <v>0.05</v>
      </c>
      <c r="F251" s="634"/>
      <c r="G251" s="21">
        <f t="shared" si="45"/>
        <v>1</v>
      </c>
      <c r="H251" s="634"/>
      <c r="I251" s="21">
        <f t="shared" si="46"/>
        <v>1</v>
      </c>
      <c r="J251" s="634"/>
      <c r="K251" s="21">
        <f t="shared" si="47"/>
        <v>1</v>
      </c>
      <c r="L251" s="634"/>
      <c r="M251" s="21">
        <f t="shared" si="48"/>
        <v>1</v>
      </c>
      <c r="N251" s="634"/>
      <c r="O251" s="21">
        <f t="shared" si="49"/>
        <v>1</v>
      </c>
      <c r="P251" s="634"/>
      <c r="Q251" s="21">
        <f t="shared" si="50"/>
        <v>0</v>
      </c>
      <c r="R251" s="21">
        <f t="shared" si="51"/>
        <v>0</v>
      </c>
      <c r="S251" s="307">
        <f t="shared" si="52"/>
        <v>0</v>
      </c>
    </row>
    <row r="252" spans="1:19">
      <c r="A252" s="142"/>
      <c r="B252" s="52"/>
      <c r="C252" s="21">
        <f t="shared" si="43"/>
        <v>1</v>
      </c>
      <c r="D252" s="634"/>
      <c r="E252" s="21">
        <f t="shared" si="44"/>
        <v>0.05</v>
      </c>
      <c r="F252" s="634"/>
      <c r="G252" s="21">
        <f t="shared" si="45"/>
        <v>1</v>
      </c>
      <c r="H252" s="634"/>
      <c r="I252" s="21">
        <f t="shared" si="46"/>
        <v>1</v>
      </c>
      <c r="J252" s="634"/>
      <c r="K252" s="21">
        <f t="shared" si="47"/>
        <v>1</v>
      </c>
      <c r="L252" s="634"/>
      <c r="M252" s="21">
        <f t="shared" si="48"/>
        <v>1</v>
      </c>
      <c r="N252" s="634"/>
      <c r="O252" s="21">
        <f t="shared" si="49"/>
        <v>1</v>
      </c>
      <c r="P252" s="634"/>
      <c r="Q252" s="21">
        <f t="shared" si="50"/>
        <v>0</v>
      </c>
      <c r="R252" s="21">
        <f t="shared" si="51"/>
        <v>0</v>
      </c>
      <c r="S252" s="307">
        <f t="shared" si="52"/>
        <v>0</v>
      </c>
    </row>
    <row r="253" spans="1:19">
      <c r="A253" s="142"/>
      <c r="B253" s="52"/>
      <c r="C253" s="21">
        <f t="shared" si="43"/>
        <v>1</v>
      </c>
      <c r="D253" s="634"/>
      <c r="E253" s="21">
        <f t="shared" si="44"/>
        <v>0.05</v>
      </c>
      <c r="F253" s="634"/>
      <c r="G253" s="21">
        <f t="shared" si="45"/>
        <v>1</v>
      </c>
      <c r="H253" s="634"/>
      <c r="I253" s="21">
        <f t="shared" si="46"/>
        <v>1</v>
      </c>
      <c r="J253" s="634"/>
      <c r="K253" s="21">
        <f t="shared" si="47"/>
        <v>1</v>
      </c>
      <c r="L253" s="634"/>
      <c r="M253" s="21">
        <f t="shared" si="48"/>
        <v>1</v>
      </c>
      <c r="N253" s="634"/>
      <c r="O253" s="21">
        <f t="shared" si="49"/>
        <v>1</v>
      </c>
      <c r="P253" s="634"/>
      <c r="Q253" s="21">
        <f t="shared" si="50"/>
        <v>0</v>
      </c>
      <c r="R253" s="21">
        <f t="shared" si="51"/>
        <v>0</v>
      </c>
      <c r="S253" s="307">
        <f t="shared" si="52"/>
        <v>0</v>
      </c>
    </row>
    <row r="254" spans="1:19">
      <c r="A254" s="142"/>
      <c r="B254" s="52"/>
      <c r="C254" s="21">
        <f t="shared" si="43"/>
        <v>1</v>
      </c>
      <c r="D254" s="634"/>
      <c r="E254" s="21">
        <f t="shared" si="44"/>
        <v>0.05</v>
      </c>
      <c r="F254" s="634"/>
      <c r="G254" s="21">
        <f t="shared" si="45"/>
        <v>1</v>
      </c>
      <c r="H254" s="634"/>
      <c r="I254" s="21">
        <f t="shared" si="46"/>
        <v>1</v>
      </c>
      <c r="J254" s="634"/>
      <c r="K254" s="21">
        <f t="shared" si="47"/>
        <v>1</v>
      </c>
      <c r="L254" s="634"/>
      <c r="M254" s="21">
        <f t="shared" si="48"/>
        <v>1</v>
      </c>
      <c r="N254" s="634"/>
      <c r="O254" s="21">
        <f t="shared" si="49"/>
        <v>1</v>
      </c>
      <c r="P254" s="634"/>
      <c r="Q254" s="21">
        <f t="shared" si="50"/>
        <v>0</v>
      </c>
      <c r="R254" s="21">
        <f t="shared" si="51"/>
        <v>0</v>
      </c>
      <c r="S254" s="307">
        <f t="shared" si="52"/>
        <v>0</v>
      </c>
    </row>
    <row r="255" spans="1:19">
      <c r="A255" s="142"/>
      <c r="B255" s="52"/>
      <c r="C255" s="21">
        <f t="shared" si="43"/>
        <v>1</v>
      </c>
      <c r="D255" s="634"/>
      <c r="E255" s="21">
        <f t="shared" si="44"/>
        <v>0.05</v>
      </c>
      <c r="F255" s="634"/>
      <c r="G255" s="21">
        <f t="shared" si="45"/>
        <v>1</v>
      </c>
      <c r="H255" s="634"/>
      <c r="I255" s="21">
        <f t="shared" si="46"/>
        <v>1</v>
      </c>
      <c r="J255" s="634"/>
      <c r="K255" s="21">
        <f t="shared" si="47"/>
        <v>1</v>
      </c>
      <c r="L255" s="634"/>
      <c r="M255" s="21">
        <f t="shared" si="48"/>
        <v>1</v>
      </c>
      <c r="N255" s="634"/>
      <c r="O255" s="21">
        <f t="shared" si="49"/>
        <v>1</v>
      </c>
      <c r="P255" s="634"/>
      <c r="Q255" s="21">
        <f t="shared" si="50"/>
        <v>0</v>
      </c>
      <c r="R255" s="21">
        <f t="shared" si="51"/>
        <v>0</v>
      </c>
      <c r="S255" s="307">
        <f t="shared" si="52"/>
        <v>0</v>
      </c>
    </row>
    <row r="256" spans="1:19">
      <c r="A256" s="142"/>
      <c r="B256" s="52"/>
      <c r="C256" s="21">
        <f t="shared" si="43"/>
        <v>1</v>
      </c>
      <c r="D256" s="634"/>
      <c r="E256" s="21">
        <f t="shared" si="44"/>
        <v>0.05</v>
      </c>
      <c r="F256" s="634"/>
      <c r="G256" s="21">
        <f t="shared" si="45"/>
        <v>1</v>
      </c>
      <c r="H256" s="634"/>
      <c r="I256" s="21">
        <f t="shared" si="46"/>
        <v>1</v>
      </c>
      <c r="J256" s="634"/>
      <c r="K256" s="21">
        <f t="shared" si="47"/>
        <v>1</v>
      </c>
      <c r="L256" s="634"/>
      <c r="M256" s="21">
        <f t="shared" si="48"/>
        <v>1</v>
      </c>
      <c r="N256" s="634"/>
      <c r="O256" s="21">
        <f t="shared" si="49"/>
        <v>1</v>
      </c>
      <c r="P256" s="634"/>
      <c r="Q256" s="21">
        <f t="shared" si="50"/>
        <v>0</v>
      </c>
      <c r="R256" s="21">
        <f t="shared" si="51"/>
        <v>0</v>
      </c>
      <c r="S256" s="307">
        <f t="shared" si="52"/>
        <v>0</v>
      </c>
    </row>
    <row r="257" spans="1:19">
      <c r="A257" s="142"/>
      <c r="B257" s="52"/>
      <c r="C257" s="21">
        <f t="shared" si="43"/>
        <v>1</v>
      </c>
      <c r="D257" s="634"/>
      <c r="E257" s="21">
        <f t="shared" si="44"/>
        <v>0.05</v>
      </c>
      <c r="F257" s="634"/>
      <c r="G257" s="21">
        <f t="shared" si="45"/>
        <v>1</v>
      </c>
      <c r="H257" s="634"/>
      <c r="I257" s="21">
        <f t="shared" si="46"/>
        <v>1</v>
      </c>
      <c r="J257" s="634"/>
      <c r="K257" s="21">
        <f t="shared" si="47"/>
        <v>1</v>
      </c>
      <c r="L257" s="634"/>
      <c r="M257" s="21">
        <f t="shared" si="48"/>
        <v>1</v>
      </c>
      <c r="N257" s="634"/>
      <c r="O257" s="21">
        <f t="shared" si="49"/>
        <v>1</v>
      </c>
      <c r="P257" s="634"/>
      <c r="Q257" s="21">
        <f t="shared" si="50"/>
        <v>0</v>
      </c>
      <c r="R257" s="21">
        <f t="shared" si="51"/>
        <v>0</v>
      </c>
      <c r="S257" s="307">
        <f t="shared" si="52"/>
        <v>0</v>
      </c>
    </row>
    <row r="258" spans="1:19">
      <c r="A258" s="142"/>
      <c r="B258" s="52"/>
      <c r="C258" s="21">
        <f t="shared" si="43"/>
        <v>1</v>
      </c>
      <c r="D258" s="634"/>
      <c r="E258" s="21">
        <f t="shared" si="44"/>
        <v>0.05</v>
      </c>
      <c r="F258" s="634"/>
      <c r="G258" s="21">
        <f t="shared" si="45"/>
        <v>1</v>
      </c>
      <c r="H258" s="634"/>
      <c r="I258" s="21">
        <f t="shared" si="46"/>
        <v>1</v>
      </c>
      <c r="J258" s="634"/>
      <c r="K258" s="21">
        <f t="shared" si="47"/>
        <v>1</v>
      </c>
      <c r="L258" s="634"/>
      <c r="M258" s="21">
        <f t="shared" si="48"/>
        <v>1</v>
      </c>
      <c r="N258" s="634"/>
      <c r="O258" s="21">
        <f t="shared" si="49"/>
        <v>1</v>
      </c>
      <c r="P258" s="634"/>
      <c r="Q258" s="21">
        <f t="shared" si="50"/>
        <v>0</v>
      </c>
      <c r="R258" s="21">
        <f t="shared" si="51"/>
        <v>0</v>
      </c>
      <c r="S258" s="307">
        <f t="shared" si="52"/>
        <v>0</v>
      </c>
    </row>
    <row r="259" spans="1:19">
      <c r="A259" s="142"/>
      <c r="B259" s="52"/>
      <c r="C259" s="21">
        <f t="shared" si="43"/>
        <v>1</v>
      </c>
      <c r="D259" s="634"/>
      <c r="E259" s="21">
        <f t="shared" si="44"/>
        <v>0.05</v>
      </c>
      <c r="F259" s="634"/>
      <c r="G259" s="21">
        <f t="shared" si="45"/>
        <v>1</v>
      </c>
      <c r="H259" s="634"/>
      <c r="I259" s="21">
        <f t="shared" si="46"/>
        <v>1</v>
      </c>
      <c r="J259" s="634"/>
      <c r="K259" s="21">
        <f t="shared" si="47"/>
        <v>1</v>
      </c>
      <c r="L259" s="634"/>
      <c r="M259" s="21">
        <f t="shared" si="48"/>
        <v>1</v>
      </c>
      <c r="N259" s="634"/>
      <c r="O259" s="21">
        <f t="shared" si="49"/>
        <v>1</v>
      </c>
      <c r="P259" s="634"/>
      <c r="Q259" s="21">
        <f t="shared" si="50"/>
        <v>0</v>
      </c>
      <c r="R259" s="21">
        <f t="shared" si="51"/>
        <v>0</v>
      </c>
      <c r="S259" s="307">
        <f t="shared" si="52"/>
        <v>0</v>
      </c>
    </row>
    <row r="260" spans="1:19">
      <c r="A260" s="142"/>
      <c r="B260" s="52"/>
      <c r="C260" s="21">
        <f t="shared" si="43"/>
        <v>1</v>
      </c>
      <c r="D260" s="634"/>
      <c r="E260" s="21">
        <f t="shared" si="44"/>
        <v>0.05</v>
      </c>
      <c r="F260" s="634"/>
      <c r="G260" s="21">
        <f t="shared" si="45"/>
        <v>1</v>
      </c>
      <c r="H260" s="634"/>
      <c r="I260" s="21">
        <f t="shared" si="46"/>
        <v>1</v>
      </c>
      <c r="J260" s="634"/>
      <c r="K260" s="21">
        <f t="shared" si="47"/>
        <v>1</v>
      </c>
      <c r="L260" s="634"/>
      <c r="M260" s="21">
        <f t="shared" si="48"/>
        <v>1</v>
      </c>
      <c r="N260" s="634"/>
      <c r="O260" s="21">
        <f t="shared" si="49"/>
        <v>1</v>
      </c>
      <c r="P260" s="634"/>
      <c r="Q260" s="21">
        <f t="shared" si="50"/>
        <v>0</v>
      </c>
      <c r="R260" s="21">
        <f t="shared" si="51"/>
        <v>0</v>
      </c>
      <c r="S260" s="307">
        <f t="shared" si="52"/>
        <v>0</v>
      </c>
    </row>
    <row r="261" spans="1:19">
      <c r="A261" s="142"/>
      <c r="B261" s="52"/>
      <c r="C261" s="21">
        <f t="shared" si="43"/>
        <v>1</v>
      </c>
      <c r="D261" s="634"/>
      <c r="E261" s="21">
        <f t="shared" si="44"/>
        <v>0.05</v>
      </c>
      <c r="F261" s="634"/>
      <c r="G261" s="21">
        <f t="shared" si="45"/>
        <v>1</v>
      </c>
      <c r="H261" s="634"/>
      <c r="I261" s="21">
        <f t="shared" si="46"/>
        <v>1</v>
      </c>
      <c r="J261" s="634"/>
      <c r="K261" s="21">
        <f t="shared" si="47"/>
        <v>1</v>
      </c>
      <c r="L261" s="634"/>
      <c r="M261" s="21">
        <f t="shared" si="48"/>
        <v>1</v>
      </c>
      <c r="N261" s="634"/>
      <c r="O261" s="21">
        <f t="shared" si="49"/>
        <v>1</v>
      </c>
      <c r="P261" s="634"/>
      <c r="Q261" s="21">
        <f t="shared" si="50"/>
        <v>0</v>
      </c>
      <c r="R261" s="21">
        <f t="shared" si="51"/>
        <v>0</v>
      </c>
      <c r="S261" s="307">
        <f t="shared" si="52"/>
        <v>0</v>
      </c>
    </row>
    <row r="262" spans="1:19">
      <c r="A262" s="142"/>
      <c r="B262" s="52"/>
      <c r="C262" s="21">
        <f t="shared" si="43"/>
        <v>1</v>
      </c>
      <c r="D262" s="634"/>
      <c r="E262" s="21">
        <f t="shared" si="44"/>
        <v>0.05</v>
      </c>
      <c r="F262" s="634"/>
      <c r="G262" s="21">
        <f t="shared" si="45"/>
        <v>1</v>
      </c>
      <c r="H262" s="634"/>
      <c r="I262" s="21">
        <f t="shared" si="46"/>
        <v>1</v>
      </c>
      <c r="J262" s="634"/>
      <c r="K262" s="21">
        <f t="shared" si="47"/>
        <v>1</v>
      </c>
      <c r="L262" s="634"/>
      <c r="M262" s="21">
        <f t="shared" si="48"/>
        <v>1</v>
      </c>
      <c r="N262" s="634"/>
      <c r="O262" s="21">
        <f t="shared" si="49"/>
        <v>1</v>
      </c>
      <c r="P262" s="634"/>
      <c r="Q262" s="21">
        <f t="shared" si="50"/>
        <v>0</v>
      </c>
      <c r="R262" s="21">
        <f t="shared" si="51"/>
        <v>0</v>
      </c>
      <c r="S262" s="307">
        <f t="shared" si="52"/>
        <v>0</v>
      </c>
    </row>
    <row r="263" spans="1:19">
      <c r="A263" s="142"/>
      <c r="B263" s="52"/>
      <c r="C263" s="21">
        <f t="shared" si="43"/>
        <v>1</v>
      </c>
      <c r="D263" s="634"/>
      <c r="E263" s="21">
        <f t="shared" si="44"/>
        <v>0.05</v>
      </c>
      <c r="F263" s="634"/>
      <c r="G263" s="21">
        <f t="shared" si="45"/>
        <v>1</v>
      </c>
      <c r="H263" s="634"/>
      <c r="I263" s="21">
        <f t="shared" si="46"/>
        <v>1</v>
      </c>
      <c r="J263" s="634"/>
      <c r="K263" s="21">
        <f t="shared" si="47"/>
        <v>1</v>
      </c>
      <c r="L263" s="634"/>
      <c r="M263" s="21">
        <f t="shared" si="48"/>
        <v>1</v>
      </c>
      <c r="N263" s="634"/>
      <c r="O263" s="21">
        <f t="shared" si="49"/>
        <v>1</v>
      </c>
      <c r="P263" s="634"/>
      <c r="Q263" s="21">
        <f t="shared" si="50"/>
        <v>0</v>
      </c>
      <c r="R263" s="21">
        <f t="shared" si="51"/>
        <v>0</v>
      </c>
      <c r="S263" s="307">
        <f t="shared" si="52"/>
        <v>0</v>
      </c>
    </row>
    <row r="264" spans="1:19">
      <c r="A264" s="142"/>
      <c r="B264" s="52"/>
      <c r="C264" s="21">
        <f t="shared" si="43"/>
        <v>1</v>
      </c>
      <c r="D264" s="634"/>
      <c r="E264" s="21">
        <f t="shared" si="44"/>
        <v>0.05</v>
      </c>
      <c r="F264" s="634"/>
      <c r="G264" s="21">
        <f t="shared" si="45"/>
        <v>1</v>
      </c>
      <c r="H264" s="634"/>
      <c r="I264" s="21">
        <f t="shared" si="46"/>
        <v>1</v>
      </c>
      <c r="J264" s="634"/>
      <c r="K264" s="21">
        <f t="shared" si="47"/>
        <v>1</v>
      </c>
      <c r="L264" s="634"/>
      <c r="M264" s="21">
        <f t="shared" si="48"/>
        <v>1</v>
      </c>
      <c r="N264" s="634"/>
      <c r="O264" s="21">
        <f t="shared" si="49"/>
        <v>1</v>
      </c>
      <c r="P264" s="634"/>
      <c r="Q264" s="21">
        <f t="shared" si="50"/>
        <v>0</v>
      </c>
      <c r="R264" s="21">
        <f t="shared" si="51"/>
        <v>0</v>
      </c>
      <c r="S264" s="307">
        <f t="shared" si="52"/>
        <v>0</v>
      </c>
    </row>
    <row r="265" spans="1:19">
      <c r="A265" s="142"/>
      <c r="B265" s="52"/>
      <c r="C265" s="21">
        <f t="shared" si="43"/>
        <v>1</v>
      </c>
      <c r="D265" s="634"/>
      <c r="E265" s="21">
        <f t="shared" si="44"/>
        <v>0.05</v>
      </c>
      <c r="F265" s="634"/>
      <c r="G265" s="21">
        <f t="shared" si="45"/>
        <v>1</v>
      </c>
      <c r="H265" s="634"/>
      <c r="I265" s="21">
        <f t="shared" si="46"/>
        <v>1</v>
      </c>
      <c r="J265" s="634"/>
      <c r="K265" s="21">
        <f t="shared" si="47"/>
        <v>1</v>
      </c>
      <c r="L265" s="634"/>
      <c r="M265" s="21">
        <f t="shared" si="48"/>
        <v>1</v>
      </c>
      <c r="N265" s="634"/>
      <c r="O265" s="21">
        <f t="shared" si="49"/>
        <v>1</v>
      </c>
      <c r="P265" s="634"/>
      <c r="Q265" s="21">
        <f t="shared" si="50"/>
        <v>0</v>
      </c>
      <c r="R265" s="21">
        <f t="shared" si="51"/>
        <v>0</v>
      </c>
      <c r="S265" s="307">
        <f t="shared" si="52"/>
        <v>0</v>
      </c>
    </row>
    <row r="266" spans="1:19">
      <c r="A266" s="142"/>
      <c r="B266" s="52"/>
      <c r="C266" s="21">
        <f t="shared" si="43"/>
        <v>1</v>
      </c>
      <c r="D266" s="634"/>
      <c r="E266" s="21">
        <f t="shared" si="44"/>
        <v>0.05</v>
      </c>
      <c r="F266" s="634"/>
      <c r="G266" s="21">
        <f t="shared" si="45"/>
        <v>1</v>
      </c>
      <c r="H266" s="634"/>
      <c r="I266" s="21">
        <f t="shared" si="46"/>
        <v>1</v>
      </c>
      <c r="J266" s="634"/>
      <c r="K266" s="21">
        <f t="shared" si="47"/>
        <v>1</v>
      </c>
      <c r="L266" s="634"/>
      <c r="M266" s="21">
        <f t="shared" si="48"/>
        <v>1</v>
      </c>
      <c r="N266" s="634"/>
      <c r="O266" s="21">
        <f t="shared" si="49"/>
        <v>1</v>
      </c>
      <c r="P266" s="634"/>
      <c r="Q266" s="21">
        <f t="shared" si="50"/>
        <v>0</v>
      </c>
      <c r="R266" s="21">
        <f t="shared" si="51"/>
        <v>0</v>
      </c>
      <c r="S266" s="307">
        <f t="shared" si="52"/>
        <v>0</v>
      </c>
    </row>
    <row r="267" spans="1:19">
      <c r="A267" s="142"/>
      <c r="B267" s="52"/>
      <c r="C267" s="21">
        <f t="shared" si="43"/>
        <v>1</v>
      </c>
      <c r="D267" s="634"/>
      <c r="E267" s="21">
        <f t="shared" si="44"/>
        <v>0.05</v>
      </c>
      <c r="F267" s="634"/>
      <c r="G267" s="21">
        <f t="shared" si="45"/>
        <v>1</v>
      </c>
      <c r="H267" s="634"/>
      <c r="I267" s="21">
        <f t="shared" si="46"/>
        <v>1</v>
      </c>
      <c r="J267" s="634"/>
      <c r="K267" s="21">
        <f t="shared" si="47"/>
        <v>1</v>
      </c>
      <c r="L267" s="634"/>
      <c r="M267" s="21">
        <f t="shared" si="48"/>
        <v>1</v>
      </c>
      <c r="N267" s="634"/>
      <c r="O267" s="21">
        <f t="shared" si="49"/>
        <v>1</v>
      </c>
      <c r="P267" s="634"/>
      <c r="Q267" s="21">
        <f t="shared" si="50"/>
        <v>0</v>
      </c>
      <c r="R267" s="21">
        <f t="shared" si="51"/>
        <v>0</v>
      </c>
      <c r="S267" s="307">
        <f t="shared" si="52"/>
        <v>0</v>
      </c>
    </row>
    <row r="268" spans="1:19">
      <c r="A268" s="142"/>
      <c r="B268" s="52"/>
      <c r="C268" s="21">
        <f t="shared" si="43"/>
        <v>1</v>
      </c>
      <c r="D268" s="634"/>
      <c r="E268" s="21">
        <f t="shared" si="44"/>
        <v>0.05</v>
      </c>
      <c r="F268" s="634"/>
      <c r="G268" s="21">
        <f t="shared" si="45"/>
        <v>1</v>
      </c>
      <c r="H268" s="634"/>
      <c r="I268" s="21">
        <f t="shared" si="46"/>
        <v>1</v>
      </c>
      <c r="J268" s="634"/>
      <c r="K268" s="21">
        <f t="shared" si="47"/>
        <v>1</v>
      </c>
      <c r="L268" s="634"/>
      <c r="M268" s="21">
        <f t="shared" si="48"/>
        <v>1</v>
      </c>
      <c r="N268" s="634"/>
      <c r="O268" s="21">
        <f t="shared" si="49"/>
        <v>1</v>
      </c>
      <c r="P268" s="634"/>
      <c r="Q268" s="21">
        <f t="shared" si="50"/>
        <v>0</v>
      </c>
      <c r="R268" s="21">
        <f t="shared" si="51"/>
        <v>0</v>
      </c>
      <c r="S268" s="307">
        <f t="shared" si="52"/>
        <v>0</v>
      </c>
    </row>
    <row r="269" spans="1:19">
      <c r="A269" s="142"/>
      <c r="B269" s="52"/>
      <c r="C269" s="21">
        <f t="shared" si="43"/>
        <v>1</v>
      </c>
      <c r="D269" s="634"/>
      <c r="E269" s="21">
        <f t="shared" si="44"/>
        <v>0.05</v>
      </c>
      <c r="F269" s="634"/>
      <c r="G269" s="21">
        <f t="shared" si="45"/>
        <v>1</v>
      </c>
      <c r="H269" s="634"/>
      <c r="I269" s="21">
        <f t="shared" si="46"/>
        <v>1</v>
      </c>
      <c r="J269" s="634"/>
      <c r="K269" s="21">
        <f t="shared" si="47"/>
        <v>1</v>
      </c>
      <c r="L269" s="634"/>
      <c r="M269" s="21">
        <f t="shared" si="48"/>
        <v>1</v>
      </c>
      <c r="N269" s="634"/>
      <c r="O269" s="21">
        <f t="shared" si="49"/>
        <v>1</v>
      </c>
      <c r="P269" s="634"/>
      <c r="Q269" s="21">
        <f t="shared" si="50"/>
        <v>0</v>
      </c>
      <c r="R269" s="21">
        <f t="shared" si="51"/>
        <v>0</v>
      </c>
      <c r="S269" s="307">
        <f t="shared" si="52"/>
        <v>0</v>
      </c>
    </row>
    <row r="270" spans="1:19">
      <c r="A270" s="142"/>
      <c r="B270" s="52"/>
      <c r="C270" s="21">
        <f t="shared" si="43"/>
        <v>1</v>
      </c>
      <c r="D270" s="634"/>
      <c r="E270" s="21">
        <f t="shared" si="44"/>
        <v>0.05</v>
      </c>
      <c r="F270" s="634"/>
      <c r="G270" s="21">
        <f t="shared" si="45"/>
        <v>1</v>
      </c>
      <c r="H270" s="634"/>
      <c r="I270" s="21">
        <f t="shared" si="46"/>
        <v>1</v>
      </c>
      <c r="J270" s="634"/>
      <c r="K270" s="21">
        <f t="shared" si="47"/>
        <v>1</v>
      </c>
      <c r="L270" s="634"/>
      <c r="M270" s="21">
        <f t="shared" si="48"/>
        <v>1</v>
      </c>
      <c r="N270" s="634"/>
      <c r="O270" s="21">
        <f t="shared" si="49"/>
        <v>1</v>
      </c>
      <c r="P270" s="634"/>
      <c r="Q270" s="21">
        <f t="shared" si="50"/>
        <v>0</v>
      </c>
      <c r="R270" s="21">
        <f t="shared" si="51"/>
        <v>0</v>
      </c>
      <c r="S270" s="307">
        <f t="shared" si="52"/>
        <v>0</v>
      </c>
    </row>
    <row r="271" spans="1:19">
      <c r="A271" s="142"/>
      <c r="B271" s="52"/>
      <c r="C271" s="21">
        <f t="shared" si="43"/>
        <v>1</v>
      </c>
      <c r="D271" s="634"/>
      <c r="E271" s="21">
        <f t="shared" si="44"/>
        <v>0.05</v>
      </c>
      <c r="F271" s="634"/>
      <c r="G271" s="21">
        <f t="shared" si="45"/>
        <v>1</v>
      </c>
      <c r="H271" s="634"/>
      <c r="I271" s="21">
        <f t="shared" si="46"/>
        <v>1</v>
      </c>
      <c r="J271" s="634"/>
      <c r="K271" s="21">
        <f t="shared" si="47"/>
        <v>1</v>
      </c>
      <c r="L271" s="634"/>
      <c r="M271" s="21">
        <f t="shared" si="48"/>
        <v>1</v>
      </c>
      <c r="N271" s="634"/>
      <c r="O271" s="21">
        <f t="shared" si="49"/>
        <v>1</v>
      </c>
      <c r="P271" s="634"/>
      <c r="Q271" s="21">
        <f t="shared" si="50"/>
        <v>0</v>
      </c>
      <c r="R271" s="21">
        <f t="shared" si="51"/>
        <v>0</v>
      </c>
      <c r="S271" s="307">
        <f t="shared" si="52"/>
        <v>0</v>
      </c>
    </row>
    <row r="272" spans="1:19">
      <c r="A272" s="142"/>
      <c r="B272" s="52"/>
      <c r="C272" s="21">
        <f t="shared" si="43"/>
        <v>1</v>
      </c>
      <c r="D272" s="634"/>
      <c r="E272" s="21">
        <f t="shared" si="44"/>
        <v>0.05</v>
      </c>
      <c r="F272" s="634"/>
      <c r="G272" s="21">
        <f t="shared" si="45"/>
        <v>1</v>
      </c>
      <c r="H272" s="634"/>
      <c r="I272" s="21">
        <f t="shared" si="46"/>
        <v>1</v>
      </c>
      <c r="J272" s="634"/>
      <c r="K272" s="21">
        <f t="shared" si="47"/>
        <v>1</v>
      </c>
      <c r="L272" s="634"/>
      <c r="M272" s="21">
        <f t="shared" si="48"/>
        <v>1</v>
      </c>
      <c r="N272" s="634"/>
      <c r="O272" s="21">
        <f t="shared" si="49"/>
        <v>1</v>
      </c>
      <c r="P272" s="634"/>
      <c r="Q272" s="21">
        <f t="shared" si="50"/>
        <v>0</v>
      </c>
      <c r="R272" s="21">
        <f t="shared" si="51"/>
        <v>0</v>
      </c>
      <c r="S272" s="307">
        <f t="shared" si="52"/>
        <v>0</v>
      </c>
    </row>
    <row r="273" spans="1:19">
      <c r="A273" s="142"/>
      <c r="B273" s="52"/>
      <c r="C273" s="21">
        <f t="shared" si="43"/>
        <v>1</v>
      </c>
      <c r="D273" s="634"/>
      <c r="E273" s="21">
        <f t="shared" si="44"/>
        <v>0.05</v>
      </c>
      <c r="F273" s="634"/>
      <c r="G273" s="21">
        <f t="shared" si="45"/>
        <v>1</v>
      </c>
      <c r="H273" s="634"/>
      <c r="I273" s="21">
        <f t="shared" si="46"/>
        <v>1</v>
      </c>
      <c r="J273" s="634"/>
      <c r="K273" s="21">
        <f t="shared" si="47"/>
        <v>1</v>
      </c>
      <c r="L273" s="634"/>
      <c r="M273" s="21">
        <f t="shared" si="48"/>
        <v>1</v>
      </c>
      <c r="N273" s="634"/>
      <c r="O273" s="21">
        <f t="shared" si="49"/>
        <v>1</v>
      </c>
      <c r="P273" s="634"/>
      <c r="Q273" s="21">
        <f t="shared" si="50"/>
        <v>0</v>
      </c>
      <c r="R273" s="21">
        <f t="shared" si="51"/>
        <v>0</v>
      </c>
      <c r="S273" s="307">
        <f t="shared" si="52"/>
        <v>0</v>
      </c>
    </row>
    <row r="274" spans="1:19">
      <c r="A274" s="142"/>
      <c r="B274" s="52"/>
      <c r="C274" s="21">
        <f t="shared" si="43"/>
        <v>1</v>
      </c>
      <c r="D274" s="634"/>
      <c r="E274" s="21">
        <f t="shared" si="44"/>
        <v>0.05</v>
      </c>
      <c r="F274" s="634"/>
      <c r="G274" s="21">
        <f t="shared" si="45"/>
        <v>1</v>
      </c>
      <c r="H274" s="634"/>
      <c r="I274" s="21">
        <f t="shared" si="46"/>
        <v>1</v>
      </c>
      <c r="J274" s="634"/>
      <c r="K274" s="21">
        <f t="shared" si="47"/>
        <v>1</v>
      </c>
      <c r="L274" s="634"/>
      <c r="M274" s="21">
        <f t="shared" si="48"/>
        <v>1</v>
      </c>
      <c r="N274" s="634"/>
      <c r="O274" s="21">
        <f t="shared" si="49"/>
        <v>1</v>
      </c>
      <c r="P274" s="634"/>
      <c r="Q274" s="21">
        <f t="shared" si="50"/>
        <v>0</v>
      </c>
      <c r="R274" s="21">
        <f t="shared" si="51"/>
        <v>0</v>
      </c>
      <c r="S274" s="307">
        <f t="shared" si="52"/>
        <v>0</v>
      </c>
    </row>
    <row r="275" spans="1:19">
      <c r="A275" s="142"/>
      <c r="B275" s="52"/>
      <c r="C275" s="21">
        <f t="shared" si="43"/>
        <v>1</v>
      </c>
      <c r="D275" s="634"/>
      <c r="E275" s="21">
        <f t="shared" si="44"/>
        <v>0.05</v>
      </c>
      <c r="F275" s="634"/>
      <c r="G275" s="21">
        <f t="shared" si="45"/>
        <v>1</v>
      </c>
      <c r="H275" s="634"/>
      <c r="I275" s="21">
        <f t="shared" si="46"/>
        <v>1</v>
      </c>
      <c r="J275" s="634"/>
      <c r="K275" s="21">
        <f t="shared" si="47"/>
        <v>1</v>
      </c>
      <c r="L275" s="634"/>
      <c r="M275" s="21">
        <f t="shared" si="48"/>
        <v>1</v>
      </c>
      <c r="N275" s="634"/>
      <c r="O275" s="21">
        <f t="shared" si="49"/>
        <v>1</v>
      </c>
      <c r="P275" s="634"/>
      <c r="Q275" s="21">
        <f t="shared" si="50"/>
        <v>0</v>
      </c>
      <c r="R275" s="21">
        <f t="shared" si="51"/>
        <v>0</v>
      </c>
      <c r="S275" s="307">
        <f t="shared" si="52"/>
        <v>0</v>
      </c>
    </row>
    <row r="276" spans="1:19">
      <c r="A276" s="142"/>
      <c r="B276" s="52"/>
      <c r="C276" s="21">
        <f t="shared" si="43"/>
        <v>1</v>
      </c>
      <c r="D276" s="634"/>
      <c r="E276" s="21">
        <f t="shared" si="44"/>
        <v>0.05</v>
      </c>
      <c r="F276" s="634"/>
      <c r="G276" s="21">
        <f t="shared" si="45"/>
        <v>1</v>
      </c>
      <c r="H276" s="634"/>
      <c r="I276" s="21">
        <f t="shared" si="46"/>
        <v>1</v>
      </c>
      <c r="J276" s="634"/>
      <c r="K276" s="21">
        <f t="shared" si="47"/>
        <v>1</v>
      </c>
      <c r="L276" s="634"/>
      <c r="M276" s="21">
        <f t="shared" si="48"/>
        <v>1</v>
      </c>
      <c r="N276" s="634"/>
      <c r="O276" s="21">
        <f t="shared" si="49"/>
        <v>1</v>
      </c>
      <c r="P276" s="634"/>
      <c r="Q276" s="21">
        <f t="shared" si="50"/>
        <v>0</v>
      </c>
      <c r="R276" s="21">
        <f t="shared" si="51"/>
        <v>0</v>
      </c>
      <c r="S276" s="307">
        <f t="shared" si="52"/>
        <v>0</v>
      </c>
    </row>
    <row r="277" spans="1:19">
      <c r="A277" s="142"/>
      <c r="B277" s="52"/>
      <c r="C277" s="21">
        <f t="shared" si="43"/>
        <v>1</v>
      </c>
      <c r="D277" s="634"/>
      <c r="E277" s="21">
        <f t="shared" si="44"/>
        <v>0.05</v>
      </c>
      <c r="F277" s="634"/>
      <c r="G277" s="21">
        <f t="shared" si="45"/>
        <v>1</v>
      </c>
      <c r="H277" s="634"/>
      <c r="I277" s="21">
        <f t="shared" si="46"/>
        <v>1</v>
      </c>
      <c r="J277" s="634"/>
      <c r="K277" s="21">
        <f t="shared" si="47"/>
        <v>1</v>
      </c>
      <c r="L277" s="634"/>
      <c r="M277" s="21">
        <f t="shared" si="48"/>
        <v>1</v>
      </c>
      <c r="N277" s="634"/>
      <c r="O277" s="21">
        <f t="shared" si="49"/>
        <v>1</v>
      </c>
      <c r="P277" s="634"/>
      <c r="Q277" s="21">
        <f t="shared" si="50"/>
        <v>0</v>
      </c>
      <c r="R277" s="21">
        <f t="shared" si="51"/>
        <v>0</v>
      </c>
      <c r="S277" s="307">
        <f t="shared" si="52"/>
        <v>0</v>
      </c>
    </row>
    <row r="278" spans="1:19">
      <c r="A278" s="142"/>
      <c r="B278" s="52"/>
      <c r="C278" s="21">
        <f t="shared" si="43"/>
        <v>1</v>
      </c>
      <c r="D278" s="634"/>
      <c r="E278" s="21">
        <f t="shared" si="44"/>
        <v>0.05</v>
      </c>
      <c r="F278" s="634"/>
      <c r="G278" s="21">
        <f t="shared" si="45"/>
        <v>1</v>
      </c>
      <c r="H278" s="634"/>
      <c r="I278" s="21">
        <f t="shared" si="46"/>
        <v>1</v>
      </c>
      <c r="J278" s="634"/>
      <c r="K278" s="21">
        <f t="shared" si="47"/>
        <v>1</v>
      </c>
      <c r="L278" s="634"/>
      <c r="M278" s="21">
        <f t="shared" si="48"/>
        <v>1</v>
      </c>
      <c r="N278" s="634"/>
      <c r="O278" s="21">
        <f t="shared" si="49"/>
        <v>1</v>
      </c>
      <c r="P278" s="634"/>
      <c r="Q278" s="21">
        <f t="shared" si="50"/>
        <v>0</v>
      </c>
      <c r="R278" s="21">
        <f t="shared" si="51"/>
        <v>0</v>
      </c>
      <c r="S278" s="307">
        <f t="shared" si="52"/>
        <v>0</v>
      </c>
    </row>
    <row r="279" spans="1:19">
      <c r="A279" s="142"/>
      <c r="B279" s="52"/>
      <c r="C279" s="21">
        <f t="shared" si="43"/>
        <v>1</v>
      </c>
      <c r="D279" s="634"/>
      <c r="E279" s="21">
        <f t="shared" si="44"/>
        <v>0.05</v>
      </c>
      <c r="F279" s="634"/>
      <c r="G279" s="21">
        <f t="shared" si="45"/>
        <v>1</v>
      </c>
      <c r="H279" s="634"/>
      <c r="I279" s="21">
        <f t="shared" si="46"/>
        <v>1</v>
      </c>
      <c r="J279" s="634"/>
      <c r="K279" s="21">
        <f t="shared" si="47"/>
        <v>1</v>
      </c>
      <c r="L279" s="634"/>
      <c r="M279" s="21">
        <f t="shared" si="48"/>
        <v>1</v>
      </c>
      <c r="N279" s="634"/>
      <c r="O279" s="21">
        <f t="shared" si="49"/>
        <v>1</v>
      </c>
      <c r="P279" s="634"/>
      <c r="Q279" s="21">
        <f t="shared" si="50"/>
        <v>0</v>
      </c>
      <c r="R279" s="21">
        <f t="shared" si="51"/>
        <v>0</v>
      </c>
      <c r="S279" s="307">
        <f t="shared" si="52"/>
        <v>0</v>
      </c>
    </row>
    <row r="280" spans="1:19">
      <c r="A280" s="142"/>
      <c r="B280" s="52"/>
      <c r="C280" s="21">
        <f t="shared" si="43"/>
        <v>1</v>
      </c>
      <c r="D280" s="634"/>
      <c r="E280" s="21">
        <f t="shared" si="44"/>
        <v>0.05</v>
      </c>
      <c r="F280" s="634"/>
      <c r="G280" s="21">
        <f t="shared" si="45"/>
        <v>1</v>
      </c>
      <c r="H280" s="634"/>
      <c r="I280" s="21">
        <f t="shared" si="46"/>
        <v>1</v>
      </c>
      <c r="J280" s="634"/>
      <c r="K280" s="21">
        <f t="shared" si="47"/>
        <v>1</v>
      </c>
      <c r="L280" s="634"/>
      <c r="M280" s="21">
        <f t="shared" si="48"/>
        <v>1</v>
      </c>
      <c r="N280" s="634"/>
      <c r="O280" s="21">
        <f t="shared" si="49"/>
        <v>1</v>
      </c>
      <c r="P280" s="634"/>
      <c r="Q280" s="21">
        <f t="shared" si="50"/>
        <v>0</v>
      </c>
      <c r="R280" s="21">
        <f t="shared" si="51"/>
        <v>0</v>
      </c>
      <c r="S280" s="307">
        <f t="shared" si="52"/>
        <v>0</v>
      </c>
    </row>
    <row r="281" spans="1:19">
      <c r="A281" s="142"/>
      <c r="B281" s="52"/>
      <c r="C281" s="21">
        <f t="shared" si="43"/>
        <v>1</v>
      </c>
      <c r="D281" s="634"/>
      <c r="E281" s="21">
        <f t="shared" si="44"/>
        <v>0.05</v>
      </c>
      <c r="F281" s="634"/>
      <c r="G281" s="21">
        <f t="shared" si="45"/>
        <v>1</v>
      </c>
      <c r="H281" s="634"/>
      <c r="I281" s="21">
        <f t="shared" si="46"/>
        <v>1</v>
      </c>
      <c r="J281" s="634"/>
      <c r="K281" s="21">
        <f t="shared" si="47"/>
        <v>1</v>
      </c>
      <c r="L281" s="634"/>
      <c r="M281" s="21">
        <f t="shared" si="48"/>
        <v>1</v>
      </c>
      <c r="N281" s="634"/>
      <c r="O281" s="21">
        <f t="shared" si="49"/>
        <v>1</v>
      </c>
      <c r="P281" s="634"/>
      <c r="Q281" s="21">
        <f t="shared" si="50"/>
        <v>0</v>
      </c>
      <c r="R281" s="21">
        <f t="shared" si="51"/>
        <v>0</v>
      </c>
      <c r="S281" s="307">
        <f t="shared" si="52"/>
        <v>0</v>
      </c>
    </row>
    <row r="282" spans="1:19">
      <c r="A282" s="142"/>
      <c r="B282" s="52"/>
      <c r="C282" s="21">
        <f t="shared" ref="C282:C345" si="53">IF(B282="",1,(LOOKUP(B282,$3:$3,$4:$4)-LOOKUP($B$24,$3:$3,$4:$4)+100)/100)</f>
        <v>1</v>
      </c>
      <c r="D282" s="634"/>
      <c r="E282" s="21">
        <f t="shared" ref="E282:E345" si="54">(SUMIF($5:$5,D282,$6:$6)-SUMIF($5:$5,$D$24,$6:$6)+100)/100</f>
        <v>0.05</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0</v>
      </c>
      <c r="R282" s="21">
        <f t="shared" ref="R282:R345" si="61">IF(B282="",0,ROUND($R$24*C282*E282*G282*I282*K282*M282*O282*Q282,0))</f>
        <v>0</v>
      </c>
      <c r="S282" s="307">
        <f t="shared" si="52"/>
        <v>0</v>
      </c>
    </row>
    <row r="283" spans="1:19">
      <c r="A283" s="142"/>
      <c r="B283" s="52"/>
      <c r="C283" s="21">
        <f t="shared" si="53"/>
        <v>1</v>
      </c>
      <c r="D283" s="634"/>
      <c r="E283" s="21">
        <f t="shared" si="54"/>
        <v>0.05</v>
      </c>
      <c r="F283" s="634"/>
      <c r="G283" s="21">
        <f t="shared" si="55"/>
        <v>1</v>
      </c>
      <c r="H283" s="634"/>
      <c r="I283" s="21">
        <f t="shared" si="56"/>
        <v>1</v>
      </c>
      <c r="J283" s="634"/>
      <c r="K283" s="21">
        <f t="shared" si="57"/>
        <v>1</v>
      </c>
      <c r="L283" s="634"/>
      <c r="M283" s="21">
        <f t="shared" si="58"/>
        <v>1</v>
      </c>
      <c r="N283" s="634"/>
      <c r="O283" s="21">
        <f t="shared" si="59"/>
        <v>1</v>
      </c>
      <c r="P283" s="634"/>
      <c r="Q283" s="21">
        <f t="shared" si="60"/>
        <v>0</v>
      </c>
      <c r="R283" s="21">
        <f t="shared" si="61"/>
        <v>0</v>
      </c>
      <c r="S283" s="307">
        <f t="shared" si="52"/>
        <v>0</v>
      </c>
    </row>
    <row r="284" spans="1:19">
      <c r="A284" s="142"/>
      <c r="B284" s="52"/>
      <c r="C284" s="21">
        <f t="shared" si="53"/>
        <v>1</v>
      </c>
      <c r="D284" s="634"/>
      <c r="E284" s="21">
        <f t="shared" si="54"/>
        <v>0.05</v>
      </c>
      <c r="F284" s="634"/>
      <c r="G284" s="21">
        <f t="shared" si="55"/>
        <v>1</v>
      </c>
      <c r="H284" s="634"/>
      <c r="I284" s="21">
        <f t="shared" si="56"/>
        <v>1</v>
      </c>
      <c r="J284" s="634"/>
      <c r="K284" s="21">
        <f t="shared" si="57"/>
        <v>1</v>
      </c>
      <c r="L284" s="634"/>
      <c r="M284" s="21">
        <f t="shared" si="58"/>
        <v>1</v>
      </c>
      <c r="N284" s="634"/>
      <c r="O284" s="21">
        <f t="shared" si="59"/>
        <v>1</v>
      </c>
      <c r="P284" s="634"/>
      <c r="Q284" s="21">
        <f t="shared" si="60"/>
        <v>0</v>
      </c>
      <c r="R284" s="21">
        <f t="shared" si="61"/>
        <v>0</v>
      </c>
      <c r="S284" s="307">
        <f t="shared" si="52"/>
        <v>0</v>
      </c>
    </row>
    <row r="285" spans="1:19">
      <c r="A285" s="142"/>
      <c r="B285" s="52"/>
      <c r="C285" s="21">
        <f t="shared" si="53"/>
        <v>1</v>
      </c>
      <c r="D285" s="634"/>
      <c r="E285" s="21">
        <f t="shared" si="54"/>
        <v>0.05</v>
      </c>
      <c r="F285" s="634"/>
      <c r="G285" s="21">
        <f t="shared" si="55"/>
        <v>1</v>
      </c>
      <c r="H285" s="634"/>
      <c r="I285" s="21">
        <f t="shared" si="56"/>
        <v>1</v>
      </c>
      <c r="J285" s="634"/>
      <c r="K285" s="21">
        <f t="shared" si="57"/>
        <v>1</v>
      </c>
      <c r="L285" s="634"/>
      <c r="M285" s="21">
        <f t="shared" si="58"/>
        <v>1</v>
      </c>
      <c r="N285" s="634"/>
      <c r="O285" s="21">
        <f t="shared" si="59"/>
        <v>1</v>
      </c>
      <c r="P285" s="634"/>
      <c r="Q285" s="21">
        <f t="shared" si="60"/>
        <v>0</v>
      </c>
      <c r="R285" s="21">
        <f t="shared" si="61"/>
        <v>0</v>
      </c>
      <c r="S285" s="307">
        <f t="shared" si="52"/>
        <v>0</v>
      </c>
    </row>
    <row r="286" spans="1:19">
      <c r="A286" s="142"/>
      <c r="B286" s="52"/>
      <c r="C286" s="21">
        <f t="shared" si="53"/>
        <v>1</v>
      </c>
      <c r="D286" s="634"/>
      <c r="E286" s="21">
        <f t="shared" si="54"/>
        <v>0.05</v>
      </c>
      <c r="F286" s="634"/>
      <c r="G286" s="21">
        <f t="shared" si="55"/>
        <v>1</v>
      </c>
      <c r="H286" s="634"/>
      <c r="I286" s="21">
        <f t="shared" si="56"/>
        <v>1</v>
      </c>
      <c r="J286" s="634"/>
      <c r="K286" s="21">
        <f t="shared" si="57"/>
        <v>1</v>
      </c>
      <c r="L286" s="634"/>
      <c r="M286" s="21">
        <f t="shared" si="58"/>
        <v>1</v>
      </c>
      <c r="N286" s="634"/>
      <c r="O286" s="21">
        <f t="shared" si="59"/>
        <v>1</v>
      </c>
      <c r="P286" s="634"/>
      <c r="Q286" s="21">
        <f t="shared" si="60"/>
        <v>0</v>
      </c>
      <c r="R286" s="21">
        <f t="shared" si="61"/>
        <v>0</v>
      </c>
      <c r="S286" s="307">
        <f t="shared" si="52"/>
        <v>0</v>
      </c>
    </row>
    <row r="287" spans="1:19">
      <c r="A287" s="142"/>
      <c r="B287" s="52"/>
      <c r="C287" s="21">
        <f t="shared" si="53"/>
        <v>1</v>
      </c>
      <c r="D287" s="634"/>
      <c r="E287" s="21">
        <f t="shared" si="54"/>
        <v>0.05</v>
      </c>
      <c r="F287" s="634"/>
      <c r="G287" s="21">
        <f t="shared" si="55"/>
        <v>1</v>
      </c>
      <c r="H287" s="634"/>
      <c r="I287" s="21">
        <f t="shared" si="56"/>
        <v>1</v>
      </c>
      <c r="J287" s="634"/>
      <c r="K287" s="21">
        <f t="shared" si="57"/>
        <v>1</v>
      </c>
      <c r="L287" s="634"/>
      <c r="M287" s="21">
        <f t="shared" si="58"/>
        <v>1</v>
      </c>
      <c r="N287" s="634"/>
      <c r="O287" s="21">
        <f t="shared" si="59"/>
        <v>1</v>
      </c>
      <c r="P287" s="634"/>
      <c r="Q287" s="21">
        <f t="shared" si="60"/>
        <v>0</v>
      </c>
      <c r="R287" s="21">
        <f t="shared" si="61"/>
        <v>0</v>
      </c>
      <c r="S287" s="307">
        <f t="shared" ref="S287:S320" si="62">ROUND(R287*B287/10000,0)</f>
        <v>0</v>
      </c>
    </row>
    <row r="288" spans="1:19">
      <c r="A288" s="142"/>
      <c r="B288" s="52"/>
      <c r="C288" s="21">
        <f t="shared" si="53"/>
        <v>1</v>
      </c>
      <c r="D288" s="634"/>
      <c r="E288" s="21">
        <f t="shared" si="54"/>
        <v>0.05</v>
      </c>
      <c r="F288" s="634"/>
      <c r="G288" s="21">
        <f t="shared" si="55"/>
        <v>1</v>
      </c>
      <c r="H288" s="634"/>
      <c r="I288" s="21">
        <f t="shared" si="56"/>
        <v>1</v>
      </c>
      <c r="J288" s="634"/>
      <c r="K288" s="21">
        <f t="shared" si="57"/>
        <v>1</v>
      </c>
      <c r="L288" s="634"/>
      <c r="M288" s="21">
        <f t="shared" si="58"/>
        <v>1</v>
      </c>
      <c r="N288" s="634"/>
      <c r="O288" s="21">
        <f t="shared" si="59"/>
        <v>1</v>
      </c>
      <c r="P288" s="634"/>
      <c r="Q288" s="21">
        <f t="shared" si="60"/>
        <v>0</v>
      </c>
      <c r="R288" s="21">
        <f t="shared" si="61"/>
        <v>0</v>
      </c>
      <c r="S288" s="307">
        <f t="shared" si="62"/>
        <v>0</v>
      </c>
    </row>
    <row r="289" spans="1:19">
      <c r="A289" s="142"/>
      <c r="B289" s="52"/>
      <c r="C289" s="21">
        <f t="shared" si="53"/>
        <v>1</v>
      </c>
      <c r="D289" s="634"/>
      <c r="E289" s="21">
        <f t="shared" si="54"/>
        <v>0.05</v>
      </c>
      <c r="F289" s="634"/>
      <c r="G289" s="21">
        <f t="shared" si="55"/>
        <v>1</v>
      </c>
      <c r="H289" s="634"/>
      <c r="I289" s="21">
        <f t="shared" si="56"/>
        <v>1</v>
      </c>
      <c r="J289" s="634"/>
      <c r="K289" s="21">
        <f t="shared" si="57"/>
        <v>1</v>
      </c>
      <c r="L289" s="634"/>
      <c r="M289" s="21">
        <f t="shared" si="58"/>
        <v>1</v>
      </c>
      <c r="N289" s="634"/>
      <c r="O289" s="21">
        <f t="shared" si="59"/>
        <v>1</v>
      </c>
      <c r="P289" s="634"/>
      <c r="Q289" s="21">
        <f t="shared" si="60"/>
        <v>0</v>
      </c>
      <c r="R289" s="21">
        <f t="shared" si="61"/>
        <v>0</v>
      </c>
      <c r="S289" s="307">
        <f t="shared" si="62"/>
        <v>0</v>
      </c>
    </row>
    <row r="290" spans="1:19">
      <c r="A290" s="142"/>
      <c r="B290" s="52"/>
      <c r="C290" s="21">
        <f t="shared" si="53"/>
        <v>1</v>
      </c>
      <c r="D290" s="634"/>
      <c r="E290" s="21">
        <f t="shared" si="54"/>
        <v>0.05</v>
      </c>
      <c r="F290" s="634"/>
      <c r="G290" s="21">
        <f t="shared" si="55"/>
        <v>1</v>
      </c>
      <c r="H290" s="634"/>
      <c r="I290" s="21">
        <f t="shared" si="56"/>
        <v>1</v>
      </c>
      <c r="J290" s="634"/>
      <c r="K290" s="21">
        <f t="shared" si="57"/>
        <v>1</v>
      </c>
      <c r="L290" s="634"/>
      <c r="M290" s="21">
        <f t="shared" si="58"/>
        <v>1</v>
      </c>
      <c r="N290" s="634"/>
      <c r="O290" s="21">
        <f t="shared" si="59"/>
        <v>1</v>
      </c>
      <c r="P290" s="634"/>
      <c r="Q290" s="21">
        <f t="shared" si="60"/>
        <v>0</v>
      </c>
      <c r="R290" s="21">
        <f t="shared" si="61"/>
        <v>0</v>
      </c>
      <c r="S290" s="307">
        <f t="shared" si="62"/>
        <v>0</v>
      </c>
    </row>
    <row r="291" spans="1:19">
      <c r="A291" s="142"/>
      <c r="B291" s="52"/>
      <c r="C291" s="21">
        <f t="shared" si="53"/>
        <v>1</v>
      </c>
      <c r="D291" s="634"/>
      <c r="E291" s="21">
        <f t="shared" si="54"/>
        <v>0.05</v>
      </c>
      <c r="F291" s="634"/>
      <c r="G291" s="21">
        <f t="shared" si="55"/>
        <v>1</v>
      </c>
      <c r="H291" s="634"/>
      <c r="I291" s="21">
        <f t="shared" si="56"/>
        <v>1</v>
      </c>
      <c r="J291" s="634"/>
      <c r="K291" s="21">
        <f t="shared" si="57"/>
        <v>1</v>
      </c>
      <c r="L291" s="634"/>
      <c r="M291" s="21">
        <f t="shared" si="58"/>
        <v>1</v>
      </c>
      <c r="N291" s="634"/>
      <c r="O291" s="21">
        <f t="shared" si="59"/>
        <v>1</v>
      </c>
      <c r="P291" s="634"/>
      <c r="Q291" s="21">
        <f t="shared" si="60"/>
        <v>0</v>
      </c>
      <c r="R291" s="21">
        <f t="shared" si="61"/>
        <v>0</v>
      </c>
      <c r="S291" s="307">
        <f t="shared" si="62"/>
        <v>0</v>
      </c>
    </row>
    <row r="292" spans="1:19">
      <c r="A292" s="142"/>
      <c r="B292" s="52"/>
      <c r="C292" s="21">
        <f t="shared" si="53"/>
        <v>1</v>
      </c>
      <c r="D292" s="634"/>
      <c r="E292" s="21">
        <f t="shared" si="54"/>
        <v>0.05</v>
      </c>
      <c r="F292" s="634"/>
      <c r="G292" s="21">
        <f t="shared" si="55"/>
        <v>1</v>
      </c>
      <c r="H292" s="634"/>
      <c r="I292" s="21">
        <f t="shared" si="56"/>
        <v>1</v>
      </c>
      <c r="J292" s="634"/>
      <c r="K292" s="21">
        <f t="shared" si="57"/>
        <v>1</v>
      </c>
      <c r="L292" s="634"/>
      <c r="M292" s="21">
        <f t="shared" si="58"/>
        <v>1</v>
      </c>
      <c r="N292" s="634"/>
      <c r="O292" s="21">
        <f t="shared" si="59"/>
        <v>1</v>
      </c>
      <c r="P292" s="634"/>
      <c r="Q292" s="21">
        <f t="shared" si="60"/>
        <v>0</v>
      </c>
      <c r="R292" s="21">
        <f t="shared" si="61"/>
        <v>0</v>
      </c>
      <c r="S292" s="307">
        <f t="shared" si="62"/>
        <v>0</v>
      </c>
    </row>
    <row r="293" spans="1:19">
      <c r="A293" s="142"/>
      <c r="B293" s="52"/>
      <c r="C293" s="21">
        <f t="shared" si="53"/>
        <v>1</v>
      </c>
      <c r="D293" s="634"/>
      <c r="E293" s="21">
        <f t="shared" si="54"/>
        <v>0.05</v>
      </c>
      <c r="F293" s="634"/>
      <c r="G293" s="21">
        <f t="shared" si="55"/>
        <v>1</v>
      </c>
      <c r="H293" s="634"/>
      <c r="I293" s="21">
        <f t="shared" si="56"/>
        <v>1</v>
      </c>
      <c r="J293" s="634"/>
      <c r="K293" s="21">
        <f t="shared" si="57"/>
        <v>1</v>
      </c>
      <c r="L293" s="634"/>
      <c r="M293" s="21">
        <f t="shared" si="58"/>
        <v>1</v>
      </c>
      <c r="N293" s="634"/>
      <c r="O293" s="21">
        <f t="shared" si="59"/>
        <v>1</v>
      </c>
      <c r="P293" s="634"/>
      <c r="Q293" s="21">
        <f t="shared" si="60"/>
        <v>0</v>
      </c>
      <c r="R293" s="21">
        <f t="shared" si="61"/>
        <v>0</v>
      </c>
      <c r="S293" s="307">
        <f t="shared" si="62"/>
        <v>0</v>
      </c>
    </row>
    <row r="294" spans="1:19">
      <c r="A294" s="142"/>
      <c r="B294" s="52"/>
      <c r="C294" s="21">
        <f t="shared" si="53"/>
        <v>1</v>
      </c>
      <c r="D294" s="634"/>
      <c r="E294" s="21">
        <f t="shared" si="54"/>
        <v>0.05</v>
      </c>
      <c r="F294" s="634"/>
      <c r="G294" s="21">
        <f t="shared" si="55"/>
        <v>1</v>
      </c>
      <c r="H294" s="634"/>
      <c r="I294" s="21">
        <f t="shared" si="56"/>
        <v>1</v>
      </c>
      <c r="J294" s="634"/>
      <c r="K294" s="21">
        <f t="shared" si="57"/>
        <v>1</v>
      </c>
      <c r="L294" s="634"/>
      <c r="M294" s="21">
        <f t="shared" si="58"/>
        <v>1</v>
      </c>
      <c r="N294" s="634"/>
      <c r="O294" s="21">
        <f t="shared" si="59"/>
        <v>1</v>
      </c>
      <c r="P294" s="634"/>
      <c r="Q294" s="21">
        <f t="shared" si="60"/>
        <v>0</v>
      </c>
      <c r="R294" s="21">
        <f t="shared" si="61"/>
        <v>0</v>
      </c>
      <c r="S294" s="307">
        <f t="shared" si="62"/>
        <v>0</v>
      </c>
    </row>
    <row r="295" spans="1:19">
      <c r="A295" s="142"/>
      <c r="B295" s="52"/>
      <c r="C295" s="21">
        <f t="shared" si="53"/>
        <v>1</v>
      </c>
      <c r="D295" s="634"/>
      <c r="E295" s="21">
        <f t="shared" si="54"/>
        <v>0.05</v>
      </c>
      <c r="F295" s="634"/>
      <c r="G295" s="21">
        <f t="shared" si="55"/>
        <v>1</v>
      </c>
      <c r="H295" s="634"/>
      <c r="I295" s="21">
        <f t="shared" si="56"/>
        <v>1</v>
      </c>
      <c r="J295" s="634"/>
      <c r="K295" s="21">
        <f t="shared" si="57"/>
        <v>1</v>
      </c>
      <c r="L295" s="634"/>
      <c r="M295" s="21">
        <f t="shared" si="58"/>
        <v>1</v>
      </c>
      <c r="N295" s="634"/>
      <c r="O295" s="21">
        <f t="shared" si="59"/>
        <v>1</v>
      </c>
      <c r="P295" s="634"/>
      <c r="Q295" s="21">
        <f t="shared" si="60"/>
        <v>0</v>
      </c>
      <c r="R295" s="21">
        <f t="shared" si="61"/>
        <v>0</v>
      </c>
      <c r="S295" s="307">
        <f t="shared" si="62"/>
        <v>0</v>
      </c>
    </row>
    <row r="296" spans="1:19">
      <c r="A296" s="142"/>
      <c r="B296" s="52"/>
      <c r="C296" s="21">
        <f t="shared" si="53"/>
        <v>1</v>
      </c>
      <c r="D296" s="634"/>
      <c r="E296" s="21">
        <f t="shared" si="54"/>
        <v>0.05</v>
      </c>
      <c r="F296" s="634"/>
      <c r="G296" s="21">
        <f t="shared" si="55"/>
        <v>1</v>
      </c>
      <c r="H296" s="634"/>
      <c r="I296" s="21">
        <f t="shared" si="56"/>
        <v>1</v>
      </c>
      <c r="J296" s="634"/>
      <c r="K296" s="21">
        <f t="shared" si="57"/>
        <v>1</v>
      </c>
      <c r="L296" s="634"/>
      <c r="M296" s="21">
        <f t="shared" si="58"/>
        <v>1</v>
      </c>
      <c r="N296" s="634"/>
      <c r="O296" s="21">
        <f t="shared" si="59"/>
        <v>1</v>
      </c>
      <c r="P296" s="634"/>
      <c r="Q296" s="21">
        <f t="shared" si="60"/>
        <v>0</v>
      </c>
      <c r="R296" s="21">
        <f t="shared" si="61"/>
        <v>0</v>
      </c>
      <c r="S296" s="307">
        <f t="shared" si="62"/>
        <v>0</v>
      </c>
    </row>
    <row r="297" spans="1:19">
      <c r="A297" s="142"/>
      <c r="B297" s="52"/>
      <c r="C297" s="21">
        <f t="shared" si="53"/>
        <v>1</v>
      </c>
      <c r="D297" s="634"/>
      <c r="E297" s="21">
        <f t="shared" si="54"/>
        <v>0.05</v>
      </c>
      <c r="F297" s="634"/>
      <c r="G297" s="21">
        <f t="shared" si="55"/>
        <v>1</v>
      </c>
      <c r="H297" s="634"/>
      <c r="I297" s="21">
        <f t="shared" si="56"/>
        <v>1</v>
      </c>
      <c r="J297" s="634"/>
      <c r="K297" s="21">
        <f t="shared" si="57"/>
        <v>1</v>
      </c>
      <c r="L297" s="634"/>
      <c r="M297" s="21">
        <f t="shared" si="58"/>
        <v>1</v>
      </c>
      <c r="N297" s="634"/>
      <c r="O297" s="21">
        <f t="shared" si="59"/>
        <v>1</v>
      </c>
      <c r="P297" s="634"/>
      <c r="Q297" s="21">
        <f t="shared" si="60"/>
        <v>0</v>
      </c>
      <c r="R297" s="21">
        <f t="shared" si="61"/>
        <v>0</v>
      </c>
      <c r="S297" s="307">
        <f t="shared" si="62"/>
        <v>0</v>
      </c>
    </row>
    <row r="298" spans="1:19">
      <c r="A298" s="142"/>
      <c r="B298" s="52"/>
      <c r="C298" s="21">
        <f t="shared" si="53"/>
        <v>1</v>
      </c>
      <c r="D298" s="634"/>
      <c r="E298" s="21">
        <f t="shared" si="54"/>
        <v>0.05</v>
      </c>
      <c r="F298" s="634"/>
      <c r="G298" s="21">
        <f t="shared" si="55"/>
        <v>1</v>
      </c>
      <c r="H298" s="634"/>
      <c r="I298" s="21">
        <f t="shared" si="56"/>
        <v>1</v>
      </c>
      <c r="J298" s="634"/>
      <c r="K298" s="21">
        <f t="shared" si="57"/>
        <v>1</v>
      </c>
      <c r="L298" s="634"/>
      <c r="M298" s="21">
        <f t="shared" si="58"/>
        <v>1</v>
      </c>
      <c r="N298" s="634"/>
      <c r="O298" s="21">
        <f t="shared" si="59"/>
        <v>1</v>
      </c>
      <c r="P298" s="634"/>
      <c r="Q298" s="21">
        <f t="shared" si="60"/>
        <v>0</v>
      </c>
      <c r="R298" s="21">
        <f t="shared" si="61"/>
        <v>0</v>
      </c>
      <c r="S298" s="307">
        <f t="shared" si="62"/>
        <v>0</v>
      </c>
    </row>
    <row r="299" spans="1:19">
      <c r="A299" s="142"/>
      <c r="B299" s="52"/>
      <c r="C299" s="21">
        <f t="shared" si="53"/>
        <v>1</v>
      </c>
      <c r="D299" s="634"/>
      <c r="E299" s="21">
        <f t="shared" si="54"/>
        <v>0.05</v>
      </c>
      <c r="F299" s="634"/>
      <c r="G299" s="21">
        <f t="shared" si="55"/>
        <v>1</v>
      </c>
      <c r="H299" s="634"/>
      <c r="I299" s="21">
        <f t="shared" si="56"/>
        <v>1</v>
      </c>
      <c r="J299" s="634"/>
      <c r="K299" s="21">
        <f t="shared" si="57"/>
        <v>1</v>
      </c>
      <c r="L299" s="634"/>
      <c r="M299" s="21">
        <f t="shared" si="58"/>
        <v>1</v>
      </c>
      <c r="N299" s="634"/>
      <c r="O299" s="21">
        <f t="shared" si="59"/>
        <v>1</v>
      </c>
      <c r="P299" s="634"/>
      <c r="Q299" s="21">
        <f t="shared" si="60"/>
        <v>0</v>
      </c>
      <c r="R299" s="21">
        <f t="shared" si="61"/>
        <v>0</v>
      </c>
      <c r="S299" s="307">
        <f t="shared" si="62"/>
        <v>0</v>
      </c>
    </row>
    <row r="300" spans="1:19">
      <c r="A300" s="142"/>
      <c r="B300" s="52"/>
      <c r="C300" s="21">
        <f t="shared" si="53"/>
        <v>1</v>
      </c>
      <c r="D300" s="634"/>
      <c r="E300" s="21">
        <f t="shared" si="54"/>
        <v>0.05</v>
      </c>
      <c r="F300" s="634"/>
      <c r="G300" s="21">
        <f t="shared" si="55"/>
        <v>1</v>
      </c>
      <c r="H300" s="634"/>
      <c r="I300" s="21">
        <f t="shared" si="56"/>
        <v>1</v>
      </c>
      <c r="J300" s="634"/>
      <c r="K300" s="21">
        <f t="shared" si="57"/>
        <v>1</v>
      </c>
      <c r="L300" s="634"/>
      <c r="M300" s="21">
        <f t="shared" si="58"/>
        <v>1</v>
      </c>
      <c r="N300" s="634"/>
      <c r="O300" s="21">
        <f t="shared" si="59"/>
        <v>1</v>
      </c>
      <c r="P300" s="634"/>
      <c r="Q300" s="21">
        <f t="shared" si="60"/>
        <v>0</v>
      </c>
      <c r="R300" s="21">
        <f t="shared" si="61"/>
        <v>0</v>
      </c>
      <c r="S300" s="307">
        <f t="shared" si="62"/>
        <v>0</v>
      </c>
    </row>
    <row r="301" spans="1:19">
      <c r="A301" s="142"/>
      <c r="B301" s="52"/>
      <c r="C301" s="21">
        <f t="shared" si="53"/>
        <v>1</v>
      </c>
      <c r="D301" s="634"/>
      <c r="E301" s="21">
        <f t="shared" si="54"/>
        <v>0.05</v>
      </c>
      <c r="F301" s="634"/>
      <c r="G301" s="21">
        <f t="shared" si="55"/>
        <v>1</v>
      </c>
      <c r="H301" s="634"/>
      <c r="I301" s="21">
        <f t="shared" si="56"/>
        <v>1</v>
      </c>
      <c r="J301" s="634"/>
      <c r="K301" s="21">
        <f t="shared" si="57"/>
        <v>1</v>
      </c>
      <c r="L301" s="634"/>
      <c r="M301" s="21">
        <f t="shared" si="58"/>
        <v>1</v>
      </c>
      <c r="N301" s="634"/>
      <c r="O301" s="21">
        <f t="shared" si="59"/>
        <v>1</v>
      </c>
      <c r="P301" s="634"/>
      <c r="Q301" s="21">
        <f t="shared" si="60"/>
        <v>0</v>
      </c>
      <c r="R301" s="21">
        <f t="shared" si="61"/>
        <v>0</v>
      </c>
      <c r="S301" s="307">
        <f t="shared" si="62"/>
        <v>0</v>
      </c>
    </row>
    <row r="302" spans="1:19">
      <c r="A302" s="142"/>
      <c r="B302" s="52"/>
      <c r="C302" s="21">
        <f t="shared" si="53"/>
        <v>1</v>
      </c>
      <c r="D302" s="634"/>
      <c r="E302" s="21">
        <f t="shared" si="54"/>
        <v>0.05</v>
      </c>
      <c r="F302" s="634"/>
      <c r="G302" s="21">
        <f t="shared" si="55"/>
        <v>1</v>
      </c>
      <c r="H302" s="634"/>
      <c r="I302" s="21">
        <f t="shared" si="56"/>
        <v>1</v>
      </c>
      <c r="J302" s="634"/>
      <c r="K302" s="21">
        <f t="shared" si="57"/>
        <v>1</v>
      </c>
      <c r="L302" s="634"/>
      <c r="M302" s="21">
        <f t="shared" si="58"/>
        <v>1</v>
      </c>
      <c r="N302" s="634"/>
      <c r="O302" s="21">
        <f t="shared" si="59"/>
        <v>1</v>
      </c>
      <c r="P302" s="634"/>
      <c r="Q302" s="21">
        <f t="shared" si="60"/>
        <v>0</v>
      </c>
      <c r="R302" s="21">
        <f t="shared" si="61"/>
        <v>0</v>
      </c>
      <c r="S302" s="307">
        <f t="shared" si="62"/>
        <v>0</v>
      </c>
    </row>
    <row r="303" spans="1:19">
      <c r="A303" s="142"/>
      <c r="B303" s="52"/>
      <c r="C303" s="21">
        <f t="shared" si="53"/>
        <v>1</v>
      </c>
      <c r="D303" s="634"/>
      <c r="E303" s="21">
        <f t="shared" si="54"/>
        <v>0.05</v>
      </c>
      <c r="F303" s="634"/>
      <c r="G303" s="21">
        <f t="shared" si="55"/>
        <v>1</v>
      </c>
      <c r="H303" s="634"/>
      <c r="I303" s="21">
        <f t="shared" si="56"/>
        <v>1</v>
      </c>
      <c r="J303" s="634"/>
      <c r="K303" s="21">
        <f t="shared" si="57"/>
        <v>1</v>
      </c>
      <c r="L303" s="634"/>
      <c r="M303" s="21">
        <f t="shared" si="58"/>
        <v>1</v>
      </c>
      <c r="N303" s="634"/>
      <c r="O303" s="21">
        <f t="shared" si="59"/>
        <v>1</v>
      </c>
      <c r="P303" s="634"/>
      <c r="Q303" s="21">
        <f t="shared" si="60"/>
        <v>0</v>
      </c>
      <c r="R303" s="21">
        <f t="shared" si="61"/>
        <v>0</v>
      </c>
      <c r="S303" s="307">
        <f t="shared" si="62"/>
        <v>0</v>
      </c>
    </row>
    <row r="304" spans="1:19">
      <c r="A304" s="142"/>
      <c r="B304" s="52"/>
      <c r="C304" s="21">
        <f t="shared" si="53"/>
        <v>1</v>
      </c>
      <c r="D304" s="634"/>
      <c r="E304" s="21">
        <f t="shared" si="54"/>
        <v>0.05</v>
      </c>
      <c r="F304" s="634"/>
      <c r="G304" s="21">
        <f t="shared" si="55"/>
        <v>1</v>
      </c>
      <c r="H304" s="634"/>
      <c r="I304" s="21">
        <f t="shared" si="56"/>
        <v>1</v>
      </c>
      <c r="J304" s="634"/>
      <c r="K304" s="21">
        <f t="shared" si="57"/>
        <v>1</v>
      </c>
      <c r="L304" s="634"/>
      <c r="M304" s="21">
        <f t="shared" si="58"/>
        <v>1</v>
      </c>
      <c r="N304" s="634"/>
      <c r="O304" s="21">
        <f t="shared" si="59"/>
        <v>1</v>
      </c>
      <c r="P304" s="634"/>
      <c r="Q304" s="21">
        <f t="shared" si="60"/>
        <v>0</v>
      </c>
      <c r="R304" s="21">
        <f t="shared" si="61"/>
        <v>0</v>
      </c>
      <c r="S304" s="307">
        <f t="shared" si="62"/>
        <v>0</v>
      </c>
    </row>
    <row r="305" spans="1:19">
      <c r="A305" s="142"/>
      <c r="B305" s="52"/>
      <c r="C305" s="21">
        <f t="shared" si="53"/>
        <v>1</v>
      </c>
      <c r="D305" s="634"/>
      <c r="E305" s="21">
        <f t="shared" si="54"/>
        <v>0.05</v>
      </c>
      <c r="F305" s="634"/>
      <c r="G305" s="21">
        <f t="shared" si="55"/>
        <v>1</v>
      </c>
      <c r="H305" s="634"/>
      <c r="I305" s="21">
        <f t="shared" si="56"/>
        <v>1</v>
      </c>
      <c r="J305" s="634"/>
      <c r="K305" s="21">
        <f t="shared" si="57"/>
        <v>1</v>
      </c>
      <c r="L305" s="634"/>
      <c r="M305" s="21">
        <f t="shared" si="58"/>
        <v>1</v>
      </c>
      <c r="N305" s="634"/>
      <c r="O305" s="21">
        <f t="shared" si="59"/>
        <v>1</v>
      </c>
      <c r="P305" s="634"/>
      <c r="Q305" s="21">
        <f t="shared" si="60"/>
        <v>0</v>
      </c>
      <c r="R305" s="21">
        <f t="shared" si="61"/>
        <v>0</v>
      </c>
      <c r="S305" s="307">
        <f t="shared" si="62"/>
        <v>0</v>
      </c>
    </row>
    <row r="306" spans="1:19">
      <c r="A306" s="142"/>
      <c r="B306" s="52"/>
      <c r="C306" s="21">
        <f t="shared" si="53"/>
        <v>1</v>
      </c>
      <c r="D306" s="634"/>
      <c r="E306" s="21">
        <f t="shared" si="54"/>
        <v>0.05</v>
      </c>
      <c r="F306" s="634"/>
      <c r="G306" s="21">
        <f t="shared" si="55"/>
        <v>1</v>
      </c>
      <c r="H306" s="634"/>
      <c r="I306" s="21">
        <f t="shared" si="56"/>
        <v>1</v>
      </c>
      <c r="J306" s="634"/>
      <c r="K306" s="21">
        <f t="shared" si="57"/>
        <v>1</v>
      </c>
      <c r="L306" s="634"/>
      <c r="M306" s="21">
        <f t="shared" si="58"/>
        <v>1</v>
      </c>
      <c r="N306" s="634"/>
      <c r="O306" s="21">
        <f t="shared" si="59"/>
        <v>1</v>
      </c>
      <c r="P306" s="634"/>
      <c r="Q306" s="21">
        <f t="shared" si="60"/>
        <v>0</v>
      </c>
      <c r="R306" s="21">
        <f t="shared" si="61"/>
        <v>0</v>
      </c>
      <c r="S306" s="307">
        <f t="shared" si="62"/>
        <v>0</v>
      </c>
    </row>
    <row r="307" spans="1:19">
      <c r="A307" s="142"/>
      <c r="B307" s="52"/>
      <c r="C307" s="21">
        <f t="shared" si="53"/>
        <v>1</v>
      </c>
      <c r="D307" s="634"/>
      <c r="E307" s="21">
        <f t="shared" si="54"/>
        <v>0.05</v>
      </c>
      <c r="F307" s="634"/>
      <c r="G307" s="21">
        <f t="shared" si="55"/>
        <v>1</v>
      </c>
      <c r="H307" s="634"/>
      <c r="I307" s="21">
        <f t="shared" si="56"/>
        <v>1</v>
      </c>
      <c r="J307" s="634"/>
      <c r="K307" s="21">
        <f t="shared" si="57"/>
        <v>1</v>
      </c>
      <c r="L307" s="634"/>
      <c r="M307" s="21">
        <f t="shared" si="58"/>
        <v>1</v>
      </c>
      <c r="N307" s="634"/>
      <c r="O307" s="21">
        <f t="shared" si="59"/>
        <v>1</v>
      </c>
      <c r="P307" s="634"/>
      <c r="Q307" s="21">
        <f t="shared" si="60"/>
        <v>0</v>
      </c>
      <c r="R307" s="21">
        <f t="shared" si="61"/>
        <v>0</v>
      </c>
      <c r="S307" s="307">
        <f t="shared" si="62"/>
        <v>0</v>
      </c>
    </row>
    <row r="308" spans="1:19">
      <c r="A308" s="142"/>
      <c r="B308" s="52"/>
      <c r="C308" s="21">
        <f t="shared" si="53"/>
        <v>1</v>
      </c>
      <c r="D308" s="634"/>
      <c r="E308" s="21">
        <f t="shared" si="54"/>
        <v>0.05</v>
      </c>
      <c r="F308" s="634"/>
      <c r="G308" s="21">
        <f t="shared" si="55"/>
        <v>1</v>
      </c>
      <c r="H308" s="634"/>
      <c r="I308" s="21">
        <f t="shared" si="56"/>
        <v>1</v>
      </c>
      <c r="J308" s="634"/>
      <c r="K308" s="21">
        <f t="shared" si="57"/>
        <v>1</v>
      </c>
      <c r="L308" s="634"/>
      <c r="M308" s="21">
        <f t="shared" si="58"/>
        <v>1</v>
      </c>
      <c r="N308" s="634"/>
      <c r="O308" s="21">
        <f t="shared" si="59"/>
        <v>1</v>
      </c>
      <c r="P308" s="634"/>
      <c r="Q308" s="21">
        <f t="shared" si="60"/>
        <v>0</v>
      </c>
      <c r="R308" s="21">
        <f t="shared" si="61"/>
        <v>0</v>
      </c>
      <c r="S308" s="307">
        <f t="shared" si="62"/>
        <v>0</v>
      </c>
    </row>
    <row r="309" spans="1:19">
      <c r="A309" s="142"/>
      <c r="B309" s="52"/>
      <c r="C309" s="21">
        <f t="shared" si="53"/>
        <v>1</v>
      </c>
      <c r="D309" s="634"/>
      <c r="E309" s="21">
        <f t="shared" si="54"/>
        <v>0.05</v>
      </c>
      <c r="F309" s="634"/>
      <c r="G309" s="21">
        <f t="shared" si="55"/>
        <v>1</v>
      </c>
      <c r="H309" s="634"/>
      <c r="I309" s="21">
        <f t="shared" si="56"/>
        <v>1</v>
      </c>
      <c r="J309" s="634"/>
      <c r="K309" s="21">
        <f t="shared" si="57"/>
        <v>1</v>
      </c>
      <c r="L309" s="634"/>
      <c r="M309" s="21">
        <f t="shared" si="58"/>
        <v>1</v>
      </c>
      <c r="N309" s="634"/>
      <c r="O309" s="21">
        <f t="shared" si="59"/>
        <v>1</v>
      </c>
      <c r="P309" s="634"/>
      <c r="Q309" s="21">
        <f t="shared" si="60"/>
        <v>0</v>
      </c>
      <c r="R309" s="21">
        <f t="shared" si="61"/>
        <v>0</v>
      </c>
      <c r="S309" s="307">
        <f t="shared" si="62"/>
        <v>0</v>
      </c>
    </row>
    <row r="310" spans="1:19">
      <c r="A310" s="142"/>
      <c r="B310" s="52"/>
      <c r="C310" s="21">
        <f t="shared" si="53"/>
        <v>1</v>
      </c>
      <c r="D310" s="634"/>
      <c r="E310" s="21">
        <f t="shared" si="54"/>
        <v>0.05</v>
      </c>
      <c r="F310" s="634"/>
      <c r="G310" s="21">
        <f t="shared" si="55"/>
        <v>1</v>
      </c>
      <c r="H310" s="634"/>
      <c r="I310" s="21">
        <f t="shared" si="56"/>
        <v>1</v>
      </c>
      <c r="J310" s="634"/>
      <c r="K310" s="21">
        <f t="shared" si="57"/>
        <v>1</v>
      </c>
      <c r="L310" s="634"/>
      <c r="M310" s="21">
        <f t="shared" si="58"/>
        <v>1</v>
      </c>
      <c r="N310" s="634"/>
      <c r="O310" s="21">
        <f t="shared" si="59"/>
        <v>1</v>
      </c>
      <c r="P310" s="634"/>
      <c r="Q310" s="21">
        <f t="shared" si="60"/>
        <v>0</v>
      </c>
      <c r="R310" s="21">
        <f t="shared" si="61"/>
        <v>0</v>
      </c>
      <c r="S310" s="307">
        <f t="shared" si="62"/>
        <v>0</v>
      </c>
    </row>
    <row r="311" spans="1:19">
      <c r="A311" s="142"/>
      <c r="B311" s="52"/>
      <c r="C311" s="21">
        <f t="shared" si="53"/>
        <v>1</v>
      </c>
      <c r="D311" s="634"/>
      <c r="E311" s="21">
        <f t="shared" si="54"/>
        <v>0.05</v>
      </c>
      <c r="F311" s="634"/>
      <c r="G311" s="21">
        <f t="shared" si="55"/>
        <v>1</v>
      </c>
      <c r="H311" s="634"/>
      <c r="I311" s="21">
        <f t="shared" si="56"/>
        <v>1</v>
      </c>
      <c r="J311" s="634"/>
      <c r="K311" s="21">
        <f t="shared" si="57"/>
        <v>1</v>
      </c>
      <c r="L311" s="634"/>
      <c r="M311" s="21">
        <f t="shared" si="58"/>
        <v>1</v>
      </c>
      <c r="N311" s="634"/>
      <c r="O311" s="21">
        <f t="shared" si="59"/>
        <v>1</v>
      </c>
      <c r="P311" s="634"/>
      <c r="Q311" s="21">
        <f t="shared" si="60"/>
        <v>0</v>
      </c>
      <c r="R311" s="21">
        <f t="shared" si="61"/>
        <v>0</v>
      </c>
      <c r="S311" s="307">
        <f t="shared" si="62"/>
        <v>0</v>
      </c>
    </row>
    <row r="312" spans="1:19">
      <c r="A312" s="142"/>
      <c r="B312" s="52"/>
      <c r="C312" s="21">
        <f t="shared" si="53"/>
        <v>1</v>
      </c>
      <c r="D312" s="634"/>
      <c r="E312" s="21">
        <f t="shared" si="54"/>
        <v>0.05</v>
      </c>
      <c r="F312" s="634"/>
      <c r="G312" s="21">
        <f t="shared" si="55"/>
        <v>1</v>
      </c>
      <c r="H312" s="634"/>
      <c r="I312" s="21">
        <f t="shared" si="56"/>
        <v>1</v>
      </c>
      <c r="J312" s="634"/>
      <c r="K312" s="21">
        <f t="shared" si="57"/>
        <v>1</v>
      </c>
      <c r="L312" s="634"/>
      <c r="M312" s="21">
        <f t="shared" si="58"/>
        <v>1</v>
      </c>
      <c r="N312" s="634"/>
      <c r="O312" s="21">
        <f t="shared" si="59"/>
        <v>1</v>
      </c>
      <c r="P312" s="634"/>
      <c r="Q312" s="21">
        <f t="shared" si="60"/>
        <v>0</v>
      </c>
      <c r="R312" s="21">
        <f t="shared" si="61"/>
        <v>0</v>
      </c>
      <c r="S312" s="307">
        <f t="shared" si="62"/>
        <v>0</v>
      </c>
    </row>
    <row r="313" spans="1:19">
      <c r="A313" s="142"/>
      <c r="B313" s="52"/>
      <c r="C313" s="21">
        <f t="shared" si="53"/>
        <v>1</v>
      </c>
      <c r="D313" s="634"/>
      <c r="E313" s="21">
        <f t="shared" si="54"/>
        <v>0.05</v>
      </c>
      <c r="F313" s="634"/>
      <c r="G313" s="21">
        <f t="shared" si="55"/>
        <v>1</v>
      </c>
      <c r="H313" s="634"/>
      <c r="I313" s="21">
        <f t="shared" si="56"/>
        <v>1</v>
      </c>
      <c r="J313" s="634"/>
      <c r="K313" s="21">
        <f t="shared" si="57"/>
        <v>1</v>
      </c>
      <c r="L313" s="634"/>
      <c r="M313" s="21">
        <f t="shared" si="58"/>
        <v>1</v>
      </c>
      <c r="N313" s="634"/>
      <c r="O313" s="21">
        <f t="shared" si="59"/>
        <v>1</v>
      </c>
      <c r="P313" s="634"/>
      <c r="Q313" s="21">
        <f t="shared" si="60"/>
        <v>0</v>
      </c>
      <c r="R313" s="21">
        <f t="shared" si="61"/>
        <v>0</v>
      </c>
      <c r="S313" s="307">
        <f t="shared" si="62"/>
        <v>0</v>
      </c>
    </row>
    <row r="314" spans="1:19">
      <c r="A314" s="142"/>
      <c r="B314" s="52"/>
      <c r="C314" s="21">
        <f t="shared" si="53"/>
        <v>1</v>
      </c>
      <c r="D314" s="634"/>
      <c r="E314" s="21">
        <f t="shared" si="54"/>
        <v>0.05</v>
      </c>
      <c r="F314" s="634"/>
      <c r="G314" s="21">
        <f t="shared" si="55"/>
        <v>1</v>
      </c>
      <c r="H314" s="634"/>
      <c r="I314" s="21">
        <f t="shared" si="56"/>
        <v>1</v>
      </c>
      <c r="J314" s="634"/>
      <c r="K314" s="21">
        <f t="shared" si="57"/>
        <v>1</v>
      </c>
      <c r="L314" s="634"/>
      <c r="M314" s="21">
        <f t="shared" si="58"/>
        <v>1</v>
      </c>
      <c r="N314" s="634"/>
      <c r="O314" s="21">
        <f t="shared" si="59"/>
        <v>1</v>
      </c>
      <c r="P314" s="634"/>
      <c r="Q314" s="21">
        <f t="shared" si="60"/>
        <v>0</v>
      </c>
      <c r="R314" s="21">
        <f t="shared" si="61"/>
        <v>0</v>
      </c>
      <c r="S314" s="307">
        <f t="shared" si="62"/>
        <v>0</v>
      </c>
    </row>
    <row r="315" spans="1:19">
      <c r="A315" s="142"/>
      <c r="B315" s="52"/>
      <c r="C315" s="21">
        <f t="shared" si="53"/>
        <v>1</v>
      </c>
      <c r="D315" s="634"/>
      <c r="E315" s="21">
        <f t="shared" si="54"/>
        <v>0.05</v>
      </c>
      <c r="F315" s="634"/>
      <c r="G315" s="21">
        <f t="shared" si="55"/>
        <v>1</v>
      </c>
      <c r="H315" s="634"/>
      <c r="I315" s="21">
        <f t="shared" si="56"/>
        <v>1</v>
      </c>
      <c r="J315" s="634"/>
      <c r="K315" s="21">
        <f t="shared" si="57"/>
        <v>1</v>
      </c>
      <c r="L315" s="634"/>
      <c r="M315" s="21">
        <f t="shared" si="58"/>
        <v>1</v>
      </c>
      <c r="N315" s="634"/>
      <c r="O315" s="21">
        <f t="shared" si="59"/>
        <v>1</v>
      </c>
      <c r="P315" s="634"/>
      <c r="Q315" s="21">
        <f t="shared" si="60"/>
        <v>0</v>
      </c>
      <c r="R315" s="21">
        <f t="shared" si="61"/>
        <v>0</v>
      </c>
      <c r="S315" s="307">
        <f t="shared" si="62"/>
        <v>0</v>
      </c>
    </row>
    <row r="316" spans="1:19">
      <c r="A316" s="142"/>
      <c r="B316" s="52"/>
      <c r="C316" s="21">
        <f t="shared" si="53"/>
        <v>1</v>
      </c>
      <c r="D316" s="634"/>
      <c r="E316" s="21">
        <f t="shared" si="54"/>
        <v>0.05</v>
      </c>
      <c r="F316" s="634"/>
      <c r="G316" s="21">
        <f t="shared" si="55"/>
        <v>1</v>
      </c>
      <c r="H316" s="634"/>
      <c r="I316" s="21">
        <f t="shared" si="56"/>
        <v>1</v>
      </c>
      <c r="J316" s="634"/>
      <c r="K316" s="21">
        <f t="shared" si="57"/>
        <v>1</v>
      </c>
      <c r="L316" s="634"/>
      <c r="M316" s="21">
        <f t="shared" si="58"/>
        <v>1</v>
      </c>
      <c r="N316" s="634"/>
      <c r="O316" s="21">
        <f t="shared" si="59"/>
        <v>1</v>
      </c>
      <c r="P316" s="634"/>
      <c r="Q316" s="21">
        <f t="shared" si="60"/>
        <v>0</v>
      </c>
      <c r="R316" s="21">
        <f t="shared" si="61"/>
        <v>0</v>
      </c>
      <c r="S316" s="307">
        <f t="shared" si="62"/>
        <v>0</v>
      </c>
    </row>
    <row r="317" spans="1:19">
      <c r="A317" s="142"/>
      <c r="B317" s="52"/>
      <c r="C317" s="21">
        <f t="shared" si="53"/>
        <v>1</v>
      </c>
      <c r="D317" s="634"/>
      <c r="E317" s="21">
        <f t="shared" si="54"/>
        <v>0.05</v>
      </c>
      <c r="F317" s="634"/>
      <c r="G317" s="21">
        <f t="shared" si="55"/>
        <v>1</v>
      </c>
      <c r="H317" s="634"/>
      <c r="I317" s="21">
        <f t="shared" si="56"/>
        <v>1</v>
      </c>
      <c r="J317" s="634"/>
      <c r="K317" s="21">
        <f t="shared" si="57"/>
        <v>1</v>
      </c>
      <c r="L317" s="634"/>
      <c r="M317" s="21">
        <f t="shared" si="58"/>
        <v>1</v>
      </c>
      <c r="N317" s="634"/>
      <c r="O317" s="21">
        <f t="shared" si="59"/>
        <v>1</v>
      </c>
      <c r="P317" s="634"/>
      <c r="Q317" s="21">
        <f t="shared" si="60"/>
        <v>0</v>
      </c>
      <c r="R317" s="21">
        <f t="shared" si="61"/>
        <v>0</v>
      </c>
      <c r="S317" s="307">
        <f t="shared" si="62"/>
        <v>0</v>
      </c>
    </row>
    <row r="318" spans="1:19">
      <c r="A318" s="142"/>
      <c r="B318" s="52"/>
      <c r="C318" s="21">
        <f t="shared" si="53"/>
        <v>1</v>
      </c>
      <c r="D318" s="634"/>
      <c r="E318" s="21">
        <f t="shared" si="54"/>
        <v>0.05</v>
      </c>
      <c r="F318" s="634"/>
      <c r="G318" s="21">
        <f t="shared" si="55"/>
        <v>1</v>
      </c>
      <c r="H318" s="634"/>
      <c r="I318" s="21">
        <f t="shared" si="56"/>
        <v>1</v>
      </c>
      <c r="J318" s="634"/>
      <c r="K318" s="21">
        <f t="shared" si="57"/>
        <v>1</v>
      </c>
      <c r="L318" s="634"/>
      <c r="M318" s="21">
        <f t="shared" si="58"/>
        <v>1</v>
      </c>
      <c r="N318" s="634"/>
      <c r="O318" s="21">
        <f t="shared" si="59"/>
        <v>1</v>
      </c>
      <c r="P318" s="634"/>
      <c r="Q318" s="21">
        <f t="shared" si="60"/>
        <v>0</v>
      </c>
      <c r="R318" s="21">
        <f t="shared" si="61"/>
        <v>0</v>
      </c>
      <c r="S318" s="307">
        <f t="shared" si="62"/>
        <v>0</v>
      </c>
    </row>
    <row r="319" spans="1:19">
      <c r="A319" s="142"/>
      <c r="B319" s="52"/>
      <c r="C319" s="21">
        <f t="shared" si="53"/>
        <v>1</v>
      </c>
      <c r="D319" s="634"/>
      <c r="E319" s="21">
        <f t="shared" si="54"/>
        <v>0.05</v>
      </c>
      <c r="F319" s="634"/>
      <c r="G319" s="21">
        <f t="shared" si="55"/>
        <v>1</v>
      </c>
      <c r="H319" s="634"/>
      <c r="I319" s="21">
        <f t="shared" si="56"/>
        <v>1</v>
      </c>
      <c r="J319" s="634"/>
      <c r="K319" s="21">
        <f t="shared" si="57"/>
        <v>1</v>
      </c>
      <c r="L319" s="634"/>
      <c r="M319" s="21">
        <f t="shared" si="58"/>
        <v>1</v>
      </c>
      <c r="N319" s="634"/>
      <c r="O319" s="21">
        <f t="shared" si="59"/>
        <v>1</v>
      </c>
      <c r="P319" s="634"/>
      <c r="Q319" s="21">
        <f t="shared" si="60"/>
        <v>0</v>
      </c>
      <c r="R319" s="21">
        <f t="shared" si="61"/>
        <v>0</v>
      </c>
      <c r="S319" s="307">
        <f t="shared" si="62"/>
        <v>0</v>
      </c>
    </row>
    <row r="320" spans="1:19">
      <c r="A320" s="142"/>
      <c r="B320" s="52"/>
      <c r="C320" s="21">
        <f t="shared" si="53"/>
        <v>1</v>
      </c>
      <c r="D320" s="634"/>
      <c r="E320" s="21">
        <f t="shared" si="54"/>
        <v>0.05</v>
      </c>
      <c r="F320" s="634"/>
      <c r="G320" s="21">
        <f t="shared" si="55"/>
        <v>1</v>
      </c>
      <c r="H320" s="634"/>
      <c r="I320" s="21">
        <f t="shared" si="56"/>
        <v>1</v>
      </c>
      <c r="J320" s="634"/>
      <c r="K320" s="21">
        <f t="shared" si="57"/>
        <v>1</v>
      </c>
      <c r="L320" s="634"/>
      <c r="M320" s="21">
        <f t="shared" si="58"/>
        <v>1</v>
      </c>
      <c r="N320" s="634"/>
      <c r="O320" s="21">
        <f t="shared" si="59"/>
        <v>1</v>
      </c>
      <c r="P320" s="634"/>
      <c r="Q320" s="21">
        <f t="shared" si="60"/>
        <v>0</v>
      </c>
      <c r="R320" s="21">
        <f t="shared" si="61"/>
        <v>0</v>
      </c>
      <c r="S320" s="307">
        <f t="shared" si="62"/>
        <v>0</v>
      </c>
    </row>
    <row r="321" spans="1:19">
      <c r="A321" s="142"/>
      <c r="B321" s="52"/>
      <c r="C321" s="21">
        <f t="shared" si="53"/>
        <v>1</v>
      </c>
      <c r="D321" s="634"/>
      <c r="E321" s="21">
        <f t="shared" si="54"/>
        <v>0.05</v>
      </c>
      <c r="F321" s="634"/>
      <c r="G321" s="21">
        <f t="shared" si="55"/>
        <v>1</v>
      </c>
      <c r="H321" s="634"/>
      <c r="I321" s="21">
        <f t="shared" si="56"/>
        <v>1</v>
      </c>
      <c r="J321" s="634"/>
      <c r="K321" s="21">
        <f t="shared" si="57"/>
        <v>1</v>
      </c>
      <c r="L321" s="634"/>
      <c r="M321" s="21">
        <f t="shared" si="58"/>
        <v>1</v>
      </c>
      <c r="N321" s="634"/>
      <c r="O321" s="21">
        <f t="shared" si="59"/>
        <v>1</v>
      </c>
      <c r="P321" s="634"/>
      <c r="Q321" s="21">
        <f t="shared" si="60"/>
        <v>0</v>
      </c>
      <c r="R321" s="21">
        <f t="shared" si="61"/>
        <v>0</v>
      </c>
      <c r="S321" s="307">
        <f t="shared" ref="S321:S384" si="63">ROUND(R321*B321/10000,0)</f>
        <v>0</v>
      </c>
    </row>
    <row r="322" spans="1:19">
      <c r="A322" s="142"/>
      <c r="B322" s="52"/>
      <c r="C322" s="21">
        <f t="shared" si="53"/>
        <v>1</v>
      </c>
      <c r="D322" s="634"/>
      <c r="E322" s="21">
        <f t="shared" si="54"/>
        <v>0.05</v>
      </c>
      <c r="F322" s="634"/>
      <c r="G322" s="21">
        <f t="shared" si="55"/>
        <v>1</v>
      </c>
      <c r="H322" s="634"/>
      <c r="I322" s="21">
        <f t="shared" si="56"/>
        <v>1</v>
      </c>
      <c r="J322" s="634"/>
      <c r="K322" s="21">
        <f t="shared" si="57"/>
        <v>1</v>
      </c>
      <c r="L322" s="634"/>
      <c r="M322" s="21">
        <f t="shared" si="58"/>
        <v>1</v>
      </c>
      <c r="N322" s="634"/>
      <c r="O322" s="21">
        <f t="shared" si="59"/>
        <v>1</v>
      </c>
      <c r="P322" s="634"/>
      <c r="Q322" s="21">
        <f t="shared" si="60"/>
        <v>0</v>
      </c>
      <c r="R322" s="21">
        <f t="shared" si="61"/>
        <v>0</v>
      </c>
      <c r="S322" s="307">
        <f t="shared" si="63"/>
        <v>0</v>
      </c>
    </row>
    <row r="323" spans="1:19">
      <c r="A323" s="142"/>
      <c r="B323" s="52"/>
      <c r="C323" s="21">
        <f t="shared" si="53"/>
        <v>1</v>
      </c>
      <c r="D323" s="634"/>
      <c r="E323" s="21">
        <f t="shared" si="54"/>
        <v>0.05</v>
      </c>
      <c r="F323" s="634"/>
      <c r="G323" s="21">
        <f t="shared" si="55"/>
        <v>1</v>
      </c>
      <c r="H323" s="634"/>
      <c r="I323" s="21">
        <f t="shared" si="56"/>
        <v>1</v>
      </c>
      <c r="J323" s="634"/>
      <c r="K323" s="21">
        <f t="shared" si="57"/>
        <v>1</v>
      </c>
      <c r="L323" s="634"/>
      <c r="M323" s="21">
        <f t="shared" si="58"/>
        <v>1</v>
      </c>
      <c r="N323" s="634"/>
      <c r="O323" s="21">
        <f t="shared" si="59"/>
        <v>1</v>
      </c>
      <c r="P323" s="634"/>
      <c r="Q323" s="21">
        <f t="shared" si="60"/>
        <v>0</v>
      </c>
      <c r="R323" s="21">
        <f t="shared" si="61"/>
        <v>0</v>
      </c>
      <c r="S323" s="307">
        <f t="shared" si="63"/>
        <v>0</v>
      </c>
    </row>
    <row r="324" spans="1:19">
      <c r="A324" s="142"/>
      <c r="B324" s="52"/>
      <c r="C324" s="21">
        <f t="shared" si="53"/>
        <v>1</v>
      </c>
      <c r="D324" s="634"/>
      <c r="E324" s="21">
        <f t="shared" si="54"/>
        <v>0.05</v>
      </c>
      <c r="F324" s="634"/>
      <c r="G324" s="21">
        <f t="shared" si="55"/>
        <v>1</v>
      </c>
      <c r="H324" s="634"/>
      <c r="I324" s="21">
        <f t="shared" si="56"/>
        <v>1</v>
      </c>
      <c r="J324" s="634"/>
      <c r="K324" s="21">
        <f t="shared" si="57"/>
        <v>1</v>
      </c>
      <c r="L324" s="634"/>
      <c r="M324" s="21">
        <f t="shared" si="58"/>
        <v>1</v>
      </c>
      <c r="N324" s="634"/>
      <c r="O324" s="21">
        <f t="shared" si="59"/>
        <v>1</v>
      </c>
      <c r="P324" s="634"/>
      <c r="Q324" s="21">
        <f t="shared" si="60"/>
        <v>0</v>
      </c>
      <c r="R324" s="21">
        <f t="shared" si="61"/>
        <v>0</v>
      </c>
      <c r="S324" s="307">
        <f t="shared" si="63"/>
        <v>0</v>
      </c>
    </row>
    <row r="325" spans="1:19">
      <c r="A325" s="142"/>
      <c r="B325" s="52"/>
      <c r="C325" s="21">
        <f t="shared" si="53"/>
        <v>1</v>
      </c>
      <c r="D325" s="634"/>
      <c r="E325" s="21">
        <f t="shared" si="54"/>
        <v>0.05</v>
      </c>
      <c r="F325" s="634"/>
      <c r="G325" s="21">
        <f t="shared" si="55"/>
        <v>1</v>
      </c>
      <c r="H325" s="634"/>
      <c r="I325" s="21">
        <f t="shared" si="56"/>
        <v>1</v>
      </c>
      <c r="J325" s="634"/>
      <c r="K325" s="21">
        <f t="shared" si="57"/>
        <v>1</v>
      </c>
      <c r="L325" s="634"/>
      <c r="M325" s="21">
        <f t="shared" si="58"/>
        <v>1</v>
      </c>
      <c r="N325" s="634"/>
      <c r="O325" s="21">
        <f t="shared" si="59"/>
        <v>1</v>
      </c>
      <c r="P325" s="634"/>
      <c r="Q325" s="21">
        <f t="shared" si="60"/>
        <v>0</v>
      </c>
      <c r="R325" s="21">
        <f t="shared" si="61"/>
        <v>0</v>
      </c>
      <c r="S325" s="307">
        <f t="shared" si="63"/>
        <v>0</v>
      </c>
    </row>
    <row r="326" spans="1:19">
      <c r="A326" s="142"/>
      <c r="B326" s="52"/>
      <c r="C326" s="21">
        <f t="shared" si="53"/>
        <v>1</v>
      </c>
      <c r="D326" s="634"/>
      <c r="E326" s="21">
        <f t="shared" si="54"/>
        <v>0.05</v>
      </c>
      <c r="F326" s="634"/>
      <c r="G326" s="21">
        <f t="shared" si="55"/>
        <v>1</v>
      </c>
      <c r="H326" s="634"/>
      <c r="I326" s="21">
        <f t="shared" si="56"/>
        <v>1</v>
      </c>
      <c r="J326" s="634"/>
      <c r="K326" s="21">
        <f t="shared" si="57"/>
        <v>1</v>
      </c>
      <c r="L326" s="634"/>
      <c r="M326" s="21">
        <f t="shared" si="58"/>
        <v>1</v>
      </c>
      <c r="N326" s="634"/>
      <c r="O326" s="21">
        <f t="shared" si="59"/>
        <v>1</v>
      </c>
      <c r="P326" s="634"/>
      <c r="Q326" s="21">
        <f t="shared" si="60"/>
        <v>0</v>
      </c>
      <c r="R326" s="21">
        <f t="shared" si="61"/>
        <v>0</v>
      </c>
      <c r="S326" s="307">
        <f t="shared" si="63"/>
        <v>0</v>
      </c>
    </row>
    <row r="327" spans="1:19">
      <c r="A327" s="142"/>
      <c r="B327" s="52"/>
      <c r="C327" s="21">
        <f t="shared" si="53"/>
        <v>1</v>
      </c>
      <c r="D327" s="634"/>
      <c r="E327" s="21">
        <f t="shared" si="54"/>
        <v>0.05</v>
      </c>
      <c r="F327" s="634"/>
      <c r="G327" s="21">
        <f t="shared" si="55"/>
        <v>1</v>
      </c>
      <c r="H327" s="634"/>
      <c r="I327" s="21">
        <f t="shared" si="56"/>
        <v>1</v>
      </c>
      <c r="J327" s="634"/>
      <c r="K327" s="21">
        <f t="shared" si="57"/>
        <v>1</v>
      </c>
      <c r="L327" s="634"/>
      <c r="M327" s="21">
        <f t="shared" si="58"/>
        <v>1</v>
      </c>
      <c r="N327" s="634"/>
      <c r="O327" s="21">
        <f t="shared" si="59"/>
        <v>1</v>
      </c>
      <c r="P327" s="634"/>
      <c r="Q327" s="21">
        <f t="shared" si="60"/>
        <v>0</v>
      </c>
      <c r="R327" s="21">
        <f t="shared" si="61"/>
        <v>0</v>
      </c>
      <c r="S327" s="307">
        <f t="shared" si="63"/>
        <v>0</v>
      </c>
    </row>
    <row r="328" spans="1:19">
      <c r="A328" s="142"/>
      <c r="B328" s="52"/>
      <c r="C328" s="21">
        <f t="shared" si="53"/>
        <v>1</v>
      </c>
      <c r="D328" s="634"/>
      <c r="E328" s="21">
        <f t="shared" si="54"/>
        <v>0.05</v>
      </c>
      <c r="F328" s="634"/>
      <c r="G328" s="21">
        <f t="shared" si="55"/>
        <v>1</v>
      </c>
      <c r="H328" s="634"/>
      <c r="I328" s="21">
        <f t="shared" si="56"/>
        <v>1</v>
      </c>
      <c r="J328" s="634"/>
      <c r="K328" s="21">
        <f t="shared" si="57"/>
        <v>1</v>
      </c>
      <c r="L328" s="634"/>
      <c r="M328" s="21">
        <f t="shared" si="58"/>
        <v>1</v>
      </c>
      <c r="N328" s="634"/>
      <c r="O328" s="21">
        <f t="shared" si="59"/>
        <v>1</v>
      </c>
      <c r="P328" s="634"/>
      <c r="Q328" s="21">
        <f t="shared" si="60"/>
        <v>0</v>
      </c>
      <c r="R328" s="21">
        <f t="shared" si="61"/>
        <v>0</v>
      </c>
      <c r="S328" s="307">
        <f t="shared" si="63"/>
        <v>0</v>
      </c>
    </row>
    <row r="329" spans="1:19">
      <c r="A329" s="142"/>
      <c r="B329" s="52"/>
      <c r="C329" s="21">
        <f t="shared" si="53"/>
        <v>1</v>
      </c>
      <c r="D329" s="634"/>
      <c r="E329" s="21">
        <f t="shared" si="54"/>
        <v>0.05</v>
      </c>
      <c r="F329" s="634"/>
      <c r="G329" s="21">
        <f t="shared" si="55"/>
        <v>1</v>
      </c>
      <c r="H329" s="634"/>
      <c r="I329" s="21">
        <f t="shared" si="56"/>
        <v>1</v>
      </c>
      <c r="J329" s="634"/>
      <c r="K329" s="21">
        <f t="shared" si="57"/>
        <v>1</v>
      </c>
      <c r="L329" s="634"/>
      <c r="M329" s="21">
        <f t="shared" si="58"/>
        <v>1</v>
      </c>
      <c r="N329" s="634"/>
      <c r="O329" s="21">
        <f t="shared" si="59"/>
        <v>1</v>
      </c>
      <c r="P329" s="634"/>
      <c r="Q329" s="21">
        <f t="shared" si="60"/>
        <v>0</v>
      </c>
      <c r="R329" s="21">
        <f t="shared" si="61"/>
        <v>0</v>
      </c>
      <c r="S329" s="307">
        <f t="shared" si="63"/>
        <v>0</v>
      </c>
    </row>
    <row r="330" spans="1:19">
      <c r="A330" s="142"/>
      <c r="B330" s="52"/>
      <c r="C330" s="21">
        <f t="shared" si="53"/>
        <v>1</v>
      </c>
      <c r="D330" s="634"/>
      <c r="E330" s="21">
        <f t="shared" si="54"/>
        <v>0.05</v>
      </c>
      <c r="F330" s="634"/>
      <c r="G330" s="21">
        <f t="shared" si="55"/>
        <v>1</v>
      </c>
      <c r="H330" s="634"/>
      <c r="I330" s="21">
        <f t="shared" si="56"/>
        <v>1</v>
      </c>
      <c r="J330" s="634"/>
      <c r="K330" s="21">
        <f t="shared" si="57"/>
        <v>1</v>
      </c>
      <c r="L330" s="634"/>
      <c r="M330" s="21">
        <f t="shared" si="58"/>
        <v>1</v>
      </c>
      <c r="N330" s="634"/>
      <c r="O330" s="21">
        <f t="shared" si="59"/>
        <v>1</v>
      </c>
      <c r="P330" s="634"/>
      <c r="Q330" s="21">
        <f t="shared" si="60"/>
        <v>0</v>
      </c>
      <c r="R330" s="21">
        <f t="shared" si="61"/>
        <v>0</v>
      </c>
      <c r="S330" s="307">
        <f t="shared" si="63"/>
        <v>0</v>
      </c>
    </row>
    <row r="331" spans="1:19">
      <c r="A331" s="142"/>
      <c r="B331" s="52"/>
      <c r="C331" s="21">
        <f t="shared" si="53"/>
        <v>1</v>
      </c>
      <c r="D331" s="634"/>
      <c r="E331" s="21">
        <f t="shared" si="54"/>
        <v>0.05</v>
      </c>
      <c r="F331" s="634"/>
      <c r="G331" s="21">
        <f t="shared" si="55"/>
        <v>1</v>
      </c>
      <c r="H331" s="634"/>
      <c r="I331" s="21">
        <f t="shared" si="56"/>
        <v>1</v>
      </c>
      <c r="J331" s="634"/>
      <c r="K331" s="21">
        <f t="shared" si="57"/>
        <v>1</v>
      </c>
      <c r="L331" s="634"/>
      <c r="M331" s="21">
        <f t="shared" si="58"/>
        <v>1</v>
      </c>
      <c r="N331" s="634"/>
      <c r="O331" s="21">
        <f t="shared" si="59"/>
        <v>1</v>
      </c>
      <c r="P331" s="634"/>
      <c r="Q331" s="21">
        <f t="shared" si="60"/>
        <v>0</v>
      </c>
      <c r="R331" s="21">
        <f t="shared" si="61"/>
        <v>0</v>
      </c>
      <c r="S331" s="307">
        <f t="shared" si="63"/>
        <v>0</v>
      </c>
    </row>
    <row r="332" spans="1:19">
      <c r="A332" s="142"/>
      <c r="B332" s="52"/>
      <c r="C332" s="21">
        <f t="shared" si="53"/>
        <v>1</v>
      </c>
      <c r="D332" s="634"/>
      <c r="E332" s="21">
        <f t="shared" si="54"/>
        <v>0.05</v>
      </c>
      <c r="F332" s="634"/>
      <c r="G332" s="21">
        <f t="shared" si="55"/>
        <v>1</v>
      </c>
      <c r="H332" s="634"/>
      <c r="I332" s="21">
        <f t="shared" si="56"/>
        <v>1</v>
      </c>
      <c r="J332" s="634"/>
      <c r="K332" s="21">
        <f t="shared" si="57"/>
        <v>1</v>
      </c>
      <c r="L332" s="634"/>
      <c r="M332" s="21">
        <f t="shared" si="58"/>
        <v>1</v>
      </c>
      <c r="N332" s="634"/>
      <c r="O332" s="21">
        <f t="shared" si="59"/>
        <v>1</v>
      </c>
      <c r="P332" s="634"/>
      <c r="Q332" s="21">
        <f t="shared" si="60"/>
        <v>0</v>
      </c>
      <c r="R332" s="21">
        <f t="shared" si="61"/>
        <v>0</v>
      </c>
      <c r="S332" s="307">
        <f t="shared" si="63"/>
        <v>0</v>
      </c>
    </row>
    <row r="333" spans="1:19">
      <c r="A333" s="142"/>
      <c r="B333" s="52"/>
      <c r="C333" s="21">
        <f t="shared" si="53"/>
        <v>1</v>
      </c>
      <c r="D333" s="634"/>
      <c r="E333" s="21">
        <f t="shared" si="54"/>
        <v>0.05</v>
      </c>
      <c r="F333" s="634"/>
      <c r="G333" s="21">
        <f t="shared" si="55"/>
        <v>1</v>
      </c>
      <c r="H333" s="634"/>
      <c r="I333" s="21">
        <f t="shared" si="56"/>
        <v>1</v>
      </c>
      <c r="J333" s="634"/>
      <c r="K333" s="21">
        <f t="shared" si="57"/>
        <v>1</v>
      </c>
      <c r="L333" s="634"/>
      <c r="M333" s="21">
        <f t="shared" si="58"/>
        <v>1</v>
      </c>
      <c r="N333" s="634"/>
      <c r="O333" s="21">
        <f t="shared" si="59"/>
        <v>1</v>
      </c>
      <c r="P333" s="634"/>
      <c r="Q333" s="21">
        <f t="shared" si="60"/>
        <v>0</v>
      </c>
      <c r="R333" s="21">
        <f t="shared" si="61"/>
        <v>0</v>
      </c>
      <c r="S333" s="307">
        <f t="shared" si="63"/>
        <v>0</v>
      </c>
    </row>
    <row r="334" spans="1:19">
      <c r="A334" s="142"/>
      <c r="B334" s="52"/>
      <c r="C334" s="21">
        <f t="shared" si="53"/>
        <v>1</v>
      </c>
      <c r="D334" s="634"/>
      <c r="E334" s="21">
        <f t="shared" si="54"/>
        <v>0.05</v>
      </c>
      <c r="F334" s="634"/>
      <c r="G334" s="21">
        <f t="shared" si="55"/>
        <v>1</v>
      </c>
      <c r="H334" s="634"/>
      <c r="I334" s="21">
        <f t="shared" si="56"/>
        <v>1</v>
      </c>
      <c r="J334" s="634"/>
      <c r="K334" s="21">
        <f t="shared" si="57"/>
        <v>1</v>
      </c>
      <c r="L334" s="634"/>
      <c r="M334" s="21">
        <f t="shared" si="58"/>
        <v>1</v>
      </c>
      <c r="N334" s="634"/>
      <c r="O334" s="21">
        <f t="shared" si="59"/>
        <v>1</v>
      </c>
      <c r="P334" s="634"/>
      <c r="Q334" s="21">
        <f t="shared" si="60"/>
        <v>0</v>
      </c>
      <c r="R334" s="21">
        <f t="shared" si="61"/>
        <v>0</v>
      </c>
      <c r="S334" s="307">
        <f t="shared" si="63"/>
        <v>0</v>
      </c>
    </row>
    <row r="335" spans="1:19">
      <c r="A335" s="142"/>
      <c r="B335" s="52"/>
      <c r="C335" s="21">
        <f t="shared" si="53"/>
        <v>1</v>
      </c>
      <c r="D335" s="634"/>
      <c r="E335" s="21">
        <f t="shared" si="54"/>
        <v>0.05</v>
      </c>
      <c r="F335" s="634"/>
      <c r="G335" s="21">
        <f t="shared" si="55"/>
        <v>1</v>
      </c>
      <c r="H335" s="634"/>
      <c r="I335" s="21">
        <f t="shared" si="56"/>
        <v>1</v>
      </c>
      <c r="J335" s="634"/>
      <c r="K335" s="21">
        <f t="shared" si="57"/>
        <v>1</v>
      </c>
      <c r="L335" s="634"/>
      <c r="M335" s="21">
        <f t="shared" si="58"/>
        <v>1</v>
      </c>
      <c r="N335" s="634"/>
      <c r="O335" s="21">
        <f t="shared" si="59"/>
        <v>1</v>
      </c>
      <c r="P335" s="634"/>
      <c r="Q335" s="21">
        <f t="shared" si="60"/>
        <v>0</v>
      </c>
      <c r="R335" s="21">
        <f t="shared" si="61"/>
        <v>0</v>
      </c>
      <c r="S335" s="307">
        <f t="shared" si="63"/>
        <v>0</v>
      </c>
    </row>
    <row r="336" spans="1:19">
      <c r="A336" s="142"/>
      <c r="B336" s="52"/>
      <c r="C336" s="21">
        <f t="shared" si="53"/>
        <v>1</v>
      </c>
      <c r="D336" s="634"/>
      <c r="E336" s="21">
        <f t="shared" si="54"/>
        <v>0.05</v>
      </c>
      <c r="F336" s="634"/>
      <c r="G336" s="21">
        <f t="shared" si="55"/>
        <v>1</v>
      </c>
      <c r="H336" s="634"/>
      <c r="I336" s="21">
        <f t="shared" si="56"/>
        <v>1</v>
      </c>
      <c r="J336" s="634"/>
      <c r="K336" s="21">
        <f t="shared" si="57"/>
        <v>1</v>
      </c>
      <c r="L336" s="634"/>
      <c r="M336" s="21">
        <f t="shared" si="58"/>
        <v>1</v>
      </c>
      <c r="N336" s="634"/>
      <c r="O336" s="21">
        <f t="shared" si="59"/>
        <v>1</v>
      </c>
      <c r="P336" s="634"/>
      <c r="Q336" s="21">
        <f t="shared" si="60"/>
        <v>0</v>
      </c>
      <c r="R336" s="21">
        <f t="shared" si="61"/>
        <v>0</v>
      </c>
      <c r="S336" s="307">
        <f t="shared" si="63"/>
        <v>0</v>
      </c>
    </row>
    <row r="337" spans="1:19">
      <c r="A337" s="142"/>
      <c r="B337" s="52"/>
      <c r="C337" s="21">
        <f t="shared" si="53"/>
        <v>1</v>
      </c>
      <c r="D337" s="634"/>
      <c r="E337" s="21">
        <f t="shared" si="54"/>
        <v>0.05</v>
      </c>
      <c r="F337" s="634"/>
      <c r="G337" s="21">
        <f t="shared" si="55"/>
        <v>1</v>
      </c>
      <c r="H337" s="634"/>
      <c r="I337" s="21">
        <f t="shared" si="56"/>
        <v>1</v>
      </c>
      <c r="J337" s="634"/>
      <c r="K337" s="21">
        <f t="shared" si="57"/>
        <v>1</v>
      </c>
      <c r="L337" s="634"/>
      <c r="M337" s="21">
        <f t="shared" si="58"/>
        <v>1</v>
      </c>
      <c r="N337" s="634"/>
      <c r="O337" s="21">
        <f t="shared" si="59"/>
        <v>1</v>
      </c>
      <c r="P337" s="634"/>
      <c r="Q337" s="21">
        <f t="shared" si="60"/>
        <v>0</v>
      </c>
      <c r="R337" s="21">
        <f t="shared" si="61"/>
        <v>0</v>
      </c>
      <c r="S337" s="307">
        <f t="shared" si="63"/>
        <v>0</v>
      </c>
    </row>
    <row r="338" spans="1:19">
      <c r="A338" s="142"/>
      <c r="B338" s="52"/>
      <c r="C338" s="21">
        <f t="shared" si="53"/>
        <v>1</v>
      </c>
      <c r="D338" s="634"/>
      <c r="E338" s="21">
        <f t="shared" si="54"/>
        <v>0.05</v>
      </c>
      <c r="F338" s="634"/>
      <c r="G338" s="21">
        <f t="shared" si="55"/>
        <v>1</v>
      </c>
      <c r="H338" s="634"/>
      <c r="I338" s="21">
        <f t="shared" si="56"/>
        <v>1</v>
      </c>
      <c r="J338" s="634"/>
      <c r="K338" s="21">
        <f t="shared" si="57"/>
        <v>1</v>
      </c>
      <c r="L338" s="634"/>
      <c r="M338" s="21">
        <f t="shared" si="58"/>
        <v>1</v>
      </c>
      <c r="N338" s="634"/>
      <c r="O338" s="21">
        <f t="shared" si="59"/>
        <v>1</v>
      </c>
      <c r="P338" s="634"/>
      <c r="Q338" s="21">
        <f t="shared" si="60"/>
        <v>0</v>
      </c>
      <c r="R338" s="21">
        <f t="shared" si="61"/>
        <v>0</v>
      </c>
      <c r="S338" s="307">
        <f t="shared" si="63"/>
        <v>0</v>
      </c>
    </row>
    <row r="339" spans="1:19">
      <c r="A339" s="142"/>
      <c r="B339" s="52"/>
      <c r="C339" s="21">
        <f t="shared" si="53"/>
        <v>1</v>
      </c>
      <c r="D339" s="634"/>
      <c r="E339" s="21">
        <f t="shared" si="54"/>
        <v>0.05</v>
      </c>
      <c r="F339" s="634"/>
      <c r="G339" s="21">
        <f t="shared" si="55"/>
        <v>1</v>
      </c>
      <c r="H339" s="634"/>
      <c r="I339" s="21">
        <f t="shared" si="56"/>
        <v>1</v>
      </c>
      <c r="J339" s="634"/>
      <c r="K339" s="21">
        <f t="shared" si="57"/>
        <v>1</v>
      </c>
      <c r="L339" s="634"/>
      <c r="M339" s="21">
        <f t="shared" si="58"/>
        <v>1</v>
      </c>
      <c r="N339" s="634"/>
      <c r="O339" s="21">
        <f t="shared" si="59"/>
        <v>1</v>
      </c>
      <c r="P339" s="634"/>
      <c r="Q339" s="21">
        <f t="shared" si="60"/>
        <v>0</v>
      </c>
      <c r="R339" s="21">
        <f t="shared" si="61"/>
        <v>0</v>
      </c>
      <c r="S339" s="307">
        <f t="shared" si="63"/>
        <v>0</v>
      </c>
    </row>
    <row r="340" spans="1:19">
      <c r="A340" s="142"/>
      <c r="B340" s="52"/>
      <c r="C340" s="21">
        <f t="shared" si="53"/>
        <v>1</v>
      </c>
      <c r="D340" s="634"/>
      <c r="E340" s="21">
        <f t="shared" si="54"/>
        <v>0.05</v>
      </c>
      <c r="F340" s="634"/>
      <c r="G340" s="21">
        <f t="shared" si="55"/>
        <v>1</v>
      </c>
      <c r="H340" s="634"/>
      <c r="I340" s="21">
        <f t="shared" si="56"/>
        <v>1</v>
      </c>
      <c r="J340" s="634"/>
      <c r="K340" s="21">
        <f t="shared" si="57"/>
        <v>1</v>
      </c>
      <c r="L340" s="634"/>
      <c r="M340" s="21">
        <f t="shared" si="58"/>
        <v>1</v>
      </c>
      <c r="N340" s="634"/>
      <c r="O340" s="21">
        <f t="shared" si="59"/>
        <v>1</v>
      </c>
      <c r="P340" s="634"/>
      <c r="Q340" s="21">
        <f t="shared" si="60"/>
        <v>0</v>
      </c>
      <c r="R340" s="21">
        <f t="shared" si="61"/>
        <v>0</v>
      </c>
      <c r="S340" s="307">
        <f t="shared" si="63"/>
        <v>0</v>
      </c>
    </row>
    <row r="341" spans="1:19">
      <c r="A341" s="142"/>
      <c r="B341" s="52"/>
      <c r="C341" s="21">
        <f t="shared" si="53"/>
        <v>1</v>
      </c>
      <c r="D341" s="634"/>
      <c r="E341" s="21">
        <f t="shared" si="54"/>
        <v>0.05</v>
      </c>
      <c r="F341" s="634"/>
      <c r="G341" s="21">
        <f t="shared" si="55"/>
        <v>1</v>
      </c>
      <c r="H341" s="634"/>
      <c r="I341" s="21">
        <f t="shared" si="56"/>
        <v>1</v>
      </c>
      <c r="J341" s="634"/>
      <c r="K341" s="21">
        <f t="shared" si="57"/>
        <v>1</v>
      </c>
      <c r="L341" s="634"/>
      <c r="M341" s="21">
        <f t="shared" si="58"/>
        <v>1</v>
      </c>
      <c r="N341" s="634"/>
      <c r="O341" s="21">
        <f t="shared" si="59"/>
        <v>1</v>
      </c>
      <c r="P341" s="634"/>
      <c r="Q341" s="21">
        <f t="shared" si="60"/>
        <v>0</v>
      </c>
      <c r="R341" s="21">
        <f t="shared" si="61"/>
        <v>0</v>
      </c>
      <c r="S341" s="307">
        <f t="shared" si="63"/>
        <v>0</v>
      </c>
    </row>
    <row r="342" spans="1:19">
      <c r="A342" s="142"/>
      <c r="B342" s="52"/>
      <c r="C342" s="21">
        <f t="shared" si="53"/>
        <v>1</v>
      </c>
      <c r="D342" s="634"/>
      <c r="E342" s="21">
        <f t="shared" si="54"/>
        <v>0.05</v>
      </c>
      <c r="F342" s="634"/>
      <c r="G342" s="21">
        <f t="shared" si="55"/>
        <v>1</v>
      </c>
      <c r="H342" s="634"/>
      <c r="I342" s="21">
        <f t="shared" si="56"/>
        <v>1</v>
      </c>
      <c r="J342" s="634"/>
      <c r="K342" s="21">
        <f t="shared" si="57"/>
        <v>1</v>
      </c>
      <c r="L342" s="634"/>
      <c r="M342" s="21">
        <f t="shared" si="58"/>
        <v>1</v>
      </c>
      <c r="N342" s="634"/>
      <c r="O342" s="21">
        <f t="shared" si="59"/>
        <v>1</v>
      </c>
      <c r="P342" s="634"/>
      <c r="Q342" s="21">
        <f t="shared" si="60"/>
        <v>0</v>
      </c>
      <c r="R342" s="21">
        <f t="shared" si="61"/>
        <v>0</v>
      </c>
      <c r="S342" s="307">
        <f t="shared" si="63"/>
        <v>0</v>
      </c>
    </row>
    <row r="343" spans="1:19">
      <c r="A343" s="142"/>
      <c r="B343" s="52"/>
      <c r="C343" s="21">
        <f t="shared" si="53"/>
        <v>1</v>
      </c>
      <c r="D343" s="634"/>
      <c r="E343" s="21">
        <f t="shared" si="54"/>
        <v>0.05</v>
      </c>
      <c r="F343" s="634"/>
      <c r="G343" s="21">
        <f t="shared" si="55"/>
        <v>1</v>
      </c>
      <c r="H343" s="634"/>
      <c r="I343" s="21">
        <f t="shared" si="56"/>
        <v>1</v>
      </c>
      <c r="J343" s="634"/>
      <c r="K343" s="21">
        <f t="shared" si="57"/>
        <v>1</v>
      </c>
      <c r="L343" s="634"/>
      <c r="M343" s="21">
        <f t="shared" si="58"/>
        <v>1</v>
      </c>
      <c r="N343" s="634"/>
      <c r="O343" s="21">
        <f t="shared" si="59"/>
        <v>1</v>
      </c>
      <c r="P343" s="634"/>
      <c r="Q343" s="21">
        <f t="shared" si="60"/>
        <v>0</v>
      </c>
      <c r="R343" s="21">
        <f t="shared" si="61"/>
        <v>0</v>
      </c>
      <c r="S343" s="307">
        <f t="shared" si="63"/>
        <v>0</v>
      </c>
    </row>
    <row r="344" spans="1:19">
      <c r="A344" s="142"/>
      <c r="B344" s="52"/>
      <c r="C344" s="21">
        <f t="shared" si="53"/>
        <v>1</v>
      </c>
      <c r="D344" s="634"/>
      <c r="E344" s="21">
        <f t="shared" si="54"/>
        <v>0.05</v>
      </c>
      <c r="F344" s="634"/>
      <c r="G344" s="21">
        <f t="shared" si="55"/>
        <v>1</v>
      </c>
      <c r="H344" s="634"/>
      <c r="I344" s="21">
        <f t="shared" si="56"/>
        <v>1</v>
      </c>
      <c r="J344" s="634"/>
      <c r="K344" s="21">
        <f t="shared" si="57"/>
        <v>1</v>
      </c>
      <c r="L344" s="634"/>
      <c r="M344" s="21">
        <f t="shared" si="58"/>
        <v>1</v>
      </c>
      <c r="N344" s="634"/>
      <c r="O344" s="21">
        <f t="shared" si="59"/>
        <v>1</v>
      </c>
      <c r="P344" s="634"/>
      <c r="Q344" s="21">
        <f t="shared" si="60"/>
        <v>0</v>
      </c>
      <c r="R344" s="21">
        <f t="shared" si="61"/>
        <v>0</v>
      </c>
      <c r="S344" s="307">
        <f t="shared" si="63"/>
        <v>0</v>
      </c>
    </row>
    <row r="345" spans="1:19">
      <c r="A345" s="142"/>
      <c r="B345" s="52"/>
      <c r="C345" s="21">
        <f t="shared" si="53"/>
        <v>1</v>
      </c>
      <c r="D345" s="634"/>
      <c r="E345" s="21">
        <f t="shared" si="54"/>
        <v>0.05</v>
      </c>
      <c r="F345" s="634"/>
      <c r="G345" s="21">
        <f t="shared" si="55"/>
        <v>1</v>
      </c>
      <c r="H345" s="634"/>
      <c r="I345" s="21">
        <f t="shared" si="56"/>
        <v>1</v>
      </c>
      <c r="J345" s="634"/>
      <c r="K345" s="21">
        <f t="shared" si="57"/>
        <v>1</v>
      </c>
      <c r="L345" s="634"/>
      <c r="M345" s="21">
        <f t="shared" si="58"/>
        <v>1</v>
      </c>
      <c r="N345" s="634"/>
      <c r="O345" s="21">
        <f t="shared" si="59"/>
        <v>1</v>
      </c>
      <c r="P345" s="634"/>
      <c r="Q345" s="21">
        <f t="shared" si="60"/>
        <v>0</v>
      </c>
      <c r="R345" s="21">
        <f t="shared" si="61"/>
        <v>0</v>
      </c>
      <c r="S345" s="307">
        <f t="shared" si="63"/>
        <v>0</v>
      </c>
    </row>
    <row r="346" spans="1:19">
      <c r="A346" s="142"/>
      <c r="B346" s="52"/>
      <c r="C346" s="21">
        <f t="shared" ref="C346:C409" si="64">IF(B346="",1,(LOOKUP(B346,$3:$3,$4:$4)-LOOKUP($B$24,$3:$3,$4:$4)+100)/100)</f>
        <v>1</v>
      </c>
      <c r="D346" s="634"/>
      <c r="E346" s="21">
        <f t="shared" ref="E346:E409" si="65">(SUMIF($5:$5,D346,$6:$6)-SUMIF($5:$5,$D$24,$6:$6)+100)/100</f>
        <v>0.05</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0</v>
      </c>
      <c r="R346" s="21">
        <f t="shared" ref="R346:R409" si="72">IF(B346="",0,ROUND($R$24*C346*E346*G346*I346*K346*M346*O346*Q346,0))</f>
        <v>0</v>
      </c>
      <c r="S346" s="307">
        <f t="shared" si="63"/>
        <v>0</v>
      </c>
    </row>
    <row r="347" spans="1:19">
      <c r="A347" s="142"/>
      <c r="B347" s="52"/>
      <c r="C347" s="21">
        <f t="shared" si="64"/>
        <v>1</v>
      </c>
      <c r="D347" s="634"/>
      <c r="E347" s="21">
        <f t="shared" si="65"/>
        <v>0.05</v>
      </c>
      <c r="F347" s="634"/>
      <c r="G347" s="21">
        <f t="shared" si="66"/>
        <v>1</v>
      </c>
      <c r="H347" s="634"/>
      <c r="I347" s="21">
        <f t="shared" si="67"/>
        <v>1</v>
      </c>
      <c r="J347" s="634"/>
      <c r="K347" s="21">
        <f t="shared" si="68"/>
        <v>1</v>
      </c>
      <c r="L347" s="634"/>
      <c r="M347" s="21">
        <f t="shared" si="69"/>
        <v>1</v>
      </c>
      <c r="N347" s="634"/>
      <c r="O347" s="21">
        <f t="shared" si="70"/>
        <v>1</v>
      </c>
      <c r="P347" s="634"/>
      <c r="Q347" s="21">
        <f t="shared" si="71"/>
        <v>0</v>
      </c>
      <c r="R347" s="21">
        <f t="shared" si="72"/>
        <v>0</v>
      </c>
      <c r="S347" s="307">
        <f t="shared" si="63"/>
        <v>0</v>
      </c>
    </row>
    <row r="348" spans="1:19">
      <c r="A348" s="142"/>
      <c r="B348" s="52"/>
      <c r="C348" s="21">
        <f t="shared" si="64"/>
        <v>1</v>
      </c>
      <c r="D348" s="634"/>
      <c r="E348" s="21">
        <f t="shared" si="65"/>
        <v>0.05</v>
      </c>
      <c r="F348" s="634"/>
      <c r="G348" s="21">
        <f t="shared" si="66"/>
        <v>1</v>
      </c>
      <c r="H348" s="634"/>
      <c r="I348" s="21">
        <f t="shared" si="67"/>
        <v>1</v>
      </c>
      <c r="J348" s="634"/>
      <c r="K348" s="21">
        <f t="shared" si="68"/>
        <v>1</v>
      </c>
      <c r="L348" s="634"/>
      <c r="M348" s="21">
        <f t="shared" si="69"/>
        <v>1</v>
      </c>
      <c r="N348" s="634"/>
      <c r="O348" s="21">
        <f t="shared" si="70"/>
        <v>1</v>
      </c>
      <c r="P348" s="634"/>
      <c r="Q348" s="21">
        <f t="shared" si="71"/>
        <v>0</v>
      </c>
      <c r="R348" s="21">
        <f t="shared" si="72"/>
        <v>0</v>
      </c>
      <c r="S348" s="307">
        <f t="shared" si="63"/>
        <v>0</v>
      </c>
    </row>
    <row r="349" spans="1:19">
      <c r="A349" s="142"/>
      <c r="B349" s="52"/>
      <c r="C349" s="21">
        <f t="shared" si="64"/>
        <v>1</v>
      </c>
      <c r="D349" s="634"/>
      <c r="E349" s="21">
        <f t="shared" si="65"/>
        <v>0.05</v>
      </c>
      <c r="F349" s="634"/>
      <c r="G349" s="21">
        <f t="shared" si="66"/>
        <v>1</v>
      </c>
      <c r="H349" s="634"/>
      <c r="I349" s="21">
        <f t="shared" si="67"/>
        <v>1</v>
      </c>
      <c r="J349" s="634"/>
      <c r="K349" s="21">
        <f t="shared" si="68"/>
        <v>1</v>
      </c>
      <c r="L349" s="634"/>
      <c r="M349" s="21">
        <f t="shared" si="69"/>
        <v>1</v>
      </c>
      <c r="N349" s="634"/>
      <c r="O349" s="21">
        <f t="shared" si="70"/>
        <v>1</v>
      </c>
      <c r="P349" s="634"/>
      <c r="Q349" s="21">
        <f t="shared" si="71"/>
        <v>0</v>
      </c>
      <c r="R349" s="21">
        <f t="shared" si="72"/>
        <v>0</v>
      </c>
      <c r="S349" s="307">
        <f t="shared" si="63"/>
        <v>0</v>
      </c>
    </row>
    <row r="350" spans="1:19">
      <c r="A350" s="142"/>
      <c r="B350" s="52"/>
      <c r="C350" s="21">
        <f t="shared" si="64"/>
        <v>1</v>
      </c>
      <c r="D350" s="634"/>
      <c r="E350" s="21">
        <f t="shared" si="65"/>
        <v>0.05</v>
      </c>
      <c r="F350" s="634"/>
      <c r="G350" s="21">
        <f t="shared" si="66"/>
        <v>1</v>
      </c>
      <c r="H350" s="634"/>
      <c r="I350" s="21">
        <f t="shared" si="67"/>
        <v>1</v>
      </c>
      <c r="J350" s="634"/>
      <c r="K350" s="21">
        <f t="shared" si="68"/>
        <v>1</v>
      </c>
      <c r="L350" s="634"/>
      <c r="M350" s="21">
        <f t="shared" si="69"/>
        <v>1</v>
      </c>
      <c r="N350" s="634"/>
      <c r="O350" s="21">
        <f t="shared" si="70"/>
        <v>1</v>
      </c>
      <c r="P350" s="634"/>
      <c r="Q350" s="21">
        <f t="shared" si="71"/>
        <v>0</v>
      </c>
      <c r="R350" s="21">
        <f t="shared" si="72"/>
        <v>0</v>
      </c>
      <c r="S350" s="307">
        <f t="shared" si="63"/>
        <v>0</v>
      </c>
    </row>
    <row r="351" spans="1:19">
      <c r="A351" s="142"/>
      <c r="B351" s="52"/>
      <c r="C351" s="21">
        <f t="shared" si="64"/>
        <v>1</v>
      </c>
      <c r="D351" s="634"/>
      <c r="E351" s="21">
        <f t="shared" si="65"/>
        <v>0.05</v>
      </c>
      <c r="F351" s="634"/>
      <c r="G351" s="21">
        <f t="shared" si="66"/>
        <v>1</v>
      </c>
      <c r="H351" s="634"/>
      <c r="I351" s="21">
        <f t="shared" si="67"/>
        <v>1</v>
      </c>
      <c r="J351" s="634"/>
      <c r="K351" s="21">
        <f t="shared" si="68"/>
        <v>1</v>
      </c>
      <c r="L351" s="634"/>
      <c r="M351" s="21">
        <f t="shared" si="69"/>
        <v>1</v>
      </c>
      <c r="N351" s="634"/>
      <c r="O351" s="21">
        <f t="shared" si="70"/>
        <v>1</v>
      </c>
      <c r="P351" s="634"/>
      <c r="Q351" s="21">
        <f t="shared" si="71"/>
        <v>0</v>
      </c>
      <c r="R351" s="21">
        <f t="shared" si="72"/>
        <v>0</v>
      </c>
      <c r="S351" s="307">
        <f t="shared" si="63"/>
        <v>0</v>
      </c>
    </row>
    <row r="352" spans="1:19">
      <c r="A352" s="142"/>
      <c r="B352" s="52"/>
      <c r="C352" s="21">
        <f t="shared" si="64"/>
        <v>1</v>
      </c>
      <c r="D352" s="634"/>
      <c r="E352" s="21">
        <f t="shared" si="65"/>
        <v>0.05</v>
      </c>
      <c r="F352" s="634"/>
      <c r="G352" s="21">
        <f t="shared" si="66"/>
        <v>1</v>
      </c>
      <c r="H352" s="634"/>
      <c r="I352" s="21">
        <f t="shared" si="67"/>
        <v>1</v>
      </c>
      <c r="J352" s="634"/>
      <c r="K352" s="21">
        <f t="shared" si="68"/>
        <v>1</v>
      </c>
      <c r="L352" s="634"/>
      <c r="M352" s="21">
        <f t="shared" si="69"/>
        <v>1</v>
      </c>
      <c r="N352" s="634"/>
      <c r="O352" s="21">
        <f t="shared" si="70"/>
        <v>1</v>
      </c>
      <c r="P352" s="634"/>
      <c r="Q352" s="21">
        <f t="shared" si="71"/>
        <v>0</v>
      </c>
      <c r="R352" s="21">
        <f t="shared" si="72"/>
        <v>0</v>
      </c>
      <c r="S352" s="307">
        <f t="shared" si="63"/>
        <v>0</v>
      </c>
    </row>
    <row r="353" spans="1:19">
      <c r="A353" s="142"/>
      <c r="B353" s="52"/>
      <c r="C353" s="21">
        <f t="shared" si="64"/>
        <v>1</v>
      </c>
      <c r="D353" s="634"/>
      <c r="E353" s="21">
        <f t="shared" si="65"/>
        <v>0.05</v>
      </c>
      <c r="F353" s="634"/>
      <c r="G353" s="21">
        <f t="shared" si="66"/>
        <v>1</v>
      </c>
      <c r="H353" s="634"/>
      <c r="I353" s="21">
        <f t="shared" si="67"/>
        <v>1</v>
      </c>
      <c r="J353" s="634"/>
      <c r="K353" s="21">
        <f t="shared" si="68"/>
        <v>1</v>
      </c>
      <c r="L353" s="634"/>
      <c r="M353" s="21">
        <f t="shared" si="69"/>
        <v>1</v>
      </c>
      <c r="N353" s="634"/>
      <c r="O353" s="21">
        <f t="shared" si="70"/>
        <v>1</v>
      </c>
      <c r="P353" s="634"/>
      <c r="Q353" s="21">
        <f t="shared" si="71"/>
        <v>0</v>
      </c>
      <c r="R353" s="21">
        <f t="shared" si="72"/>
        <v>0</v>
      </c>
      <c r="S353" s="307">
        <f t="shared" si="63"/>
        <v>0</v>
      </c>
    </row>
    <row r="354" spans="1:19">
      <c r="A354" s="142"/>
      <c r="B354" s="52"/>
      <c r="C354" s="21">
        <f t="shared" si="64"/>
        <v>1</v>
      </c>
      <c r="D354" s="634"/>
      <c r="E354" s="21">
        <f t="shared" si="65"/>
        <v>0.05</v>
      </c>
      <c r="F354" s="634"/>
      <c r="G354" s="21">
        <f t="shared" si="66"/>
        <v>1</v>
      </c>
      <c r="H354" s="634"/>
      <c r="I354" s="21">
        <f t="shared" si="67"/>
        <v>1</v>
      </c>
      <c r="J354" s="634"/>
      <c r="K354" s="21">
        <f t="shared" si="68"/>
        <v>1</v>
      </c>
      <c r="L354" s="634"/>
      <c r="M354" s="21">
        <f t="shared" si="69"/>
        <v>1</v>
      </c>
      <c r="N354" s="634"/>
      <c r="O354" s="21">
        <f t="shared" si="70"/>
        <v>1</v>
      </c>
      <c r="P354" s="634"/>
      <c r="Q354" s="21">
        <f t="shared" si="71"/>
        <v>0</v>
      </c>
      <c r="R354" s="21">
        <f t="shared" si="72"/>
        <v>0</v>
      </c>
      <c r="S354" s="307">
        <f t="shared" si="63"/>
        <v>0</v>
      </c>
    </row>
    <row r="355" spans="1:19">
      <c r="A355" s="142"/>
      <c r="B355" s="52"/>
      <c r="C355" s="21">
        <f t="shared" si="64"/>
        <v>1</v>
      </c>
      <c r="D355" s="634"/>
      <c r="E355" s="21">
        <f t="shared" si="65"/>
        <v>0.05</v>
      </c>
      <c r="F355" s="634"/>
      <c r="G355" s="21">
        <f t="shared" si="66"/>
        <v>1</v>
      </c>
      <c r="H355" s="634"/>
      <c r="I355" s="21">
        <f t="shared" si="67"/>
        <v>1</v>
      </c>
      <c r="J355" s="634"/>
      <c r="K355" s="21">
        <f t="shared" si="68"/>
        <v>1</v>
      </c>
      <c r="L355" s="634"/>
      <c r="M355" s="21">
        <f t="shared" si="69"/>
        <v>1</v>
      </c>
      <c r="N355" s="634"/>
      <c r="O355" s="21">
        <f t="shared" si="70"/>
        <v>1</v>
      </c>
      <c r="P355" s="634"/>
      <c r="Q355" s="21">
        <f t="shared" si="71"/>
        <v>0</v>
      </c>
      <c r="R355" s="21">
        <f t="shared" si="72"/>
        <v>0</v>
      </c>
      <c r="S355" s="307">
        <f t="shared" si="63"/>
        <v>0</v>
      </c>
    </row>
    <row r="356" spans="1:19">
      <c r="A356" s="142"/>
      <c r="B356" s="52"/>
      <c r="C356" s="21">
        <f t="shared" si="64"/>
        <v>1</v>
      </c>
      <c r="D356" s="634"/>
      <c r="E356" s="21">
        <f t="shared" si="65"/>
        <v>0.05</v>
      </c>
      <c r="F356" s="634"/>
      <c r="G356" s="21">
        <f t="shared" si="66"/>
        <v>1</v>
      </c>
      <c r="H356" s="634"/>
      <c r="I356" s="21">
        <f t="shared" si="67"/>
        <v>1</v>
      </c>
      <c r="J356" s="634"/>
      <c r="K356" s="21">
        <f t="shared" si="68"/>
        <v>1</v>
      </c>
      <c r="L356" s="634"/>
      <c r="M356" s="21">
        <f t="shared" si="69"/>
        <v>1</v>
      </c>
      <c r="N356" s="634"/>
      <c r="O356" s="21">
        <f t="shared" si="70"/>
        <v>1</v>
      </c>
      <c r="P356" s="634"/>
      <c r="Q356" s="21">
        <f t="shared" si="71"/>
        <v>0</v>
      </c>
      <c r="R356" s="21">
        <f t="shared" si="72"/>
        <v>0</v>
      </c>
      <c r="S356" s="307">
        <f t="shared" si="63"/>
        <v>0</v>
      </c>
    </row>
    <row r="357" spans="1:19">
      <c r="A357" s="142"/>
      <c r="B357" s="52"/>
      <c r="C357" s="21">
        <f t="shared" si="64"/>
        <v>1</v>
      </c>
      <c r="D357" s="634"/>
      <c r="E357" s="21">
        <f t="shared" si="65"/>
        <v>0.05</v>
      </c>
      <c r="F357" s="634"/>
      <c r="G357" s="21">
        <f t="shared" si="66"/>
        <v>1</v>
      </c>
      <c r="H357" s="634"/>
      <c r="I357" s="21">
        <f t="shared" si="67"/>
        <v>1</v>
      </c>
      <c r="J357" s="634"/>
      <c r="K357" s="21">
        <f t="shared" si="68"/>
        <v>1</v>
      </c>
      <c r="L357" s="634"/>
      <c r="M357" s="21">
        <f t="shared" si="69"/>
        <v>1</v>
      </c>
      <c r="N357" s="634"/>
      <c r="O357" s="21">
        <f t="shared" si="70"/>
        <v>1</v>
      </c>
      <c r="P357" s="634"/>
      <c r="Q357" s="21">
        <f t="shared" si="71"/>
        <v>0</v>
      </c>
      <c r="R357" s="21">
        <f t="shared" si="72"/>
        <v>0</v>
      </c>
      <c r="S357" s="307">
        <f t="shared" si="63"/>
        <v>0</v>
      </c>
    </row>
    <row r="358" spans="1:19">
      <c r="A358" s="142"/>
      <c r="B358" s="52"/>
      <c r="C358" s="21">
        <f t="shared" si="64"/>
        <v>1</v>
      </c>
      <c r="D358" s="634"/>
      <c r="E358" s="21">
        <f t="shared" si="65"/>
        <v>0.05</v>
      </c>
      <c r="F358" s="634"/>
      <c r="G358" s="21">
        <f t="shared" si="66"/>
        <v>1</v>
      </c>
      <c r="H358" s="634"/>
      <c r="I358" s="21">
        <f t="shared" si="67"/>
        <v>1</v>
      </c>
      <c r="J358" s="634"/>
      <c r="K358" s="21">
        <f t="shared" si="68"/>
        <v>1</v>
      </c>
      <c r="L358" s="634"/>
      <c r="M358" s="21">
        <f t="shared" si="69"/>
        <v>1</v>
      </c>
      <c r="N358" s="634"/>
      <c r="O358" s="21">
        <f t="shared" si="70"/>
        <v>1</v>
      </c>
      <c r="P358" s="634"/>
      <c r="Q358" s="21">
        <f t="shared" si="71"/>
        <v>0</v>
      </c>
      <c r="R358" s="21">
        <f t="shared" si="72"/>
        <v>0</v>
      </c>
      <c r="S358" s="307">
        <f t="shared" si="63"/>
        <v>0</v>
      </c>
    </row>
    <row r="359" spans="1:19">
      <c r="A359" s="142"/>
      <c r="B359" s="52"/>
      <c r="C359" s="21">
        <f t="shared" si="64"/>
        <v>1</v>
      </c>
      <c r="D359" s="634"/>
      <c r="E359" s="21">
        <f t="shared" si="65"/>
        <v>0.05</v>
      </c>
      <c r="F359" s="634"/>
      <c r="G359" s="21">
        <f t="shared" si="66"/>
        <v>1</v>
      </c>
      <c r="H359" s="634"/>
      <c r="I359" s="21">
        <f t="shared" si="67"/>
        <v>1</v>
      </c>
      <c r="J359" s="634"/>
      <c r="K359" s="21">
        <f t="shared" si="68"/>
        <v>1</v>
      </c>
      <c r="L359" s="634"/>
      <c r="M359" s="21">
        <f t="shared" si="69"/>
        <v>1</v>
      </c>
      <c r="N359" s="634"/>
      <c r="O359" s="21">
        <f t="shared" si="70"/>
        <v>1</v>
      </c>
      <c r="P359" s="634"/>
      <c r="Q359" s="21">
        <f t="shared" si="71"/>
        <v>0</v>
      </c>
      <c r="R359" s="21">
        <f t="shared" si="72"/>
        <v>0</v>
      </c>
      <c r="S359" s="307">
        <f t="shared" si="63"/>
        <v>0</v>
      </c>
    </row>
    <row r="360" spans="1:19">
      <c r="A360" s="142"/>
      <c r="B360" s="52"/>
      <c r="C360" s="21">
        <f t="shared" si="64"/>
        <v>1</v>
      </c>
      <c r="D360" s="634"/>
      <c r="E360" s="21">
        <f t="shared" si="65"/>
        <v>0.05</v>
      </c>
      <c r="F360" s="634"/>
      <c r="G360" s="21">
        <f t="shared" si="66"/>
        <v>1</v>
      </c>
      <c r="H360" s="634"/>
      <c r="I360" s="21">
        <f t="shared" si="67"/>
        <v>1</v>
      </c>
      <c r="J360" s="634"/>
      <c r="K360" s="21">
        <f t="shared" si="68"/>
        <v>1</v>
      </c>
      <c r="L360" s="634"/>
      <c r="M360" s="21">
        <f t="shared" si="69"/>
        <v>1</v>
      </c>
      <c r="N360" s="634"/>
      <c r="O360" s="21">
        <f t="shared" si="70"/>
        <v>1</v>
      </c>
      <c r="P360" s="634"/>
      <c r="Q360" s="21">
        <f t="shared" si="71"/>
        <v>0</v>
      </c>
      <c r="R360" s="21">
        <f t="shared" si="72"/>
        <v>0</v>
      </c>
      <c r="S360" s="307">
        <f t="shared" si="63"/>
        <v>0</v>
      </c>
    </row>
    <row r="361" spans="1:19">
      <c r="A361" s="142"/>
      <c r="B361" s="52"/>
      <c r="C361" s="21">
        <f t="shared" si="64"/>
        <v>1</v>
      </c>
      <c r="D361" s="634"/>
      <c r="E361" s="21">
        <f t="shared" si="65"/>
        <v>0.05</v>
      </c>
      <c r="F361" s="634"/>
      <c r="G361" s="21">
        <f t="shared" si="66"/>
        <v>1</v>
      </c>
      <c r="H361" s="634"/>
      <c r="I361" s="21">
        <f t="shared" si="67"/>
        <v>1</v>
      </c>
      <c r="J361" s="634"/>
      <c r="K361" s="21">
        <f t="shared" si="68"/>
        <v>1</v>
      </c>
      <c r="L361" s="634"/>
      <c r="M361" s="21">
        <f t="shared" si="69"/>
        <v>1</v>
      </c>
      <c r="N361" s="634"/>
      <c r="O361" s="21">
        <f t="shared" si="70"/>
        <v>1</v>
      </c>
      <c r="P361" s="634"/>
      <c r="Q361" s="21">
        <f t="shared" si="71"/>
        <v>0</v>
      </c>
      <c r="R361" s="21">
        <f t="shared" si="72"/>
        <v>0</v>
      </c>
      <c r="S361" s="307">
        <f t="shared" si="63"/>
        <v>0</v>
      </c>
    </row>
    <row r="362" spans="1:19">
      <c r="A362" s="142"/>
      <c r="B362" s="52"/>
      <c r="C362" s="21">
        <f t="shared" si="64"/>
        <v>1</v>
      </c>
      <c r="D362" s="634"/>
      <c r="E362" s="21">
        <f t="shared" si="65"/>
        <v>0.05</v>
      </c>
      <c r="F362" s="634"/>
      <c r="G362" s="21">
        <f t="shared" si="66"/>
        <v>1</v>
      </c>
      <c r="H362" s="634"/>
      <c r="I362" s="21">
        <f t="shared" si="67"/>
        <v>1</v>
      </c>
      <c r="J362" s="634"/>
      <c r="K362" s="21">
        <f t="shared" si="68"/>
        <v>1</v>
      </c>
      <c r="L362" s="634"/>
      <c r="M362" s="21">
        <f t="shared" si="69"/>
        <v>1</v>
      </c>
      <c r="N362" s="634"/>
      <c r="O362" s="21">
        <f t="shared" si="70"/>
        <v>1</v>
      </c>
      <c r="P362" s="634"/>
      <c r="Q362" s="21">
        <f t="shared" si="71"/>
        <v>0</v>
      </c>
      <c r="R362" s="21">
        <f t="shared" si="72"/>
        <v>0</v>
      </c>
      <c r="S362" s="307">
        <f t="shared" si="63"/>
        <v>0</v>
      </c>
    </row>
    <row r="363" spans="1:19">
      <c r="A363" s="142"/>
      <c r="B363" s="52"/>
      <c r="C363" s="21">
        <f t="shared" si="64"/>
        <v>1</v>
      </c>
      <c r="D363" s="634"/>
      <c r="E363" s="21">
        <f t="shared" si="65"/>
        <v>0.05</v>
      </c>
      <c r="F363" s="634"/>
      <c r="G363" s="21">
        <f t="shared" si="66"/>
        <v>1</v>
      </c>
      <c r="H363" s="634"/>
      <c r="I363" s="21">
        <f t="shared" si="67"/>
        <v>1</v>
      </c>
      <c r="J363" s="634"/>
      <c r="K363" s="21">
        <f t="shared" si="68"/>
        <v>1</v>
      </c>
      <c r="L363" s="634"/>
      <c r="M363" s="21">
        <f t="shared" si="69"/>
        <v>1</v>
      </c>
      <c r="N363" s="634"/>
      <c r="O363" s="21">
        <f t="shared" si="70"/>
        <v>1</v>
      </c>
      <c r="P363" s="634"/>
      <c r="Q363" s="21">
        <f t="shared" si="71"/>
        <v>0</v>
      </c>
      <c r="R363" s="21">
        <f t="shared" si="72"/>
        <v>0</v>
      </c>
      <c r="S363" s="307">
        <f t="shared" si="63"/>
        <v>0</v>
      </c>
    </row>
    <row r="364" spans="1:19">
      <c r="A364" s="142"/>
      <c r="B364" s="52"/>
      <c r="C364" s="21">
        <f t="shared" si="64"/>
        <v>1</v>
      </c>
      <c r="D364" s="634"/>
      <c r="E364" s="21">
        <f t="shared" si="65"/>
        <v>0.05</v>
      </c>
      <c r="F364" s="634"/>
      <c r="G364" s="21">
        <f t="shared" si="66"/>
        <v>1</v>
      </c>
      <c r="H364" s="634"/>
      <c r="I364" s="21">
        <f t="shared" si="67"/>
        <v>1</v>
      </c>
      <c r="J364" s="634"/>
      <c r="K364" s="21">
        <f t="shared" si="68"/>
        <v>1</v>
      </c>
      <c r="L364" s="634"/>
      <c r="M364" s="21">
        <f t="shared" si="69"/>
        <v>1</v>
      </c>
      <c r="N364" s="634"/>
      <c r="O364" s="21">
        <f t="shared" si="70"/>
        <v>1</v>
      </c>
      <c r="P364" s="634"/>
      <c r="Q364" s="21">
        <f t="shared" si="71"/>
        <v>0</v>
      </c>
      <c r="R364" s="21">
        <f t="shared" si="72"/>
        <v>0</v>
      </c>
      <c r="S364" s="307">
        <f t="shared" si="63"/>
        <v>0</v>
      </c>
    </row>
    <row r="365" spans="1:19">
      <c r="A365" s="142"/>
      <c r="B365" s="52"/>
      <c r="C365" s="21">
        <f t="shared" si="64"/>
        <v>1</v>
      </c>
      <c r="D365" s="634"/>
      <c r="E365" s="21">
        <f t="shared" si="65"/>
        <v>0.05</v>
      </c>
      <c r="F365" s="634"/>
      <c r="G365" s="21">
        <f t="shared" si="66"/>
        <v>1</v>
      </c>
      <c r="H365" s="634"/>
      <c r="I365" s="21">
        <f t="shared" si="67"/>
        <v>1</v>
      </c>
      <c r="J365" s="634"/>
      <c r="K365" s="21">
        <f t="shared" si="68"/>
        <v>1</v>
      </c>
      <c r="L365" s="634"/>
      <c r="M365" s="21">
        <f t="shared" si="69"/>
        <v>1</v>
      </c>
      <c r="N365" s="634"/>
      <c r="O365" s="21">
        <f t="shared" si="70"/>
        <v>1</v>
      </c>
      <c r="P365" s="634"/>
      <c r="Q365" s="21">
        <f t="shared" si="71"/>
        <v>0</v>
      </c>
      <c r="R365" s="21">
        <f t="shared" si="72"/>
        <v>0</v>
      </c>
      <c r="S365" s="307">
        <f t="shared" si="63"/>
        <v>0</v>
      </c>
    </row>
    <row r="366" spans="1:19">
      <c r="A366" s="142"/>
      <c r="B366" s="52"/>
      <c r="C366" s="21">
        <f t="shared" si="64"/>
        <v>1</v>
      </c>
      <c r="D366" s="634"/>
      <c r="E366" s="21">
        <f t="shared" si="65"/>
        <v>0.05</v>
      </c>
      <c r="F366" s="634"/>
      <c r="G366" s="21">
        <f t="shared" si="66"/>
        <v>1</v>
      </c>
      <c r="H366" s="634"/>
      <c r="I366" s="21">
        <f t="shared" si="67"/>
        <v>1</v>
      </c>
      <c r="J366" s="634"/>
      <c r="K366" s="21">
        <f t="shared" si="68"/>
        <v>1</v>
      </c>
      <c r="L366" s="634"/>
      <c r="M366" s="21">
        <f t="shared" si="69"/>
        <v>1</v>
      </c>
      <c r="N366" s="634"/>
      <c r="O366" s="21">
        <f t="shared" si="70"/>
        <v>1</v>
      </c>
      <c r="P366" s="634"/>
      <c r="Q366" s="21">
        <f t="shared" si="71"/>
        <v>0</v>
      </c>
      <c r="R366" s="21">
        <f t="shared" si="72"/>
        <v>0</v>
      </c>
      <c r="S366" s="307">
        <f t="shared" si="63"/>
        <v>0</v>
      </c>
    </row>
    <row r="367" spans="1:19">
      <c r="A367" s="142"/>
      <c r="B367" s="52"/>
      <c r="C367" s="21">
        <f t="shared" si="64"/>
        <v>1</v>
      </c>
      <c r="D367" s="634"/>
      <c r="E367" s="21">
        <f t="shared" si="65"/>
        <v>0.05</v>
      </c>
      <c r="F367" s="634"/>
      <c r="G367" s="21">
        <f t="shared" si="66"/>
        <v>1</v>
      </c>
      <c r="H367" s="634"/>
      <c r="I367" s="21">
        <f t="shared" si="67"/>
        <v>1</v>
      </c>
      <c r="J367" s="634"/>
      <c r="K367" s="21">
        <f t="shared" si="68"/>
        <v>1</v>
      </c>
      <c r="L367" s="634"/>
      <c r="M367" s="21">
        <f t="shared" si="69"/>
        <v>1</v>
      </c>
      <c r="N367" s="634"/>
      <c r="O367" s="21">
        <f t="shared" si="70"/>
        <v>1</v>
      </c>
      <c r="P367" s="634"/>
      <c r="Q367" s="21">
        <f t="shared" si="71"/>
        <v>0</v>
      </c>
      <c r="R367" s="21">
        <f t="shared" si="72"/>
        <v>0</v>
      </c>
      <c r="S367" s="307">
        <f t="shared" si="63"/>
        <v>0</v>
      </c>
    </row>
    <row r="368" spans="1:19">
      <c r="A368" s="142"/>
      <c r="B368" s="52"/>
      <c r="C368" s="21">
        <f t="shared" si="64"/>
        <v>1</v>
      </c>
      <c r="D368" s="634"/>
      <c r="E368" s="21">
        <f t="shared" si="65"/>
        <v>0.05</v>
      </c>
      <c r="F368" s="634"/>
      <c r="G368" s="21">
        <f t="shared" si="66"/>
        <v>1</v>
      </c>
      <c r="H368" s="634"/>
      <c r="I368" s="21">
        <f t="shared" si="67"/>
        <v>1</v>
      </c>
      <c r="J368" s="634"/>
      <c r="K368" s="21">
        <f t="shared" si="68"/>
        <v>1</v>
      </c>
      <c r="L368" s="634"/>
      <c r="M368" s="21">
        <f t="shared" si="69"/>
        <v>1</v>
      </c>
      <c r="N368" s="634"/>
      <c r="O368" s="21">
        <f t="shared" si="70"/>
        <v>1</v>
      </c>
      <c r="P368" s="634"/>
      <c r="Q368" s="21">
        <f t="shared" si="71"/>
        <v>0</v>
      </c>
      <c r="R368" s="21">
        <f t="shared" si="72"/>
        <v>0</v>
      </c>
      <c r="S368" s="307">
        <f t="shared" si="63"/>
        <v>0</v>
      </c>
    </row>
    <row r="369" spans="1:19">
      <c r="A369" s="142"/>
      <c r="B369" s="52"/>
      <c r="C369" s="21">
        <f t="shared" si="64"/>
        <v>1</v>
      </c>
      <c r="D369" s="634"/>
      <c r="E369" s="21">
        <f t="shared" si="65"/>
        <v>0.05</v>
      </c>
      <c r="F369" s="634"/>
      <c r="G369" s="21">
        <f t="shared" si="66"/>
        <v>1</v>
      </c>
      <c r="H369" s="634"/>
      <c r="I369" s="21">
        <f t="shared" si="67"/>
        <v>1</v>
      </c>
      <c r="J369" s="634"/>
      <c r="K369" s="21">
        <f t="shared" si="68"/>
        <v>1</v>
      </c>
      <c r="L369" s="634"/>
      <c r="M369" s="21">
        <f t="shared" si="69"/>
        <v>1</v>
      </c>
      <c r="N369" s="634"/>
      <c r="O369" s="21">
        <f t="shared" si="70"/>
        <v>1</v>
      </c>
      <c r="P369" s="634"/>
      <c r="Q369" s="21">
        <f t="shared" si="71"/>
        <v>0</v>
      </c>
      <c r="R369" s="21">
        <f t="shared" si="72"/>
        <v>0</v>
      </c>
      <c r="S369" s="307">
        <f t="shared" si="63"/>
        <v>0</v>
      </c>
    </row>
    <row r="370" spans="1:19">
      <c r="A370" s="142"/>
      <c r="B370" s="52"/>
      <c r="C370" s="21">
        <f t="shared" si="64"/>
        <v>1</v>
      </c>
      <c r="D370" s="634"/>
      <c r="E370" s="21">
        <f t="shared" si="65"/>
        <v>0.05</v>
      </c>
      <c r="F370" s="634"/>
      <c r="G370" s="21">
        <f t="shared" si="66"/>
        <v>1</v>
      </c>
      <c r="H370" s="634"/>
      <c r="I370" s="21">
        <f t="shared" si="67"/>
        <v>1</v>
      </c>
      <c r="J370" s="634"/>
      <c r="K370" s="21">
        <f t="shared" si="68"/>
        <v>1</v>
      </c>
      <c r="L370" s="634"/>
      <c r="M370" s="21">
        <f t="shared" si="69"/>
        <v>1</v>
      </c>
      <c r="N370" s="634"/>
      <c r="O370" s="21">
        <f t="shared" si="70"/>
        <v>1</v>
      </c>
      <c r="P370" s="634"/>
      <c r="Q370" s="21">
        <f t="shared" si="71"/>
        <v>0</v>
      </c>
      <c r="R370" s="21">
        <f t="shared" si="72"/>
        <v>0</v>
      </c>
      <c r="S370" s="307">
        <f t="shared" si="63"/>
        <v>0</v>
      </c>
    </row>
    <row r="371" spans="1:19">
      <c r="A371" s="142"/>
      <c r="B371" s="52"/>
      <c r="C371" s="21">
        <f t="shared" si="64"/>
        <v>1</v>
      </c>
      <c r="D371" s="634"/>
      <c r="E371" s="21">
        <f t="shared" si="65"/>
        <v>0.05</v>
      </c>
      <c r="F371" s="634"/>
      <c r="G371" s="21">
        <f t="shared" si="66"/>
        <v>1</v>
      </c>
      <c r="H371" s="634"/>
      <c r="I371" s="21">
        <f t="shared" si="67"/>
        <v>1</v>
      </c>
      <c r="J371" s="634"/>
      <c r="K371" s="21">
        <f t="shared" si="68"/>
        <v>1</v>
      </c>
      <c r="L371" s="634"/>
      <c r="M371" s="21">
        <f t="shared" si="69"/>
        <v>1</v>
      </c>
      <c r="N371" s="634"/>
      <c r="O371" s="21">
        <f t="shared" si="70"/>
        <v>1</v>
      </c>
      <c r="P371" s="634"/>
      <c r="Q371" s="21">
        <f t="shared" si="71"/>
        <v>0</v>
      </c>
      <c r="R371" s="21">
        <f t="shared" si="72"/>
        <v>0</v>
      </c>
      <c r="S371" s="307">
        <f t="shared" si="63"/>
        <v>0</v>
      </c>
    </row>
    <row r="372" spans="1:19">
      <c r="A372" s="142"/>
      <c r="B372" s="52"/>
      <c r="C372" s="21">
        <f t="shared" si="64"/>
        <v>1</v>
      </c>
      <c r="D372" s="634"/>
      <c r="E372" s="21">
        <f t="shared" si="65"/>
        <v>0.05</v>
      </c>
      <c r="F372" s="634"/>
      <c r="G372" s="21">
        <f t="shared" si="66"/>
        <v>1</v>
      </c>
      <c r="H372" s="634"/>
      <c r="I372" s="21">
        <f t="shared" si="67"/>
        <v>1</v>
      </c>
      <c r="J372" s="634"/>
      <c r="K372" s="21">
        <f t="shared" si="68"/>
        <v>1</v>
      </c>
      <c r="L372" s="634"/>
      <c r="M372" s="21">
        <f t="shared" si="69"/>
        <v>1</v>
      </c>
      <c r="N372" s="634"/>
      <c r="O372" s="21">
        <f t="shared" si="70"/>
        <v>1</v>
      </c>
      <c r="P372" s="634"/>
      <c r="Q372" s="21">
        <f t="shared" si="71"/>
        <v>0</v>
      </c>
      <c r="R372" s="21">
        <f t="shared" si="72"/>
        <v>0</v>
      </c>
      <c r="S372" s="307">
        <f t="shared" si="63"/>
        <v>0</v>
      </c>
    </row>
    <row r="373" spans="1:19">
      <c r="A373" s="142"/>
      <c r="B373" s="52"/>
      <c r="C373" s="21">
        <f t="shared" si="64"/>
        <v>1</v>
      </c>
      <c r="D373" s="634"/>
      <c r="E373" s="21">
        <f t="shared" si="65"/>
        <v>0.05</v>
      </c>
      <c r="F373" s="634"/>
      <c r="G373" s="21">
        <f t="shared" si="66"/>
        <v>1</v>
      </c>
      <c r="H373" s="634"/>
      <c r="I373" s="21">
        <f t="shared" si="67"/>
        <v>1</v>
      </c>
      <c r="J373" s="634"/>
      <c r="K373" s="21">
        <f t="shared" si="68"/>
        <v>1</v>
      </c>
      <c r="L373" s="634"/>
      <c r="M373" s="21">
        <f t="shared" si="69"/>
        <v>1</v>
      </c>
      <c r="N373" s="634"/>
      <c r="O373" s="21">
        <f t="shared" si="70"/>
        <v>1</v>
      </c>
      <c r="P373" s="634"/>
      <c r="Q373" s="21">
        <f t="shared" si="71"/>
        <v>0</v>
      </c>
      <c r="R373" s="21">
        <f t="shared" si="72"/>
        <v>0</v>
      </c>
      <c r="S373" s="307">
        <f t="shared" si="63"/>
        <v>0</v>
      </c>
    </row>
    <row r="374" spans="1:19">
      <c r="A374" s="142"/>
      <c r="B374" s="52"/>
      <c r="C374" s="21">
        <f t="shared" si="64"/>
        <v>1</v>
      </c>
      <c r="D374" s="634"/>
      <c r="E374" s="21">
        <f t="shared" si="65"/>
        <v>0.05</v>
      </c>
      <c r="F374" s="634"/>
      <c r="G374" s="21">
        <f t="shared" si="66"/>
        <v>1</v>
      </c>
      <c r="H374" s="634"/>
      <c r="I374" s="21">
        <f t="shared" si="67"/>
        <v>1</v>
      </c>
      <c r="J374" s="634"/>
      <c r="K374" s="21">
        <f t="shared" si="68"/>
        <v>1</v>
      </c>
      <c r="L374" s="634"/>
      <c r="M374" s="21">
        <f t="shared" si="69"/>
        <v>1</v>
      </c>
      <c r="N374" s="634"/>
      <c r="O374" s="21">
        <f t="shared" si="70"/>
        <v>1</v>
      </c>
      <c r="P374" s="634"/>
      <c r="Q374" s="21">
        <f t="shared" si="71"/>
        <v>0</v>
      </c>
      <c r="R374" s="21">
        <f t="shared" si="72"/>
        <v>0</v>
      </c>
      <c r="S374" s="307">
        <f t="shared" si="63"/>
        <v>0</v>
      </c>
    </row>
    <row r="375" spans="1:19">
      <c r="A375" s="142"/>
      <c r="B375" s="52"/>
      <c r="C375" s="21">
        <f t="shared" si="64"/>
        <v>1</v>
      </c>
      <c r="D375" s="634"/>
      <c r="E375" s="21">
        <f t="shared" si="65"/>
        <v>0.05</v>
      </c>
      <c r="F375" s="634"/>
      <c r="G375" s="21">
        <f t="shared" si="66"/>
        <v>1</v>
      </c>
      <c r="H375" s="634"/>
      <c r="I375" s="21">
        <f t="shared" si="67"/>
        <v>1</v>
      </c>
      <c r="J375" s="634"/>
      <c r="K375" s="21">
        <f t="shared" si="68"/>
        <v>1</v>
      </c>
      <c r="L375" s="634"/>
      <c r="M375" s="21">
        <f t="shared" si="69"/>
        <v>1</v>
      </c>
      <c r="N375" s="634"/>
      <c r="O375" s="21">
        <f t="shared" si="70"/>
        <v>1</v>
      </c>
      <c r="P375" s="634"/>
      <c r="Q375" s="21">
        <f t="shared" si="71"/>
        <v>0</v>
      </c>
      <c r="R375" s="21">
        <f t="shared" si="72"/>
        <v>0</v>
      </c>
      <c r="S375" s="307">
        <f t="shared" si="63"/>
        <v>0</v>
      </c>
    </row>
    <row r="376" spans="1:19">
      <c r="A376" s="142"/>
      <c r="B376" s="52"/>
      <c r="C376" s="21">
        <f t="shared" si="64"/>
        <v>1</v>
      </c>
      <c r="D376" s="634"/>
      <c r="E376" s="21">
        <f t="shared" si="65"/>
        <v>0.05</v>
      </c>
      <c r="F376" s="634"/>
      <c r="G376" s="21">
        <f t="shared" si="66"/>
        <v>1</v>
      </c>
      <c r="H376" s="634"/>
      <c r="I376" s="21">
        <f t="shared" si="67"/>
        <v>1</v>
      </c>
      <c r="J376" s="634"/>
      <c r="K376" s="21">
        <f t="shared" si="68"/>
        <v>1</v>
      </c>
      <c r="L376" s="634"/>
      <c r="M376" s="21">
        <f t="shared" si="69"/>
        <v>1</v>
      </c>
      <c r="N376" s="634"/>
      <c r="O376" s="21">
        <f t="shared" si="70"/>
        <v>1</v>
      </c>
      <c r="P376" s="634"/>
      <c r="Q376" s="21">
        <f t="shared" si="71"/>
        <v>0</v>
      </c>
      <c r="R376" s="21">
        <f t="shared" si="72"/>
        <v>0</v>
      </c>
      <c r="S376" s="307">
        <f t="shared" si="63"/>
        <v>0</v>
      </c>
    </row>
    <row r="377" spans="1:19">
      <c r="A377" s="142"/>
      <c r="B377" s="52"/>
      <c r="C377" s="21">
        <f t="shared" si="64"/>
        <v>1</v>
      </c>
      <c r="D377" s="634"/>
      <c r="E377" s="21">
        <f t="shared" si="65"/>
        <v>0.05</v>
      </c>
      <c r="F377" s="634"/>
      <c r="G377" s="21">
        <f t="shared" si="66"/>
        <v>1</v>
      </c>
      <c r="H377" s="634"/>
      <c r="I377" s="21">
        <f t="shared" si="67"/>
        <v>1</v>
      </c>
      <c r="J377" s="634"/>
      <c r="K377" s="21">
        <f t="shared" si="68"/>
        <v>1</v>
      </c>
      <c r="L377" s="634"/>
      <c r="M377" s="21">
        <f t="shared" si="69"/>
        <v>1</v>
      </c>
      <c r="N377" s="634"/>
      <c r="O377" s="21">
        <f t="shared" si="70"/>
        <v>1</v>
      </c>
      <c r="P377" s="634"/>
      <c r="Q377" s="21">
        <f t="shared" si="71"/>
        <v>0</v>
      </c>
      <c r="R377" s="21">
        <f t="shared" si="72"/>
        <v>0</v>
      </c>
      <c r="S377" s="307">
        <f t="shared" si="63"/>
        <v>0</v>
      </c>
    </row>
    <row r="378" spans="1:19">
      <c r="A378" s="142"/>
      <c r="B378" s="52"/>
      <c r="C378" s="21">
        <f t="shared" si="64"/>
        <v>1</v>
      </c>
      <c r="D378" s="634"/>
      <c r="E378" s="21">
        <f t="shared" si="65"/>
        <v>0.05</v>
      </c>
      <c r="F378" s="634"/>
      <c r="G378" s="21">
        <f t="shared" si="66"/>
        <v>1</v>
      </c>
      <c r="H378" s="634"/>
      <c r="I378" s="21">
        <f t="shared" si="67"/>
        <v>1</v>
      </c>
      <c r="J378" s="634"/>
      <c r="K378" s="21">
        <f t="shared" si="68"/>
        <v>1</v>
      </c>
      <c r="L378" s="634"/>
      <c r="M378" s="21">
        <f t="shared" si="69"/>
        <v>1</v>
      </c>
      <c r="N378" s="634"/>
      <c r="O378" s="21">
        <f t="shared" si="70"/>
        <v>1</v>
      </c>
      <c r="P378" s="634"/>
      <c r="Q378" s="21">
        <f t="shared" si="71"/>
        <v>0</v>
      </c>
      <c r="R378" s="21">
        <f t="shared" si="72"/>
        <v>0</v>
      </c>
      <c r="S378" s="307">
        <f t="shared" si="63"/>
        <v>0</v>
      </c>
    </row>
    <row r="379" spans="1:19">
      <c r="A379" s="142"/>
      <c r="B379" s="52"/>
      <c r="C379" s="21">
        <f t="shared" si="64"/>
        <v>1</v>
      </c>
      <c r="D379" s="634"/>
      <c r="E379" s="21">
        <f t="shared" si="65"/>
        <v>0.05</v>
      </c>
      <c r="F379" s="634"/>
      <c r="G379" s="21">
        <f t="shared" si="66"/>
        <v>1</v>
      </c>
      <c r="H379" s="634"/>
      <c r="I379" s="21">
        <f t="shared" si="67"/>
        <v>1</v>
      </c>
      <c r="J379" s="634"/>
      <c r="K379" s="21">
        <f t="shared" si="68"/>
        <v>1</v>
      </c>
      <c r="L379" s="634"/>
      <c r="M379" s="21">
        <f t="shared" si="69"/>
        <v>1</v>
      </c>
      <c r="N379" s="634"/>
      <c r="O379" s="21">
        <f t="shared" si="70"/>
        <v>1</v>
      </c>
      <c r="P379" s="634"/>
      <c r="Q379" s="21">
        <f t="shared" si="71"/>
        <v>0</v>
      </c>
      <c r="R379" s="21">
        <f t="shared" si="72"/>
        <v>0</v>
      </c>
      <c r="S379" s="307">
        <f t="shared" si="63"/>
        <v>0</v>
      </c>
    </row>
    <row r="380" spans="1:19">
      <c r="A380" s="142"/>
      <c r="B380" s="52"/>
      <c r="C380" s="21">
        <f t="shared" si="64"/>
        <v>1</v>
      </c>
      <c r="D380" s="634"/>
      <c r="E380" s="21">
        <f t="shared" si="65"/>
        <v>0.05</v>
      </c>
      <c r="F380" s="634"/>
      <c r="G380" s="21">
        <f t="shared" si="66"/>
        <v>1</v>
      </c>
      <c r="H380" s="634"/>
      <c r="I380" s="21">
        <f t="shared" si="67"/>
        <v>1</v>
      </c>
      <c r="J380" s="634"/>
      <c r="K380" s="21">
        <f t="shared" si="68"/>
        <v>1</v>
      </c>
      <c r="L380" s="634"/>
      <c r="M380" s="21">
        <f t="shared" si="69"/>
        <v>1</v>
      </c>
      <c r="N380" s="634"/>
      <c r="O380" s="21">
        <f t="shared" si="70"/>
        <v>1</v>
      </c>
      <c r="P380" s="634"/>
      <c r="Q380" s="21">
        <f t="shared" si="71"/>
        <v>0</v>
      </c>
      <c r="R380" s="21">
        <f t="shared" si="72"/>
        <v>0</v>
      </c>
      <c r="S380" s="307">
        <f t="shared" si="63"/>
        <v>0</v>
      </c>
    </row>
    <row r="381" spans="1:19">
      <c r="A381" s="142"/>
      <c r="B381" s="52"/>
      <c r="C381" s="21">
        <f t="shared" si="64"/>
        <v>1</v>
      </c>
      <c r="D381" s="634"/>
      <c r="E381" s="21">
        <f t="shared" si="65"/>
        <v>0.05</v>
      </c>
      <c r="F381" s="634"/>
      <c r="G381" s="21">
        <f t="shared" si="66"/>
        <v>1</v>
      </c>
      <c r="H381" s="634"/>
      <c r="I381" s="21">
        <f t="shared" si="67"/>
        <v>1</v>
      </c>
      <c r="J381" s="634"/>
      <c r="K381" s="21">
        <f t="shared" si="68"/>
        <v>1</v>
      </c>
      <c r="L381" s="634"/>
      <c r="M381" s="21">
        <f t="shared" si="69"/>
        <v>1</v>
      </c>
      <c r="N381" s="634"/>
      <c r="O381" s="21">
        <f t="shared" si="70"/>
        <v>1</v>
      </c>
      <c r="P381" s="634"/>
      <c r="Q381" s="21">
        <f t="shared" si="71"/>
        <v>0</v>
      </c>
      <c r="R381" s="21">
        <f t="shared" si="72"/>
        <v>0</v>
      </c>
      <c r="S381" s="307">
        <f t="shared" si="63"/>
        <v>0</v>
      </c>
    </row>
    <row r="382" spans="1:19">
      <c r="A382" s="142"/>
      <c r="B382" s="52"/>
      <c r="C382" s="21">
        <f t="shared" si="64"/>
        <v>1</v>
      </c>
      <c r="D382" s="634"/>
      <c r="E382" s="21">
        <f t="shared" si="65"/>
        <v>0.05</v>
      </c>
      <c r="F382" s="634"/>
      <c r="G382" s="21">
        <f t="shared" si="66"/>
        <v>1</v>
      </c>
      <c r="H382" s="634"/>
      <c r="I382" s="21">
        <f t="shared" si="67"/>
        <v>1</v>
      </c>
      <c r="J382" s="634"/>
      <c r="K382" s="21">
        <f t="shared" si="68"/>
        <v>1</v>
      </c>
      <c r="L382" s="634"/>
      <c r="M382" s="21">
        <f t="shared" si="69"/>
        <v>1</v>
      </c>
      <c r="N382" s="634"/>
      <c r="O382" s="21">
        <f t="shared" si="70"/>
        <v>1</v>
      </c>
      <c r="P382" s="634"/>
      <c r="Q382" s="21">
        <f t="shared" si="71"/>
        <v>0</v>
      </c>
      <c r="R382" s="21">
        <f t="shared" si="72"/>
        <v>0</v>
      </c>
      <c r="S382" s="307">
        <f t="shared" si="63"/>
        <v>0</v>
      </c>
    </row>
    <row r="383" spans="1:19">
      <c r="A383" s="142"/>
      <c r="B383" s="52"/>
      <c r="C383" s="21">
        <f t="shared" si="64"/>
        <v>1</v>
      </c>
      <c r="D383" s="634"/>
      <c r="E383" s="21">
        <f t="shared" si="65"/>
        <v>0.05</v>
      </c>
      <c r="F383" s="634"/>
      <c r="G383" s="21">
        <f t="shared" si="66"/>
        <v>1</v>
      </c>
      <c r="H383" s="634"/>
      <c r="I383" s="21">
        <f t="shared" si="67"/>
        <v>1</v>
      </c>
      <c r="J383" s="634"/>
      <c r="K383" s="21">
        <f t="shared" si="68"/>
        <v>1</v>
      </c>
      <c r="L383" s="634"/>
      <c r="M383" s="21">
        <f t="shared" si="69"/>
        <v>1</v>
      </c>
      <c r="N383" s="634"/>
      <c r="O383" s="21">
        <f t="shared" si="70"/>
        <v>1</v>
      </c>
      <c r="P383" s="634"/>
      <c r="Q383" s="21">
        <f t="shared" si="71"/>
        <v>0</v>
      </c>
      <c r="R383" s="21">
        <f t="shared" si="72"/>
        <v>0</v>
      </c>
      <c r="S383" s="307">
        <f t="shared" si="63"/>
        <v>0</v>
      </c>
    </row>
    <row r="384" spans="1:19">
      <c r="A384" s="142"/>
      <c r="B384" s="52"/>
      <c r="C384" s="21">
        <f t="shared" si="64"/>
        <v>1</v>
      </c>
      <c r="D384" s="634"/>
      <c r="E384" s="21">
        <f t="shared" si="65"/>
        <v>0.05</v>
      </c>
      <c r="F384" s="634"/>
      <c r="G384" s="21">
        <f t="shared" si="66"/>
        <v>1</v>
      </c>
      <c r="H384" s="634"/>
      <c r="I384" s="21">
        <f t="shared" si="67"/>
        <v>1</v>
      </c>
      <c r="J384" s="634"/>
      <c r="K384" s="21">
        <f t="shared" si="68"/>
        <v>1</v>
      </c>
      <c r="L384" s="634"/>
      <c r="M384" s="21">
        <f t="shared" si="69"/>
        <v>1</v>
      </c>
      <c r="N384" s="634"/>
      <c r="O384" s="21">
        <f t="shared" si="70"/>
        <v>1</v>
      </c>
      <c r="P384" s="634"/>
      <c r="Q384" s="21">
        <f t="shared" si="71"/>
        <v>0</v>
      </c>
      <c r="R384" s="21">
        <f t="shared" si="72"/>
        <v>0</v>
      </c>
      <c r="S384" s="307">
        <f t="shared" si="63"/>
        <v>0</v>
      </c>
    </row>
    <row r="385" spans="1:19">
      <c r="A385" s="142"/>
      <c r="B385" s="52"/>
      <c r="C385" s="21">
        <f t="shared" si="64"/>
        <v>1</v>
      </c>
      <c r="D385" s="634"/>
      <c r="E385" s="21">
        <f t="shared" si="65"/>
        <v>0.05</v>
      </c>
      <c r="F385" s="634"/>
      <c r="G385" s="21">
        <f t="shared" si="66"/>
        <v>1</v>
      </c>
      <c r="H385" s="634"/>
      <c r="I385" s="21">
        <f t="shared" si="67"/>
        <v>1</v>
      </c>
      <c r="J385" s="634"/>
      <c r="K385" s="21">
        <f t="shared" si="68"/>
        <v>1</v>
      </c>
      <c r="L385" s="634"/>
      <c r="M385" s="21">
        <f t="shared" si="69"/>
        <v>1</v>
      </c>
      <c r="N385" s="634"/>
      <c r="O385" s="21">
        <f t="shared" si="70"/>
        <v>1</v>
      </c>
      <c r="P385" s="634"/>
      <c r="Q385" s="21">
        <f t="shared" si="71"/>
        <v>0</v>
      </c>
      <c r="R385" s="21">
        <f t="shared" si="72"/>
        <v>0</v>
      </c>
      <c r="S385" s="307">
        <f t="shared" ref="S385:S422" si="73">ROUND(R385*B385/10000,0)</f>
        <v>0</v>
      </c>
    </row>
    <row r="386" spans="1:19">
      <c r="A386" s="142"/>
      <c r="B386" s="52"/>
      <c r="C386" s="21">
        <f t="shared" si="64"/>
        <v>1</v>
      </c>
      <c r="D386" s="634"/>
      <c r="E386" s="21">
        <f t="shared" si="65"/>
        <v>0.05</v>
      </c>
      <c r="F386" s="634"/>
      <c r="G386" s="21">
        <f t="shared" si="66"/>
        <v>1</v>
      </c>
      <c r="H386" s="634"/>
      <c r="I386" s="21">
        <f t="shared" si="67"/>
        <v>1</v>
      </c>
      <c r="J386" s="634"/>
      <c r="K386" s="21">
        <f t="shared" si="68"/>
        <v>1</v>
      </c>
      <c r="L386" s="634"/>
      <c r="M386" s="21">
        <f t="shared" si="69"/>
        <v>1</v>
      </c>
      <c r="N386" s="634"/>
      <c r="O386" s="21">
        <f t="shared" si="70"/>
        <v>1</v>
      </c>
      <c r="P386" s="634"/>
      <c r="Q386" s="21">
        <f t="shared" si="71"/>
        <v>0</v>
      </c>
      <c r="R386" s="21">
        <f t="shared" si="72"/>
        <v>0</v>
      </c>
      <c r="S386" s="307">
        <f t="shared" si="73"/>
        <v>0</v>
      </c>
    </row>
    <row r="387" spans="1:19">
      <c r="A387" s="142"/>
      <c r="B387" s="52"/>
      <c r="C387" s="21">
        <f t="shared" si="64"/>
        <v>1</v>
      </c>
      <c r="D387" s="634"/>
      <c r="E387" s="21">
        <f t="shared" si="65"/>
        <v>0.05</v>
      </c>
      <c r="F387" s="634"/>
      <c r="G387" s="21">
        <f t="shared" si="66"/>
        <v>1</v>
      </c>
      <c r="H387" s="634"/>
      <c r="I387" s="21">
        <f t="shared" si="67"/>
        <v>1</v>
      </c>
      <c r="J387" s="634"/>
      <c r="K387" s="21">
        <f t="shared" si="68"/>
        <v>1</v>
      </c>
      <c r="L387" s="634"/>
      <c r="M387" s="21">
        <f t="shared" si="69"/>
        <v>1</v>
      </c>
      <c r="N387" s="634"/>
      <c r="O387" s="21">
        <f t="shared" si="70"/>
        <v>1</v>
      </c>
      <c r="P387" s="634"/>
      <c r="Q387" s="21">
        <f t="shared" si="71"/>
        <v>0</v>
      </c>
      <c r="R387" s="21">
        <f t="shared" si="72"/>
        <v>0</v>
      </c>
      <c r="S387" s="307">
        <f t="shared" si="73"/>
        <v>0</v>
      </c>
    </row>
    <row r="388" spans="1:19">
      <c r="A388" s="142"/>
      <c r="B388" s="52"/>
      <c r="C388" s="21">
        <f t="shared" si="64"/>
        <v>1</v>
      </c>
      <c r="D388" s="634"/>
      <c r="E388" s="21">
        <f t="shared" si="65"/>
        <v>0.05</v>
      </c>
      <c r="F388" s="634"/>
      <c r="G388" s="21">
        <f t="shared" si="66"/>
        <v>1</v>
      </c>
      <c r="H388" s="634"/>
      <c r="I388" s="21">
        <f t="shared" si="67"/>
        <v>1</v>
      </c>
      <c r="J388" s="634"/>
      <c r="K388" s="21">
        <f t="shared" si="68"/>
        <v>1</v>
      </c>
      <c r="L388" s="634"/>
      <c r="M388" s="21">
        <f t="shared" si="69"/>
        <v>1</v>
      </c>
      <c r="N388" s="634"/>
      <c r="O388" s="21">
        <f t="shared" si="70"/>
        <v>1</v>
      </c>
      <c r="P388" s="634"/>
      <c r="Q388" s="21">
        <f t="shared" si="71"/>
        <v>0</v>
      </c>
      <c r="R388" s="21">
        <f t="shared" si="72"/>
        <v>0</v>
      </c>
      <c r="S388" s="307">
        <f t="shared" si="73"/>
        <v>0</v>
      </c>
    </row>
    <row r="389" spans="1:19">
      <c r="A389" s="142"/>
      <c r="B389" s="52"/>
      <c r="C389" s="21">
        <f t="shared" si="64"/>
        <v>1</v>
      </c>
      <c r="D389" s="634"/>
      <c r="E389" s="21">
        <f t="shared" si="65"/>
        <v>0.05</v>
      </c>
      <c r="F389" s="634"/>
      <c r="G389" s="21">
        <f t="shared" si="66"/>
        <v>1</v>
      </c>
      <c r="H389" s="634"/>
      <c r="I389" s="21">
        <f t="shared" si="67"/>
        <v>1</v>
      </c>
      <c r="J389" s="634"/>
      <c r="K389" s="21">
        <f t="shared" si="68"/>
        <v>1</v>
      </c>
      <c r="L389" s="634"/>
      <c r="M389" s="21">
        <f t="shared" si="69"/>
        <v>1</v>
      </c>
      <c r="N389" s="634"/>
      <c r="O389" s="21">
        <f t="shared" si="70"/>
        <v>1</v>
      </c>
      <c r="P389" s="634"/>
      <c r="Q389" s="21">
        <f t="shared" si="71"/>
        <v>0</v>
      </c>
      <c r="R389" s="21">
        <f t="shared" si="72"/>
        <v>0</v>
      </c>
      <c r="S389" s="307">
        <f t="shared" si="73"/>
        <v>0</v>
      </c>
    </row>
    <row r="390" spans="1:19">
      <c r="A390" s="142"/>
      <c r="B390" s="52"/>
      <c r="C390" s="21">
        <f t="shared" si="64"/>
        <v>1</v>
      </c>
      <c r="D390" s="634"/>
      <c r="E390" s="21">
        <f t="shared" si="65"/>
        <v>0.05</v>
      </c>
      <c r="F390" s="634"/>
      <c r="G390" s="21">
        <f t="shared" si="66"/>
        <v>1</v>
      </c>
      <c r="H390" s="634"/>
      <c r="I390" s="21">
        <f t="shared" si="67"/>
        <v>1</v>
      </c>
      <c r="J390" s="634"/>
      <c r="K390" s="21">
        <f t="shared" si="68"/>
        <v>1</v>
      </c>
      <c r="L390" s="634"/>
      <c r="M390" s="21">
        <f t="shared" si="69"/>
        <v>1</v>
      </c>
      <c r="N390" s="634"/>
      <c r="O390" s="21">
        <f t="shared" si="70"/>
        <v>1</v>
      </c>
      <c r="P390" s="634"/>
      <c r="Q390" s="21">
        <f t="shared" si="71"/>
        <v>0</v>
      </c>
      <c r="R390" s="21">
        <f t="shared" si="72"/>
        <v>0</v>
      </c>
      <c r="S390" s="307">
        <f t="shared" si="73"/>
        <v>0</v>
      </c>
    </row>
    <row r="391" spans="1:19">
      <c r="A391" s="142"/>
      <c r="B391" s="52"/>
      <c r="C391" s="21">
        <f t="shared" si="64"/>
        <v>1</v>
      </c>
      <c r="D391" s="634"/>
      <c r="E391" s="21">
        <f t="shared" si="65"/>
        <v>0.05</v>
      </c>
      <c r="F391" s="634"/>
      <c r="G391" s="21">
        <f t="shared" si="66"/>
        <v>1</v>
      </c>
      <c r="H391" s="634"/>
      <c r="I391" s="21">
        <f t="shared" si="67"/>
        <v>1</v>
      </c>
      <c r="J391" s="634"/>
      <c r="K391" s="21">
        <f t="shared" si="68"/>
        <v>1</v>
      </c>
      <c r="L391" s="634"/>
      <c r="M391" s="21">
        <f t="shared" si="69"/>
        <v>1</v>
      </c>
      <c r="N391" s="634"/>
      <c r="O391" s="21">
        <f t="shared" si="70"/>
        <v>1</v>
      </c>
      <c r="P391" s="634"/>
      <c r="Q391" s="21">
        <f t="shared" si="71"/>
        <v>0</v>
      </c>
      <c r="R391" s="21">
        <f t="shared" si="72"/>
        <v>0</v>
      </c>
      <c r="S391" s="307">
        <f t="shared" si="73"/>
        <v>0</v>
      </c>
    </row>
    <row r="392" spans="1:19">
      <c r="A392" s="142"/>
      <c r="B392" s="52"/>
      <c r="C392" s="21">
        <f t="shared" si="64"/>
        <v>1</v>
      </c>
      <c r="D392" s="634"/>
      <c r="E392" s="21">
        <f t="shared" si="65"/>
        <v>0.05</v>
      </c>
      <c r="F392" s="634"/>
      <c r="G392" s="21">
        <f t="shared" si="66"/>
        <v>1</v>
      </c>
      <c r="H392" s="634"/>
      <c r="I392" s="21">
        <f t="shared" si="67"/>
        <v>1</v>
      </c>
      <c r="J392" s="634"/>
      <c r="K392" s="21">
        <f t="shared" si="68"/>
        <v>1</v>
      </c>
      <c r="L392" s="634"/>
      <c r="M392" s="21">
        <f t="shared" si="69"/>
        <v>1</v>
      </c>
      <c r="N392" s="634"/>
      <c r="O392" s="21">
        <f t="shared" si="70"/>
        <v>1</v>
      </c>
      <c r="P392" s="634"/>
      <c r="Q392" s="21">
        <f t="shared" si="71"/>
        <v>0</v>
      </c>
      <c r="R392" s="21">
        <f t="shared" si="72"/>
        <v>0</v>
      </c>
      <c r="S392" s="307">
        <f t="shared" si="73"/>
        <v>0</v>
      </c>
    </row>
    <row r="393" spans="1:19">
      <c r="A393" s="142"/>
      <c r="B393" s="52"/>
      <c r="C393" s="21">
        <f t="shared" si="64"/>
        <v>1</v>
      </c>
      <c r="D393" s="634"/>
      <c r="E393" s="21">
        <f t="shared" si="65"/>
        <v>0.05</v>
      </c>
      <c r="F393" s="634"/>
      <c r="G393" s="21">
        <f t="shared" si="66"/>
        <v>1</v>
      </c>
      <c r="H393" s="634"/>
      <c r="I393" s="21">
        <f t="shared" si="67"/>
        <v>1</v>
      </c>
      <c r="J393" s="634"/>
      <c r="K393" s="21">
        <f t="shared" si="68"/>
        <v>1</v>
      </c>
      <c r="L393" s="634"/>
      <c r="M393" s="21">
        <f t="shared" si="69"/>
        <v>1</v>
      </c>
      <c r="N393" s="634"/>
      <c r="O393" s="21">
        <f t="shared" si="70"/>
        <v>1</v>
      </c>
      <c r="P393" s="634"/>
      <c r="Q393" s="21">
        <f t="shared" si="71"/>
        <v>0</v>
      </c>
      <c r="R393" s="21">
        <f t="shared" si="72"/>
        <v>0</v>
      </c>
      <c r="S393" s="307">
        <f t="shared" si="73"/>
        <v>0</v>
      </c>
    </row>
    <row r="394" spans="1:19">
      <c r="A394" s="142"/>
      <c r="B394" s="52"/>
      <c r="C394" s="21">
        <f t="shared" si="64"/>
        <v>1</v>
      </c>
      <c r="D394" s="634"/>
      <c r="E394" s="21">
        <f t="shared" si="65"/>
        <v>0.05</v>
      </c>
      <c r="F394" s="634"/>
      <c r="G394" s="21">
        <f t="shared" si="66"/>
        <v>1</v>
      </c>
      <c r="H394" s="634"/>
      <c r="I394" s="21">
        <f t="shared" si="67"/>
        <v>1</v>
      </c>
      <c r="J394" s="634"/>
      <c r="K394" s="21">
        <f t="shared" si="68"/>
        <v>1</v>
      </c>
      <c r="L394" s="634"/>
      <c r="M394" s="21">
        <f t="shared" si="69"/>
        <v>1</v>
      </c>
      <c r="N394" s="634"/>
      <c r="O394" s="21">
        <f t="shared" si="70"/>
        <v>1</v>
      </c>
      <c r="P394" s="634"/>
      <c r="Q394" s="21">
        <f t="shared" si="71"/>
        <v>0</v>
      </c>
      <c r="R394" s="21">
        <f t="shared" si="72"/>
        <v>0</v>
      </c>
      <c r="S394" s="307">
        <f t="shared" si="73"/>
        <v>0</v>
      </c>
    </row>
    <row r="395" spans="1:19">
      <c r="A395" s="142"/>
      <c r="B395" s="52"/>
      <c r="C395" s="21">
        <f t="shared" si="64"/>
        <v>1</v>
      </c>
      <c r="D395" s="634"/>
      <c r="E395" s="21">
        <f t="shared" si="65"/>
        <v>0.05</v>
      </c>
      <c r="F395" s="634"/>
      <c r="G395" s="21">
        <f t="shared" si="66"/>
        <v>1</v>
      </c>
      <c r="H395" s="634"/>
      <c r="I395" s="21">
        <f t="shared" si="67"/>
        <v>1</v>
      </c>
      <c r="J395" s="634"/>
      <c r="K395" s="21">
        <f t="shared" si="68"/>
        <v>1</v>
      </c>
      <c r="L395" s="634"/>
      <c r="M395" s="21">
        <f t="shared" si="69"/>
        <v>1</v>
      </c>
      <c r="N395" s="634"/>
      <c r="O395" s="21">
        <f t="shared" si="70"/>
        <v>1</v>
      </c>
      <c r="P395" s="634"/>
      <c r="Q395" s="21">
        <f t="shared" si="71"/>
        <v>0</v>
      </c>
      <c r="R395" s="21">
        <f t="shared" si="72"/>
        <v>0</v>
      </c>
      <c r="S395" s="307">
        <f t="shared" si="73"/>
        <v>0</v>
      </c>
    </row>
    <row r="396" spans="1:19">
      <c r="A396" s="142"/>
      <c r="B396" s="52"/>
      <c r="C396" s="21">
        <f t="shared" si="64"/>
        <v>1</v>
      </c>
      <c r="D396" s="634"/>
      <c r="E396" s="21">
        <f t="shared" si="65"/>
        <v>0.05</v>
      </c>
      <c r="F396" s="634"/>
      <c r="G396" s="21">
        <f t="shared" si="66"/>
        <v>1</v>
      </c>
      <c r="H396" s="634"/>
      <c r="I396" s="21">
        <f t="shared" si="67"/>
        <v>1</v>
      </c>
      <c r="J396" s="634"/>
      <c r="K396" s="21">
        <f t="shared" si="68"/>
        <v>1</v>
      </c>
      <c r="L396" s="634"/>
      <c r="M396" s="21">
        <f t="shared" si="69"/>
        <v>1</v>
      </c>
      <c r="N396" s="634"/>
      <c r="O396" s="21">
        <f t="shared" si="70"/>
        <v>1</v>
      </c>
      <c r="P396" s="634"/>
      <c r="Q396" s="21">
        <f t="shared" si="71"/>
        <v>0</v>
      </c>
      <c r="R396" s="21">
        <f t="shared" si="72"/>
        <v>0</v>
      </c>
      <c r="S396" s="307">
        <f t="shared" si="73"/>
        <v>0</v>
      </c>
    </row>
    <row r="397" spans="1:19">
      <c r="A397" s="142"/>
      <c r="B397" s="52"/>
      <c r="C397" s="21">
        <f t="shared" si="64"/>
        <v>1</v>
      </c>
      <c r="D397" s="634"/>
      <c r="E397" s="21">
        <f t="shared" si="65"/>
        <v>0.05</v>
      </c>
      <c r="F397" s="634"/>
      <c r="G397" s="21">
        <f t="shared" si="66"/>
        <v>1</v>
      </c>
      <c r="H397" s="634"/>
      <c r="I397" s="21">
        <f t="shared" si="67"/>
        <v>1</v>
      </c>
      <c r="J397" s="634"/>
      <c r="K397" s="21">
        <f t="shared" si="68"/>
        <v>1</v>
      </c>
      <c r="L397" s="634"/>
      <c r="M397" s="21">
        <f t="shared" si="69"/>
        <v>1</v>
      </c>
      <c r="N397" s="634"/>
      <c r="O397" s="21">
        <f t="shared" si="70"/>
        <v>1</v>
      </c>
      <c r="P397" s="634"/>
      <c r="Q397" s="21">
        <f t="shared" si="71"/>
        <v>0</v>
      </c>
      <c r="R397" s="21">
        <f t="shared" si="72"/>
        <v>0</v>
      </c>
      <c r="S397" s="307">
        <f t="shared" si="73"/>
        <v>0</v>
      </c>
    </row>
    <row r="398" spans="1:19">
      <c r="A398" s="142"/>
      <c r="B398" s="52"/>
      <c r="C398" s="21">
        <f t="shared" si="64"/>
        <v>1</v>
      </c>
      <c r="D398" s="634"/>
      <c r="E398" s="21">
        <f t="shared" si="65"/>
        <v>0.05</v>
      </c>
      <c r="F398" s="634"/>
      <c r="G398" s="21">
        <f t="shared" si="66"/>
        <v>1</v>
      </c>
      <c r="H398" s="634"/>
      <c r="I398" s="21">
        <f t="shared" si="67"/>
        <v>1</v>
      </c>
      <c r="J398" s="634"/>
      <c r="K398" s="21">
        <f t="shared" si="68"/>
        <v>1</v>
      </c>
      <c r="L398" s="634"/>
      <c r="M398" s="21">
        <f t="shared" si="69"/>
        <v>1</v>
      </c>
      <c r="N398" s="634"/>
      <c r="O398" s="21">
        <f t="shared" si="70"/>
        <v>1</v>
      </c>
      <c r="P398" s="634"/>
      <c r="Q398" s="21">
        <f t="shared" si="71"/>
        <v>0</v>
      </c>
      <c r="R398" s="21">
        <f t="shared" si="72"/>
        <v>0</v>
      </c>
      <c r="S398" s="307">
        <f t="shared" si="73"/>
        <v>0</v>
      </c>
    </row>
    <row r="399" spans="1:19">
      <c r="A399" s="142"/>
      <c r="B399" s="52"/>
      <c r="C399" s="21">
        <f t="shared" si="64"/>
        <v>1</v>
      </c>
      <c r="D399" s="634"/>
      <c r="E399" s="21">
        <f t="shared" si="65"/>
        <v>0.05</v>
      </c>
      <c r="F399" s="634"/>
      <c r="G399" s="21">
        <f t="shared" si="66"/>
        <v>1</v>
      </c>
      <c r="H399" s="634"/>
      <c r="I399" s="21">
        <f t="shared" si="67"/>
        <v>1</v>
      </c>
      <c r="J399" s="634"/>
      <c r="K399" s="21">
        <f t="shared" si="68"/>
        <v>1</v>
      </c>
      <c r="L399" s="634"/>
      <c r="M399" s="21">
        <f t="shared" si="69"/>
        <v>1</v>
      </c>
      <c r="N399" s="634"/>
      <c r="O399" s="21">
        <f t="shared" si="70"/>
        <v>1</v>
      </c>
      <c r="P399" s="634"/>
      <c r="Q399" s="21">
        <f t="shared" si="71"/>
        <v>0</v>
      </c>
      <c r="R399" s="21">
        <f t="shared" si="72"/>
        <v>0</v>
      </c>
      <c r="S399" s="307">
        <f t="shared" si="73"/>
        <v>0</v>
      </c>
    </row>
    <row r="400" spans="1:19">
      <c r="A400" s="142"/>
      <c r="B400" s="52"/>
      <c r="C400" s="21">
        <f t="shared" si="64"/>
        <v>1</v>
      </c>
      <c r="D400" s="634"/>
      <c r="E400" s="21">
        <f t="shared" si="65"/>
        <v>0.05</v>
      </c>
      <c r="F400" s="634"/>
      <c r="G400" s="21">
        <f t="shared" si="66"/>
        <v>1</v>
      </c>
      <c r="H400" s="634"/>
      <c r="I400" s="21">
        <f t="shared" si="67"/>
        <v>1</v>
      </c>
      <c r="J400" s="634"/>
      <c r="K400" s="21">
        <f t="shared" si="68"/>
        <v>1</v>
      </c>
      <c r="L400" s="634"/>
      <c r="M400" s="21">
        <f t="shared" si="69"/>
        <v>1</v>
      </c>
      <c r="N400" s="634"/>
      <c r="O400" s="21">
        <f t="shared" si="70"/>
        <v>1</v>
      </c>
      <c r="P400" s="634"/>
      <c r="Q400" s="21">
        <f t="shared" si="71"/>
        <v>0</v>
      </c>
      <c r="R400" s="21">
        <f t="shared" si="72"/>
        <v>0</v>
      </c>
      <c r="S400" s="307">
        <f t="shared" si="73"/>
        <v>0</v>
      </c>
    </row>
    <row r="401" spans="1:19">
      <c r="A401" s="142"/>
      <c r="B401" s="52"/>
      <c r="C401" s="21">
        <f t="shared" si="64"/>
        <v>1</v>
      </c>
      <c r="D401" s="634"/>
      <c r="E401" s="21">
        <f t="shared" si="65"/>
        <v>0.05</v>
      </c>
      <c r="F401" s="634"/>
      <c r="G401" s="21">
        <f t="shared" si="66"/>
        <v>1</v>
      </c>
      <c r="H401" s="634"/>
      <c r="I401" s="21">
        <f t="shared" si="67"/>
        <v>1</v>
      </c>
      <c r="J401" s="634"/>
      <c r="K401" s="21">
        <f t="shared" si="68"/>
        <v>1</v>
      </c>
      <c r="L401" s="634"/>
      <c r="M401" s="21">
        <f t="shared" si="69"/>
        <v>1</v>
      </c>
      <c r="N401" s="634"/>
      <c r="O401" s="21">
        <f t="shared" si="70"/>
        <v>1</v>
      </c>
      <c r="P401" s="634"/>
      <c r="Q401" s="21">
        <f t="shared" si="71"/>
        <v>0</v>
      </c>
      <c r="R401" s="21">
        <f t="shared" si="72"/>
        <v>0</v>
      </c>
      <c r="S401" s="307">
        <f t="shared" si="73"/>
        <v>0</v>
      </c>
    </row>
    <row r="402" spans="1:19">
      <c r="A402" s="142"/>
      <c r="B402" s="52"/>
      <c r="C402" s="21">
        <f t="shared" si="64"/>
        <v>1</v>
      </c>
      <c r="D402" s="634"/>
      <c r="E402" s="21">
        <f t="shared" si="65"/>
        <v>0.05</v>
      </c>
      <c r="F402" s="634"/>
      <c r="G402" s="21">
        <f t="shared" si="66"/>
        <v>1</v>
      </c>
      <c r="H402" s="634"/>
      <c r="I402" s="21">
        <f t="shared" si="67"/>
        <v>1</v>
      </c>
      <c r="J402" s="634"/>
      <c r="K402" s="21">
        <f t="shared" si="68"/>
        <v>1</v>
      </c>
      <c r="L402" s="634"/>
      <c r="M402" s="21">
        <f t="shared" si="69"/>
        <v>1</v>
      </c>
      <c r="N402" s="634"/>
      <c r="O402" s="21">
        <f t="shared" si="70"/>
        <v>1</v>
      </c>
      <c r="P402" s="634"/>
      <c r="Q402" s="21">
        <f t="shared" si="71"/>
        <v>0</v>
      </c>
      <c r="R402" s="21">
        <f t="shared" si="72"/>
        <v>0</v>
      </c>
      <c r="S402" s="307">
        <f t="shared" si="73"/>
        <v>0</v>
      </c>
    </row>
    <row r="403" spans="1:19">
      <c r="A403" s="142"/>
      <c r="B403" s="52"/>
      <c r="C403" s="21">
        <f t="shared" si="64"/>
        <v>1</v>
      </c>
      <c r="D403" s="634"/>
      <c r="E403" s="21">
        <f t="shared" si="65"/>
        <v>0.05</v>
      </c>
      <c r="F403" s="634"/>
      <c r="G403" s="21">
        <f t="shared" si="66"/>
        <v>1</v>
      </c>
      <c r="H403" s="634"/>
      <c r="I403" s="21">
        <f t="shared" si="67"/>
        <v>1</v>
      </c>
      <c r="J403" s="634"/>
      <c r="K403" s="21">
        <f t="shared" si="68"/>
        <v>1</v>
      </c>
      <c r="L403" s="634"/>
      <c r="M403" s="21">
        <f t="shared" si="69"/>
        <v>1</v>
      </c>
      <c r="N403" s="634"/>
      <c r="O403" s="21">
        <f t="shared" si="70"/>
        <v>1</v>
      </c>
      <c r="P403" s="634"/>
      <c r="Q403" s="21">
        <f t="shared" si="71"/>
        <v>0</v>
      </c>
      <c r="R403" s="21">
        <f t="shared" si="72"/>
        <v>0</v>
      </c>
      <c r="S403" s="307">
        <f t="shared" si="73"/>
        <v>0</v>
      </c>
    </row>
    <row r="404" spans="1:19">
      <c r="A404" s="142"/>
      <c r="B404" s="52"/>
      <c r="C404" s="21">
        <f t="shared" si="64"/>
        <v>1</v>
      </c>
      <c r="D404" s="634"/>
      <c r="E404" s="21">
        <f t="shared" si="65"/>
        <v>0.05</v>
      </c>
      <c r="F404" s="634"/>
      <c r="G404" s="21">
        <f t="shared" si="66"/>
        <v>1</v>
      </c>
      <c r="H404" s="634"/>
      <c r="I404" s="21">
        <f t="shared" si="67"/>
        <v>1</v>
      </c>
      <c r="J404" s="634"/>
      <c r="K404" s="21">
        <f t="shared" si="68"/>
        <v>1</v>
      </c>
      <c r="L404" s="634"/>
      <c r="M404" s="21">
        <f t="shared" si="69"/>
        <v>1</v>
      </c>
      <c r="N404" s="634"/>
      <c r="O404" s="21">
        <f t="shared" si="70"/>
        <v>1</v>
      </c>
      <c r="P404" s="634"/>
      <c r="Q404" s="21">
        <f t="shared" si="71"/>
        <v>0</v>
      </c>
      <c r="R404" s="21">
        <f t="shared" si="72"/>
        <v>0</v>
      </c>
      <c r="S404" s="307">
        <f t="shared" si="73"/>
        <v>0</v>
      </c>
    </row>
    <row r="405" spans="1:19">
      <c r="A405" s="142"/>
      <c r="B405" s="52"/>
      <c r="C405" s="21">
        <f t="shared" si="64"/>
        <v>1</v>
      </c>
      <c r="D405" s="634"/>
      <c r="E405" s="21">
        <f t="shared" si="65"/>
        <v>0.05</v>
      </c>
      <c r="F405" s="634"/>
      <c r="G405" s="21">
        <f t="shared" si="66"/>
        <v>1</v>
      </c>
      <c r="H405" s="634"/>
      <c r="I405" s="21">
        <f t="shared" si="67"/>
        <v>1</v>
      </c>
      <c r="J405" s="634"/>
      <c r="K405" s="21">
        <f t="shared" si="68"/>
        <v>1</v>
      </c>
      <c r="L405" s="634"/>
      <c r="M405" s="21">
        <f t="shared" si="69"/>
        <v>1</v>
      </c>
      <c r="N405" s="634"/>
      <c r="O405" s="21">
        <f t="shared" si="70"/>
        <v>1</v>
      </c>
      <c r="P405" s="634"/>
      <c r="Q405" s="21">
        <f t="shared" si="71"/>
        <v>0</v>
      </c>
      <c r="R405" s="21">
        <f t="shared" si="72"/>
        <v>0</v>
      </c>
      <c r="S405" s="307">
        <f t="shared" si="73"/>
        <v>0</v>
      </c>
    </row>
    <row r="406" spans="1:19">
      <c r="A406" s="142"/>
      <c r="B406" s="52"/>
      <c r="C406" s="21">
        <f t="shared" si="64"/>
        <v>1</v>
      </c>
      <c r="D406" s="634"/>
      <c r="E406" s="21">
        <f t="shared" si="65"/>
        <v>0.05</v>
      </c>
      <c r="F406" s="634"/>
      <c r="G406" s="21">
        <f t="shared" si="66"/>
        <v>1</v>
      </c>
      <c r="H406" s="634"/>
      <c r="I406" s="21">
        <f t="shared" si="67"/>
        <v>1</v>
      </c>
      <c r="J406" s="634"/>
      <c r="K406" s="21">
        <f t="shared" si="68"/>
        <v>1</v>
      </c>
      <c r="L406" s="634"/>
      <c r="M406" s="21">
        <f t="shared" si="69"/>
        <v>1</v>
      </c>
      <c r="N406" s="634"/>
      <c r="O406" s="21">
        <f t="shared" si="70"/>
        <v>1</v>
      </c>
      <c r="P406" s="634"/>
      <c r="Q406" s="21">
        <f t="shared" si="71"/>
        <v>0</v>
      </c>
      <c r="R406" s="21">
        <f t="shared" si="72"/>
        <v>0</v>
      </c>
      <c r="S406" s="307">
        <f t="shared" si="73"/>
        <v>0</v>
      </c>
    </row>
    <row r="407" spans="1:19">
      <c r="A407" s="142"/>
      <c r="B407" s="52"/>
      <c r="C407" s="21">
        <f t="shared" si="64"/>
        <v>1</v>
      </c>
      <c r="D407" s="634"/>
      <c r="E407" s="21">
        <f t="shared" si="65"/>
        <v>0.05</v>
      </c>
      <c r="F407" s="634"/>
      <c r="G407" s="21">
        <f t="shared" si="66"/>
        <v>1</v>
      </c>
      <c r="H407" s="634"/>
      <c r="I407" s="21">
        <f t="shared" si="67"/>
        <v>1</v>
      </c>
      <c r="J407" s="634"/>
      <c r="K407" s="21">
        <f t="shared" si="68"/>
        <v>1</v>
      </c>
      <c r="L407" s="634"/>
      <c r="M407" s="21">
        <f t="shared" si="69"/>
        <v>1</v>
      </c>
      <c r="N407" s="634"/>
      <c r="O407" s="21">
        <f t="shared" si="70"/>
        <v>1</v>
      </c>
      <c r="P407" s="634"/>
      <c r="Q407" s="21">
        <f t="shared" si="71"/>
        <v>0</v>
      </c>
      <c r="R407" s="21">
        <f t="shared" si="72"/>
        <v>0</v>
      </c>
      <c r="S407" s="307">
        <f t="shared" si="73"/>
        <v>0</v>
      </c>
    </row>
    <row r="408" spans="1:19">
      <c r="A408" s="142"/>
      <c r="B408" s="52"/>
      <c r="C408" s="21">
        <f t="shared" si="64"/>
        <v>1</v>
      </c>
      <c r="D408" s="634"/>
      <c r="E408" s="21">
        <f t="shared" si="65"/>
        <v>0.05</v>
      </c>
      <c r="F408" s="634"/>
      <c r="G408" s="21">
        <f t="shared" si="66"/>
        <v>1</v>
      </c>
      <c r="H408" s="634"/>
      <c r="I408" s="21">
        <f t="shared" si="67"/>
        <v>1</v>
      </c>
      <c r="J408" s="634"/>
      <c r="K408" s="21">
        <f t="shared" si="68"/>
        <v>1</v>
      </c>
      <c r="L408" s="634"/>
      <c r="M408" s="21">
        <f t="shared" si="69"/>
        <v>1</v>
      </c>
      <c r="N408" s="634"/>
      <c r="O408" s="21">
        <f t="shared" si="70"/>
        <v>1</v>
      </c>
      <c r="P408" s="634"/>
      <c r="Q408" s="21">
        <f t="shared" si="71"/>
        <v>0</v>
      </c>
      <c r="R408" s="21">
        <f t="shared" si="72"/>
        <v>0</v>
      </c>
      <c r="S408" s="307">
        <f t="shared" si="73"/>
        <v>0</v>
      </c>
    </row>
    <row r="409" spans="1:19">
      <c r="A409" s="142"/>
      <c r="B409" s="52"/>
      <c r="C409" s="21">
        <f t="shared" si="64"/>
        <v>1</v>
      </c>
      <c r="D409" s="634"/>
      <c r="E409" s="21">
        <f t="shared" si="65"/>
        <v>0.05</v>
      </c>
      <c r="F409" s="634"/>
      <c r="G409" s="21">
        <f t="shared" si="66"/>
        <v>1</v>
      </c>
      <c r="H409" s="634"/>
      <c r="I409" s="21">
        <f t="shared" si="67"/>
        <v>1</v>
      </c>
      <c r="J409" s="634"/>
      <c r="K409" s="21">
        <f t="shared" si="68"/>
        <v>1</v>
      </c>
      <c r="L409" s="634"/>
      <c r="M409" s="21">
        <f t="shared" si="69"/>
        <v>1</v>
      </c>
      <c r="N409" s="634"/>
      <c r="O409" s="21">
        <f t="shared" si="70"/>
        <v>1</v>
      </c>
      <c r="P409" s="634"/>
      <c r="Q409" s="21">
        <f t="shared" si="71"/>
        <v>0</v>
      </c>
      <c r="R409" s="21">
        <f t="shared" si="72"/>
        <v>0</v>
      </c>
      <c r="S409" s="307">
        <f t="shared" si="73"/>
        <v>0</v>
      </c>
    </row>
    <row r="410" spans="1:19">
      <c r="A410" s="142"/>
      <c r="B410" s="52"/>
      <c r="C410" s="21">
        <f t="shared" ref="C410:C473" si="74">IF(B410="",1,(LOOKUP(B410,$3:$3,$4:$4)-LOOKUP($B$24,$3:$3,$4:$4)+100)/100)</f>
        <v>1</v>
      </c>
      <c r="D410" s="634"/>
      <c r="E410" s="21">
        <f t="shared" ref="E410:E473" si="75">(SUMIF($5:$5,D410,$6:$6)-SUMIF($5:$5,$D$24,$6:$6)+100)/100</f>
        <v>0.05</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0</v>
      </c>
      <c r="R410" s="21">
        <f t="shared" ref="R410:R473" si="82">IF(B410="",0,ROUND($R$24*C410*E410*G410*I410*K410*M410*O410*Q410,0))</f>
        <v>0</v>
      </c>
      <c r="S410" s="307">
        <f t="shared" si="73"/>
        <v>0</v>
      </c>
    </row>
    <row r="411" spans="1:19">
      <c r="A411" s="142"/>
      <c r="B411" s="52"/>
      <c r="C411" s="21">
        <f t="shared" si="74"/>
        <v>1</v>
      </c>
      <c r="D411" s="634"/>
      <c r="E411" s="21">
        <f t="shared" si="75"/>
        <v>0.05</v>
      </c>
      <c r="F411" s="634"/>
      <c r="G411" s="21">
        <f t="shared" si="76"/>
        <v>1</v>
      </c>
      <c r="H411" s="634"/>
      <c r="I411" s="21">
        <f t="shared" si="77"/>
        <v>1</v>
      </c>
      <c r="J411" s="634"/>
      <c r="K411" s="21">
        <f t="shared" si="78"/>
        <v>1</v>
      </c>
      <c r="L411" s="634"/>
      <c r="M411" s="21">
        <f t="shared" si="79"/>
        <v>1</v>
      </c>
      <c r="N411" s="634"/>
      <c r="O411" s="21">
        <f t="shared" si="80"/>
        <v>1</v>
      </c>
      <c r="P411" s="634"/>
      <c r="Q411" s="21">
        <f t="shared" si="81"/>
        <v>0</v>
      </c>
      <c r="R411" s="21">
        <f t="shared" si="82"/>
        <v>0</v>
      </c>
      <c r="S411" s="307">
        <f t="shared" si="73"/>
        <v>0</v>
      </c>
    </row>
    <row r="412" spans="1:19">
      <c r="A412" s="142"/>
      <c r="B412" s="52"/>
      <c r="C412" s="21">
        <f t="shared" si="74"/>
        <v>1</v>
      </c>
      <c r="D412" s="634"/>
      <c r="E412" s="21">
        <f t="shared" si="75"/>
        <v>0.05</v>
      </c>
      <c r="F412" s="634"/>
      <c r="G412" s="21">
        <f t="shared" si="76"/>
        <v>1</v>
      </c>
      <c r="H412" s="634"/>
      <c r="I412" s="21">
        <f t="shared" si="77"/>
        <v>1</v>
      </c>
      <c r="J412" s="634"/>
      <c r="K412" s="21">
        <f t="shared" si="78"/>
        <v>1</v>
      </c>
      <c r="L412" s="634"/>
      <c r="M412" s="21">
        <f t="shared" si="79"/>
        <v>1</v>
      </c>
      <c r="N412" s="634"/>
      <c r="O412" s="21">
        <f t="shared" si="80"/>
        <v>1</v>
      </c>
      <c r="P412" s="634"/>
      <c r="Q412" s="21">
        <f t="shared" si="81"/>
        <v>0</v>
      </c>
      <c r="R412" s="21">
        <f t="shared" si="82"/>
        <v>0</v>
      </c>
      <c r="S412" s="307">
        <f t="shared" si="73"/>
        <v>0</v>
      </c>
    </row>
    <row r="413" spans="1:19">
      <c r="A413" s="142"/>
      <c r="B413" s="52"/>
      <c r="C413" s="21">
        <f t="shared" si="74"/>
        <v>1</v>
      </c>
      <c r="D413" s="634"/>
      <c r="E413" s="21">
        <f t="shared" si="75"/>
        <v>0.05</v>
      </c>
      <c r="F413" s="634"/>
      <c r="G413" s="21">
        <f t="shared" si="76"/>
        <v>1</v>
      </c>
      <c r="H413" s="634"/>
      <c r="I413" s="21">
        <f t="shared" si="77"/>
        <v>1</v>
      </c>
      <c r="J413" s="634"/>
      <c r="K413" s="21">
        <f t="shared" si="78"/>
        <v>1</v>
      </c>
      <c r="L413" s="634"/>
      <c r="M413" s="21">
        <f t="shared" si="79"/>
        <v>1</v>
      </c>
      <c r="N413" s="634"/>
      <c r="O413" s="21">
        <f t="shared" si="80"/>
        <v>1</v>
      </c>
      <c r="P413" s="634"/>
      <c r="Q413" s="21">
        <f t="shared" si="81"/>
        <v>0</v>
      </c>
      <c r="R413" s="21">
        <f t="shared" si="82"/>
        <v>0</v>
      </c>
      <c r="S413" s="307">
        <f t="shared" si="73"/>
        <v>0</v>
      </c>
    </row>
    <row r="414" spans="1:19">
      <c r="A414" s="142"/>
      <c r="B414" s="52"/>
      <c r="C414" s="21">
        <f t="shared" si="74"/>
        <v>1</v>
      </c>
      <c r="D414" s="634"/>
      <c r="E414" s="21">
        <f t="shared" si="75"/>
        <v>0.05</v>
      </c>
      <c r="F414" s="634"/>
      <c r="G414" s="21">
        <f t="shared" si="76"/>
        <v>1</v>
      </c>
      <c r="H414" s="634"/>
      <c r="I414" s="21">
        <f t="shared" si="77"/>
        <v>1</v>
      </c>
      <c r="J414" s="634"/>
      <c r="K414" s="21">
        <f t="shared" si="78"/>
        <v>1</v>
      </c>
      <c r="L414" s="634"/>
      <c r="M414" s="21">
        <f t="shared" si="79"/>
        <v>1</v>
      </c>
      <c r="N414" s="634"/>
      <c r="O414" s="21">
        <f t="shared" si="80"/>
        <v>1</v>
      </c>
      <c r="P414" s="634"/>
      <c r="Q414" s="21">
        <f t="shared" si="81"/>
        <v>0</v>
      </c>
      <c r="R414" s="21">
        <f t="shared" si="82"/>
        <v>0</v>
      </c>
      <c r="S414" s="307">
        <f t="shared" si="73"/>
        <v>0</v>
      </c>
    </row>
    <row r="415" spans="1:19">
      <c r="A415" s="142"/>
      <c r="B415" s="52"/>
      <c r="C415" s="21">
        <f t="shared" si="74"/>
        <v>1</v>
      </c>
      <c r="D415" s="634"/>
      <c r="E415" s="21">
        <f t="shared" si="75"/>
        <v>0.05</v>
      </c>
      <c r="F415" s="634"/>
      <c r="G415" s="21">
        <f t="shared" si="76"/>
        <v>1</v>
      </c>
      <c r="H415" s="634"/>
      <c r="I415" s="21">
        <f t="shared" si="77"/>
        <v>1</v>
      </c>
      <c r="J415" s="634"/>
      <c r="K415" s="21">
        <f t="shared" si="78"/>
        <v>1</v>
      </c>
      <c r="L415" s="634"/>
      <c r="M415" s="21">
        <f t="shared" si="79"/>
        <v>1</v>
      </c>
      <c r="N415" s="634"/>
      <c r="O415" s="21">
        <f t="shared" si="80"/>
        <v>1</v>
      </c>
      <c r="P415" s="634"/>
      <c r="Q415" s="21">
        <f t="shared" si="81"/>
        <v>0</v>
      </c>
      <c r="R415" s="21">
        <f t="shared" si="82"/>
        <v>0</v>
      </c>
      <c r="S415" s="307">
        <f t="shared" si="73"/>
        <v>0</v>
      </c>
    </row>
    <row r="416" spans="1:19">
      <c r="A416" s="142"/>
      <c r="B416" s="52"/>
      <c r="C416" s="21">
        <f t="shared" si="74"/>
        <v>1</v>
      </c>
      <c r="D416" s="634"/>
      <c r="E416" s="21">
        <f t="shared" si="75"/>
        <v>0.05</v>
      </c>
      <c r="F416" s="634"/>
      <c r="G416" s="21">
        <f t="shared" si="76"/>
        <v>1</v>
      </c>
      <c r="H416" s="634"/>
      <c r="I416" s="21">
        <f t="shared" si="77"/>
        <v>1</v>
      </c>
      <c r="J416" s="634"/>
      <c r="K416" s="21">
        <f t="shared" si="78"/>
        <v>1</v>
      </c>
      <c r="L416" s="634"/>
      <c r="M416" s="21">
        <f t="shared" si="79"/>
        <v>1</v>
      </c>
      <c r="N416" s="634"/>
      <c r="O416" s="21">
        <f t="shared" si="80"/>
        <v>1</v>
      </c>
      <c r="P416" s="634"/>
      <c r="Q416" s="21">
        <f t="shared" si="81"/>
        <v>0</v>
      </c>
      <c r="R416" s="21">
        <f t="shared" si="82"/>
        <v>0</v>
      </c>
      <c r="S416" s="307">
        <f t="shared" si="73"/>
        <v>0</v>
      </c>
    </row>
    <row r="417" spans="1:19">
      <c r="A417" s="142"/>
      <c r="B417" s="52"/>
      <c r="C417" s="21">
        <f t="shared" si="74"/>
        <v>1</v>
      </c>
      <c r="D417" s="634"/>
      <c r="E417" s="21">
        <f t="shared" si="75"/>
        <v>0.05</v>
      </c>
      <c r="F417" s="634"/>
      <c r="G417" s="21">
        <f t="shared" si="76"/>
        <v>1</v>
      </c>
      <c r="H417" s="634"/>
      <c r="I417" s="21">
        <f t="shared" si="77"/>
        <v>1</v>
      </c>
      <c r="J417" s="634"/>
      <c r="K417" s="21">
        <f t="shared" si="78"/>
        <v>1</v>
      </c>
      <c r="L417" s="634"/>
      <c r="M417" s="21">
        <f t="shared" si="79"/>
        <v>1</v>
      </c>
      <c r="N417" s="634"/>
      <c r="O417" s="21">
        <f t="shared" si="80"/>
        <v>1</v>
      </c>
      <c r="P417" s="634"/>
      <c r="Q417" s="21">
        <f t="shared" si="81"/>
        <v>0</v>
      </c>
      <c r="R417" s="21">
        <f t="shared" si="82"/>
        <v>0</v>
      </c>
      <c r="S417" s="307">
        <f t="shared" si="73"/>
        <v>0</v>
      </c>
    </row>
    <row r="418" spans="1:19">
      <c r="A418" s="142"/>
      <c r="B418" s="52"/>
      <c r="C418" s="21">
        <f t="shared" si="74"/>
        <v>1</v>
      </c>
      <c r="D418" s="634"/>
      <c r="E418" s="21">
        <f t="shared" si="75"/>
        <v>0.05</v>
      </c>
      <c r="F418" s="634"/>
      <c r="G418" s="21">
        <f t="shared" si="76"/>
        <v>1</v>
      </c>
      <c r="H418" s="634"/>
      <c r="I418" s="21">
        <f t="shared" si="77"/>
        <v>1</v>
      </c>
      <c r="J418" s="634"/>
      <c r="K418" s="21">
        <f t="shared" si="78"/>
        <v>1</v>
      </c>
      <c r="L418" s="634"/>
      <c r="M418" s="21">
        <f t="shared" si="79"/>
        <v>1</v>
      </c>
      <c r="N418" s="634"/>
      <c r="O418" s="21">
        <f t="shared" si="80"/>
        <v>1</v>
      </c>
      <c r="P418" s="634"/>
      <c r="Q418" s="21">
        <f t="shared" si="81"/>
        <v>0</v>
      </c>
      <c r="R418" s="21">
        <f t="shared" si="82"/>
        <v>0</v>
      </c>
      <c r="S418" s="307">
        <f t="shared" si="73"/>
        <v>0</v>
      </c>
    </row>
    <row r="419" spans="1:19">
      <c r="A419" s="142"/>
      <c r="B419" s="52"/>
      <c r="C419" s="21">
        <f t="shared" si="74"/>
        <v>1</v>
      </c>
      <c r="D419" s="634"/>
      <c r="E419" s="21">
        <f t="shared" si="75"/>
        <v>0.05</v>
      </c>
      <c r="F419" s="634"/>
      <c r="G419" s="21">
        <f t="shared" si="76"/>
        <v>1</v>
      </c>
      <c r="H419" s="634"/>
      <c r="I419" s="21">
        <f t="shared" si="77"/>
        <v>1</v>
      </c>
      <c r="J419" s="634"/>
      <c r="K419" s="21">
        <f t="shared" si="78"/>
        <v>1</v>
      </c>
      <c r="L419" s="634"/>
      <c r="M419" s="21">
        <f t="shared" si="79"/>
        <v>1</v>
      </c>
      <c r="N419" s="634"/>
      <c r="O419" s="21">
        <f t="shared" si="80"/>
        <v>1</v>
      </c>
      <c r="P419" s="634"/>
      <c r="Q419" s="21">
        <f t="shared" si="81"/>
        <v>0</v>
      </c>
      <c r="R419" s="21">
        <f t="shared" si="82"/>
        <v>0</v>
      </c>
      <c r="S419" s="307">
        <f t="shared" si="73"/>
        <v>0</v>
      </c>
    </row>
    <row r="420" spans="1:19">
      <c r="A420" s="142"/>
      <c r="B420" s="52"/>
      <c r="C420" s="21">
        <f t="shared" si="74"/>
        <v>1</v>
      </c>
      <c r="D420" s="634"/>
      <c r="E420" s="21">
        <f t="shared" si="75"/>
        <v>0.05</v>
      </c>
      <c r="F420" s="634"/>
      <c r="G420" s="21">
        <f t="shared" si="76"/>
        <v>1</v>
      </c>
      <c r="H420" s="634"/>
      <c r="I420" s="21">
        <f t="shared" si="77"/>
        <v>1</v>
      </c>
      <c r="J420" s="634"/>
      <c r="K420" s="21">
        <f t="shared" si="78"/>
        <v>1</v>
      </c>
      <c r="L420" s="634"/>
      <c r="M420" s="21">
        <f t="shared" si="79"/>
        <v>1</v>
      </c>
      <c r="N420" s="634"/>
      <c r="O420" s="21">
        <f t="shared" si="80"/>
        <v>1</v>
      </c>
      <c r="P420" s="634"/>
      <c r="Q420" s="21">
        <f t="shared" si="81"/>
        <v>0</v>
      </c>
      <c r="R420" s="21">
        <f t="shared" si="82"/>
        <v>0</v>
      </c>
      <c r="S420" s="307">
        <f t="shared" si="73"/>
        <v>0</v>
      </c>
    </row>
    <row r="421" spans="1:19">
      <c r="A421" s="142"/>
      <c r="B421" s="52"/>
      <c r="C421" s="21">
        <f t="shared" si="74"/>
        <v>1</v>
      </c>
      <c r="D421" s="634"/>
      <c r="E421" s="21">
        <f t="shared" si="75"/>
        <v>0.05</v>
      </c>
      <c r="F421" s="634"/>
      <c r="G421" s="21">
        <f t="shared" si="76"/>
        <v>1</v>
      </c>
      <c r="H421" s="634"/>
      <c r="I421" s="21">
        <f t="shared" si="77"/>
        <v>1</v>
      </c>
      <c r="J421" s="634"/>
      <c r="K421" s="21">
        <f t="shared" si="78"/>
        <v>1</v>
      </c>
      <c r="L421" s="634"/>
      <c r="M421" s="21">
        <f t="shared" si="79"/>
        <v>1</v>
      </c>
      <c r="N421" s="634"/>
      <c r="O421" s="21">
        <f t="shared" si="80"/>
        <v>1</v>
      </c>
      <c r="P421" s="634"/>
      <c r="Q421" s="21">
        <f t="shared" si="81"/>
        <v>0</v>
      </c>
      <c r="R421" s="21">
        <f t="shared" si="82"/>
        <v>0</v>
      </c>
      <c r="S421" s="307">
        <f t="shared" si="73"/>
        <v>0</v>
      </c>
    </row>
    <row r="422" spans="1:19">
      <c r="A422" s="142"/>
      <c r="B422" s="52"/>
      <c r="C422" s="21">
        <f t="shared" si="74"/>
        <v>1</v>
      </c>
      <c r="D422" s="634"/>
      <c r="E422" s="21">
        <f t="shared" si="75"/>
        <v>0.05</v>
      </c>
      <c r="F422" s="634"/>
      <c r="G422" s="21">
        <f t="shared" si="76"/>
        <v>1</v>
      </c>
      <c r="H422" s="634"/>
      <c r="I422" s="21">
        <f t="shared" si="77"/>
        <v>1</v>
      </c>
      <c r="J422" s="634"/>
      <c r="K422" s="21">
        <f t="shared" si="78"/>
        <v>1</v>
      </c>
      <c r="L422" s="634"/>
      <c r="M422" s="21">
        <f t="shared" si="79"/>
        <v>1</v>
      </c>
      <c r="N422" s="634"/>
      <c r="O422" s="21">
        <f t="shared" si="80"/>
        <v>1</v>
      </c>
      <c r="P422" s="634"/>
      <c r="Q422" s="21">
        <f t="shared" si="81"/>
        <v>0</v>
      </c>
      <c r="R422" s="21">
        <f t="shared" si="82"/>
        <v>0</v>
      </c>
      <c r="S422" s="307">
        <f t="shared" si="73"/>
        <v>0</v>
      </c>
    </row>
    <row r="423" spans="1:19">
      <c r="A423" s="142"/>
      <c r="B423" s="52"/>
      <c r="C423" s="21">
        <f t="shared" si="74"/>
        <v>1</v>
      </c>
      <c r="D423" s="634"/>
      <c r="E423" s="21">
        <f t="shared" si="75"/>
        <v>0.05</v>
      </c>
      <c r="F423" s="634"/>
      <c r="G423" s="21">
        <f t="shared" si="76"/>
        <v>1</v>
      </c>
      <c r="H423" s="634"/>
      <c r="I423" s="21">
        <f t="shared" si="77"/>
        <v>1</v>
      </c>
      <c r="J423" s="634"/>
      <c r="K423" s="21">
        <f t="shared" si="78"/>
        <v>1</v>
      </c>
      <c r="L423" s="634"/>
      <c r="M423" s="21">
        <f t="shared" si="79"/>
        <v>1</v>
      </c>
      <c r="N423" s="634"/>
      <c r="O423" s="21">
        <f t="shared" si="80"/>
        <v>1</v>
      </c>
      <c r="P423" s="634"/>
      <c r="Q423" s="21">
        <f t="shared" si="81"/>
        <v>0</v>
      </c>
      <c r="R423" s="21">
        <f t="shared" si="82"/>
        <v>0</v>
      </c>
      <c r="S423" s="307">
        <f t="shared" ref="S423:S467" si="83">ROUND(R423*B423/10000,0)</f>
        <v>0</v>
      </c>
    </row>
    <row r="424" spans="1:19">
      <c r="A424" s="142"/>
      <c r="B424" s="52"/>
      <c r="C424" s="21">
        <f t="shared" si="74"/>
        <v>1</v>
      </c>
      <c r="D424" s="634"/>
      <c r="E424" s="21">
        <f t="shared" si="75"/>
        <v>0.05</v>
      </c>
      <c r="F424" s="634"/>
      <c r="G424" s="21">
        <f t="shared" si="76"/>
        <v>1</v>
      </c>
      <c r="H424" s="634"/>
      <c r="I424" s="21">
        <f t="shared" si="77"/>
        <v>1</v>
      </c>
      <c r="J424" s="634"/>
      <c r="K424" s="21">
        <f t="shared" si="78"/>
        <v>1</v>
      </c>
      <c r="L424" s="634"/>
      <c r="M424" s="21">
        <f t="shared" si="79"/>
        <v>1</v>
      </c>
      <c r="N424" s="634"/>
      <c r="O424" s="21">
        <f t="shared" si="80"/>
        <v>1</v>
      </c>
      <c r="P424" s="634"/>
      <c r="Q424" s="21">
        <f t="shared" si="81"/>
        <v>0</v>
      </c>
      <c r="R424" s="21">
        <f t="shared" si="82"/>
        <v>0</v>
      </c>
      <c r="S424" s="307">
        <f t="shared" si="83"/>
        <v>0</v>
      </c>
    </row>
    <row r="425" spans="1:19">
      <c r="A425" s="142"/>
      <c r="B425" s="52"/>
      <c r="C425" s="21">
        <f t="shared" si="74"/>
        <v>1</v>
      </c>
      <c r="D425" s="634"/>
      <c r="E425" s="21">
        <f t="shared" si="75"/>
        <v>0.05</v>
      </c>
      <c r="F425" s="634"/>
      <c r="G425" s="21">
        <f t="shared" si="76"/>
        <v>1</v>
      </c>
      <c r="H425" s="634"/>
      <c r="I425" s="21">
        <f t="shared" si="77"/>
        <v>1</v>
      </c>
      <c r="J425" s="634"/>
      <c r="K425" s="21">
        <f t="shared" si="78"/>
        <v>1</v>
      </c>
      <c r="L425" s="634"/>
      <c r="M425" s="21">
        <f t="shared" si="79"/>
        <v>1</v>
      </c>
      <c r="N425" s="634"/>
      <c r="O425" s="21">
        <f t="shared" si="80"/>
        <v>1</v>
      </c>
      <c r="P425" s="634"/>
      <c r="Q425" s="21">
        <f t="shared" si="81"/>
        <v>0</v>
      </c>
      <c r="R425" s="21">
        <f t="shared" si="82"/>
        <v>0</v>
      </c>
      <c r="S425" s="307">
        <f t="shared" si="83"/>
        <v>0</v>
      </c>
    </row>
    <row r="426" spans="1:19">
      <c r="A426" s="142"/>
      <c r="B426" s="52"/>
      <c r="C426" s="21">
        <f t="shared" si="74"/>
        <v>1</v>
      </c>
      <c r="D426" s="634"/>
      <c r="E426" s="21">
        <f t="shared" si="75"/>
        <v>0.05</v>
      </c>
      <c r="F426" s="634"/>
      <c r="G426" s="21">
        <f t="shared" si="76"/>
        <v>1</v>
      </c>
      <c r="H426" s="634"/>
      <c r="I426" s="21">
        <f t="shared" si="77"/>
        <v>1</v>
      </c>
      <c r="J426" s="634"/>
      <c r="K426" s="21">
        <f t="shared" si="78"/>
        <v>1</v>
      </c>
      <c r="L426" s="634"/>
      <c r="M426" s="21">
        <f t="shared" si="79"/>
        <v>1</v>
      </c>
      <c r="N426" s="634"/>
      <c r="O426" s="21">
        <f t="shared" si="80"/>
        <v>1</v>
      </c>
      <c r="P426" s="634"/>
      <c r="Q426" s="21">
        <f t="shared" si="81"/>
        <v>0</v>
      </c>
      <c r="R426" s="21">
        <f t="shared" si="82"/>
        <v>0</v>
      </c>
      <c r="S426" s="307">
        <f t="shared" si="83"/>
        <v>0</v>
      </c>
    </row>
    <row r="427" spans="1:19">
      <c r="A427" s="142"/>
      <c r="B427" s="52"/>
      <c r="C427" s="21">
        <f t="shared" si="74"/>
        <v>1</v>
      </c>
      <c r="D427" s="634"/>
      <c r="E427" s="21">
        <f t="shared" si="75"/>
        <v>0.05</v>
      </c>
      <c r="F427" s="634"/>
      <c r="G427" s="21">
        <f t="shared" si="76"/>
        <v>1</v>
      </c>
      <c r="H427" s="634"/>
      <c r="I427" s="21">
        <f t="shared" si="77"/>
        <v>1</v>
      </c>
      <c r="J427" s="634"/>
      <c r="K427" s="21">
        <f t="shared" si="78"/>
        <v>1</v>
      </c>
      <c r="L427" s="634"/>
      <c r="M427" s="21">
        <f t="shared" si="79"/>
        <v>1</v>
      </c>
      <c r="N427" s="634"/>
      <c r="O427" s="21">
        <f t="shared" si="80"/>
        <v>1</v>
      </c>
      <c r="P427" s="634"/>
      <c r="Q427" s="21">
        <f t="shared" si="81"/>
        <v>0</v>
      </c>
      <c r="R427" s="21">
        <f t="shared" si="82"/>
        <v>0</v>
      </c>
      <c r="S427" s="307">
        <f t="shared" si="83"/>
        <v>0</v>
      </c>
    </row>
    <row r="428" spans="1:19">
      <c r="A428" s="142"/>
      <c r="B428" s="52"/>
      <c r="C428" s="21">
        <f t="shared" si="74"/>
        <v>1</v>
      </c>
      <c r="D428" s="634"/>
      <c r="E428" s="21">
        <f t="shared" si="75"/>
        <v>0.05</v>
      </c>
      <c r="F428" s="634"/>
      <c r="G428" s="21">
        <f t="shared" si="76"/>
        <v>1</v>
      </c>
      <c r="H428" s="634"/>
      <c r="I428" s="21">
        <f t="shared" si="77"/>
        <v>1</v>
      </c>
      <c r="J428" s="634"/>
      <c r="K428" s="21">
        <f t="shared" si="78"/>
        <v>1</v>
      </c>
      <c r="L428" s="634"/>
      <c r="M428" s="21">
        <f t="shared" si="79"/>
        <v>1</v>
      </c>
      <c r="N428" s="634"/>
      <c r="O428" s="21">
        <f t="shared" si="80"/>
        <v>1</v>
      </c>
      <c r="P428" s="634"/>
      <c r="Q428" s="21">
        <f t="shared" si="81"/>
        <v>0</v>
      </c>
      <c r="R428" s="21">
        <f t="shared" si="82"/>
        <v>0</v>
      </c>
      <c r="S428" s="307">
        <f t="shared" si="83"/>
        <v>0</v>
      </c>
    </row>
    <row r="429" spans="1:19">
      <c r="A429" s="142"/>
      <c r="B429" s="52"/>
      <c r="C429" s="21">
        <f t="shared" si="74"/>
        <v>1</v>
      </c>
      <c r="D429" s="634"/>
      <c r="E429" s="21">
        <f t="shared" si="75"/>
        <v>0.05</v>
      </c>
      <c r="F429" s="634"/>
      <c r="G429" s="21">
        <f t="shared" si="76"/>
        <v>1</v>
      </c>
      <c r="H429" s="634"/>
      <c r="I429" s="21">
        <f t="shared" si="77"/>
        <v>1</v>
      </c>
      <c r="J429" s="634"/>
      <c r="K429" s="21">
        <f t="shared" si="78"/>
        <v>1</v>
      </c>
      <c r="L429" s="634"/>
      <c r="M429" s="21">
        <f t="shared" si="79"/>
        <v>1</v>
      </c>
      <c r="N429" s="634"/>
      <c r="O429" s="21">
        <f t="shared" si="80"/>
        <v>1</v>
      </c>
      <c r="P429" s="634"/>
      <c r="Q429" s="21">
        <f t="shared" si="81"/>
        <v>0</v>
      </c>
      <c r="R429" s="21">
        <f t="shared" si="82"/>
        <v>0</v>
      </c>
      <c r="S429" s="307">
        <f t="shared" si="83"/>
        <v>0</v>
      </c>
    </row>
    <row r="430" spans="1:19">
      <c r="A430" s="142"/>
      <c r="B430" s="52"/>
      <c r="C430" s="21">
        <f t="shared" si="74"/>
        <v>1</v>
      </c>
      <c r="D430" s="634"/>
      <c r="E430" s="21">
        <f t="shared" si="75"/>
        <v>0.05</v>
      </c>
      <c r="F430" s="634"/>
      <c r="G430" s="21">
        <f t="shared" si="76"/>
        <v>1</v>
      </c>
      <c r="H430" s="634"/>
      <c r="I430" s="21">
        <f t="shared" si="77"/>
        <v>1</v>
      </c>
      <c r="J430" s="634"/>
      <c r="K430" s="21">
        <f t="shared" si="78"/>
        <v>1</v>
      </c>
      <c r="L430" s="634"/>
      <c r="M430" s="21">
        <f t="shared" si="79"/>
        <v>1</v>
      </c>
      <c r="N430" s="634"/>
      <c r="O430" s="21">
        <f t="shared" si="80"/>
        <v>1</v>
      </c>
      <c r="P430" s="634"/>
      <c r="Q430" s="21">
        <f t="shared" si="81"/>
        <v>0</v>
      </c>
      <c r="R430" s="21">
        <f t="shared" si="82"/>
        <v>0</v>
      </c>
      <c r="S430" s="307">
        <f t="shared" si="83"/>
        <v>0</v>
      </c>
    </row>
    <row r="431" spans="1:19">
      <c r="A431" s="142"/>
      <c r="B431" s="52"/>
      <c r="C431" s="21">
        <f t="shared" si="74"/>
        <v>1</v>
      </c>
      <c r="D431" s="634"/>
      <c r="E431" s="21">
        <f t="shared" si="75"/>
        <v>0.05</v>
      </c>
      <c r="F431" s="634"/>
      <c r="G431" s="21">
        <f t="shared" si="76"/>
        <v>1</v>
      </c>
      <c r="H431" s="634"/>
      <c r="I431" s="21">
        <f t="shared" si="77"/>
        <v>1</v>
      </c>
      <c r="J431" s="634"/>
      <c r="K431" s="21">
        <f t="shared" si="78"/>
        <v>1</v>
      </c>
      <c r="L431" s="634"/>
      <c r="M431" s="21">
        <f t="shared" si="79"/>
        <v>1</v>
      </c>
      <c r="N431" s="634"/>
      <c r="O431" s="21">
        <f t="shared" si="80"/>
        <v>1</v>
      </c>
      <c r="P431" s="634"/>
      <c r="Q431" s="21">
        <f t="shared" si="81"/>
        <v>0</v>
      </c>
      <c r="R431" s="21">
        <f t="shared" si="82"/>
        <v>0</v>
      </c>
      <c r="S431" s="307">
        <f t="shared" si="83"/>
        <v>0</v>
      </c>
    </row>
    <row r="432" spans="1:19">
      <c r="A432" s="142"/>
      <c r="B432" s="52"/>
      <c r="C432" s="21">
        <f t="shared" si="74"/>
        <v>1</v>
      </c>
      <c r="D432" s="634"/>
      <c r="E432" s="21">
        <f t="shared" si="75"/>
        <v>0.05</v>
      </c>
      <c r="F432" s="634"/>
      <c r="G432" s="21">
        <f t="shared" si="76"/>
        <v>1</v>
      </c>
      <c r="H432" s="634"/>
      <c r="I432" s="21">
        <f t="shared" si="77"/>
        <v>1</v>
      </c>
      <c r="J432" s="634"/>
      <c r="K432" s="21">
        <f t="shared" si="78"/>
        <v>1</v>
      </c>
      <c r="L432" s="634"/>
      <c r="M432" s="21">
        <f t="shared" si="79"/>
        <v>1</v>
      </c>
      <c r="N432" s="634"/>
      <c r="O432" s="21">
        <f t="shared" si="80"/>
        <v>1</v>
      </c>
      <c r="P432" s="634"/>
      <c r="Q432" s="21">
        <f t="shared" si="81"/>
        <v>0</v>
      </c>
      <c r="R432" s="21">
        <f t="shared" si="82"/>
        <v>0</v>
      </c>
      <c r="S432" s="307">
        <f t="shared" si="83"/>
        <v>0</v>
      </c>
    </row>
    <row r="433" spans="1:19">
      <c r="A433" s="142"/>
      <c r="B433" s="52"/>
      <c r="C433" s="21">
        <f t="shared" si="74"/>
        <v>1</v>
      </c>
      <c r="D433" s="634"/>
      <c r="E433" s="21">
        <f t="shared" si="75"/>
        <v>0.05</v>
      </c>
      <c r="F433" s="634"/>
      <c r="G433" s="21">
        <f t="shared" si="76"/>
        <v>1</v>
      </c>
      <c r="H433" s="634"/>
      <c r="I433" s="21">
        <f t="shared" si="77"/>
        <v>1</v>
      </c>
      <c r="J433" s="634"/>
      <c r="K433" s="21">
        <f t="shared" si="78"/>
        <v>1</v>
      </c>
      <c r="L433" s="634"/>
      <c r="M433" s="21">
        <f t="shared" si="79"/>
        <v>1</v>
      </c>
      <c r="N433" s="634"/>
      <c r="O433" s="21">
        <f t="shared" si="80"/>
        <v>1</v>
      </c>
      <c r="P433" s="634"/>
      <c r="Q433" s="21">
        <f t="shared" si="81"/>
        <v>0</v>
      </c>
      <c r="R433" s="21">
        <f t="shared" si="82"/>
        <v>0</v>
      </c>
      <c r="S433" s="307">
        <f t="shared" si="83"/>
        <v>0</v>
      </c>
    </row>
    <row r="434" spans="1:19">
      <c r="A434" s="142"/>
      <c r="B434" s="52"/>
      <c r="C434" s="21">
        <f t="shared" si="74"/>
        <v>1</v>
      </c>
      <c r="D434" s="634"/>
      <c r="E434" s="21">
        <f t="shared" si="75"/>
        <v>0.05</v>
      </c>
      <c r="F434" s="634"/>
      <c r="G434" s="21">
        <f t="shared" si="76"/>
        <v>1</v>
      </c>
      <c r="H434" s="634"/>
      <c r="I434" s="21">
        <f t="shared" si="77"/>
        <v>1</v>
      </c>
      <c r="J434" s="634"/>
      <c r="K434" s="21">
        <f t="shared" si="78"/>
        <v>1</v>
      </c>
      <c r="L434" s="634"/>
      <c r="M434" s="21">
        <f t="shared" si="79"/>
        <v>1</v>
      </c>
      <c r="N434" s="634"/>
      <c r="O434" s="21">
        <f t="shared" si="80"/>
        <v>1</v>
      </c>
      <c r="P434" s="634"/>
      <c r="Q434" s="21">
        <f t="shared" si="81"/>
        <v>0</v>
      </c>
      <c r="R434" s="21">
        <f t="shared" si="82"/>
        <v>0</v>
      </c>
      <c r="S434" s="307">
        <f t="shared" si="83"/>
        <v>0</v>
      </c>
    </row>
    <row r="435" spans="1:19">
      <c r="A435" s="142"/>
      <c r="B435" s="52"/>
      <c r="C435" s="21">
        <f t="shared" si="74"/>
        <v>1</v>
      </c>
      <c r="D435" s="634"/>
      <c r="E435" s="21">
        <f t="shared" si="75"/>
        <v>0.05</v>
      </c>
      <c r="F435" s="634"/>
      <c r="G435" s="21">
        <f t="shared" si="76"/>
        <v>1</v>
      </c>
      <c r="H435" s="634"/>
      <c r="I435" s="21">
        <f t="shared" si="77"/>
        <v>1</v>
      </c>
      <c r="J435" s="634"/>
      <c r="K435" s="21">
        <f t="shared" si="78"/>
        <v>1</v>
      </c>
      <c r="L435" s="634"/>
      <c r="M435" s="21">
        <f t="shared" si="79"/>
        <v>1</v>
      </c>
      <c r="N435" s="634"/>
      <c r="O435" s="21">
        <f t="shared" si="80"/>
        <v>1</v>
      </c>
      <c r="P435" s="634"/>
      <c r="Q435" s="21">
        <f t="shared" si="81"/>
        <v>0</v>
      </c>
      <c r="R435" s="21">
        <f t="shared" si="82"/>
        <v>0</v>
      </c>
      <c r="S435" s="307">
        <f t="shared" si="83"/>
        <v>0</v>
      </c>
    </row>
    <row r="436" spans="1:19">
      <c r="A436" s="142"/>
      <c r="B436" s="52"/>
      <c r="C436" s="21">
        <f t="shared" si="74"/>
        <v>1</v>
      </c>
      <c r="D436" s="634"/>
      <c r="E436" s="21">
        <f t="shared" si="75"/>
        <v>0.05</v>
      </c>
      <c r="F436" s="634"/>
      <c r="G436" s="21">
        <f t="shared" si="76"/>
        <v>1</v>
      </c>
      <c r="H436" s="634"/>
      <c r="I436" s="21">
        <f t="shared" si="77"/>
        <v>1</v>
      </c>
      <c r="J436" s="634"/>
      <c r="K436" s="21">
        <f t="shared" si="78"/>
        <v>1</v>
      </c>
      <c r="L436" s="634"/>
      <c r="M436" s="21">
        <f t="shared" si="79"/>
        <v>1</v>
      </c>
      <c r="N436" s="634"/>
      <c r="O436" s="21">
        <f t="shared" si="80"/>
        <v>1</v>
      </c>
      <c r="P436" s="634"/>
      <c r="Q436" s="21">
        <f t="shared" si="81"/>
        <v>0</v>
      </c>
      <c r="R436" s="21">
        <f t="shared" si="82"/>
        <v>0</v>
      </c>
      <c r="S436" s="307">
        <f t="shared" si="83"/>
        <v>0</v>
      </c>
    </row>
    <row r="437" spans="1:19">
      <c r="A437" s="142"/>
      <c r="B437" s="52"/>
      <c r="C437" s="21">
        <f t="shared" si="74"/>
        <v>1</v>
      </c>
      <c r="D437" s="634"/>
      <c r="E437" s="21">
        <f t="shared" si="75"/>
        <v>0.05</v>
      </c>
      <c r="F437" s="634"/>
      <c r="G437" s="21">
        <f t="shared" si="76"/>
        <v>1</v>
      </c>
      <c r="H437" s="634"/>
      <c r="I437" s="21">
        <f t="shared" si="77"/>
        <v>1</v>
      </c>
      <c r="J437" s="634"/>
      <c r="K437" s="21">
        <f t="shared" si="78"/>
        <v>1</v>
      </c>
      <c r="L437" s="634"/>
      <c r="M437" s="21">
        <f t="shared" si="79"/>
        <v>1</v>
      </c>
      <c r="N437" s="634"/>
      <c r="O437" s="21">
        <f t="shared" si="80"/>
        <v>1</v>
      </c>
      <c r="P437" s="634"/>
      <c r="Q437" s="21">
        <f t="shared" si="81"/>
        <v>0</v>
      </c>
      <c r="R437" s="21">
        <f t="shared" si="82"/>
        <v>0</v>
      </c>
      <c r="S437" s="307">
        <f t="shared" si="83"/>
        <v>0</v>
      </c>
    </row>
    <row r="438" spans="1:19">
      <c r="A438" s="142"/>
      <c r="B438" s="52"/>
      <c r="C438" s="21">
        <f t="shared" si="74"/>
        <v>1</v>
      </c>
      <c r="D438" s="634"/>
      <c r="E438" s="21">
        <f t="shared" si="75"/>
        <v>0.05</v>
      </c>
      <c r="F438" s="634"/>
      <c r="G438" s="21">
        <f t="shared" si="76"/>
        <v>1</v>
      </c>
      <c r="H438" s="634"/>
      <c r="I438" s="21">
        <f t="shared" si="77"/>
        <v>1</v>
      </c>
      <c r="J438" s="634"/>
      <c r="K438" s="21">
        <f t="shared" si="78"/>
        <v>1</v>
      </c>
      <c r="L438" s="634"/>
      <c r="M438" s="21">
        <f t="shared" si="79"/>
        <v>1</v>
      </c>
      <c r="N438" s="634"/>
      <c r="O438" s="21">
        <f t="shared" si="80"/>
        <v>1</v>
      </c>
      <c r="P438" s="634"/>
      <c r="Q438" s="21">
        <f t="shared" si="81"/>
        <v>0</v>
      </c>
      <c r="R438" s="21">
        <f t="shared" si="82"/>
        <v>0</v>
      </c>
      <c r="S438" s="307">
        <f t="shared" si="83"/>
        <v>0</v>
      </c>
    </row>
    <row r="439" spans="1:19">
      <c r="A439" s="142"/>
      <c r="B439" s="52"/>
      <c r="C439" s="21">
        <f t="shared" si="74"/>
        <v>1</v>
      </c>
      <c r="D439" s="634"/>
      <c r="E439" s="21">
        <f t="shared" si="75"/>
        <v>0.05</v>
      </c>
      <c r="F439" s="634"/>
      <c r="G439" s="21">
        <f t="shared" si="76"/>
        <v>1</v>
      </c>
      <c r="H439" s="634"/>
      <c r="I439" s="21">
        <f t="shared" si="77"/>
        <v>1</v>
      </c>
      <c r="J439" s="634"/>
      <c r="K439" s="21">
        <f t="shared" si="78"/>
        <v>1</v>
      </c>
      <c r="L439" s="634"/>
      <c r="M439" s="21">
        <f t="shared" si="79"/>
        <v>1</v>
      </c>
      <c r="N439" s="634"/>
      <c r="O439" s="21">
        <f t="shared" si="80"/>
        <v>1</v>
      </c>
      <c r="P439" s="634"/>
      <c r="Q439" s="21">
        <f t="shared" si="81"/>
        <v>0</v>
      </c>
      <c r="R439" s="21">
        <f t="shared" si="82"/>
        <v>0</v>
      </c>
      <c r="S439" s="307">
        <f t="shared" si="83"/>
        <v>0</v>
      </c>
    </row>
    <row r="440" spans="1:19">
      <c r="A440" s="142"/>
      <c r="B440" s="52"/>
      <c r="C440" s="21">
        <f t="shared" si="74"/>
        <v>1</v>
      </c>
      <c r="D440" s="634"/>
      <c r="E440" s="21">
        <f t="shared" si="75"/>
        <v>0.05</v>
      </c>
      <c r="F440" s="634"/>
      <c r="G440" s="21">
        <f t="shared" si="76"/>
        <v>1</v>
      </c>
      <c r="H440" s="634"/>
      <c r="I440" s="21">
        <f t="shared" si="77"/>
        <v>1</v>
      </c>
      <c r="J440" s="634"/>
      <c r="K440" s="21">
        <f t="shared" si="78"/>
        <v>1</v>
      </c>
      <c r="L440" s="634"/>
      <c r="M440" s="21">
        <f t="shared" si="79"/>
        <v>1</v>
      </c>
      <c r="N440" s="634"/>
      <c r="O440" s="21">
        <f t="shared" si="80"/>
        <v>1</v>
      </c>
      <c r="P440" s="634"/>
      <c r="Q440" s="21">
        <f t="shared" si="81"/>
        <v>0</v>
      </c>
      <c r="R440" s="21">
        <f t="shared" si="82"/>
        <v>0</v>
      </c>
      <c r="S440" s="307">
        <f t="shared" si="83"/>
        <v>0</v>
      </c>
    </row>
    <row r="441" spans="1:19">
      <c r="A441" s="142"/>
      <c r="B441" s="52"/>
      <c r="C441" s="21">
        <f t="shared" si="74"/>
        <v>1</v>
      </c>
      <c r="D441" s="634"/>
      <c r="E441" s="21">
        <f t="shared" si="75"/>
        <v>0.05</v>
      </c>
      <c r="F441" s="634"/>
      <c r="G441" s="21">
        <f t="shared" si="76"/>
        <v>1</v>
      </c>
      <c r="H441" s="634"/>
      <c r="I441" s="21">
        <f t="shared" si="77"/>
        <v>1</v>
      </c>
      <c r="J441" s="634"/>
      <c r="K441" s="21">
        <f t="shared" si="78"/>
        <v>1</v>
      </c>
      <c r="L441" s="634"/>
      <c r="M441" s="21">
        <f t="shared" si="79"/>
        <v>1</v>
      </c>
      <c r="N441" s="634"/>
      <c r="O441" s="21">
        <f t="shared" si="80"/>
        <v>1</v>
      </c>
      <c r="P441" s="634"/>
      <c r="Q441" s="21">
        <f t="shared" si="81"/>
        <v>0</v>
      </c>
      <c r="R441" s="21">
        <f t="shared" si="82"/>
        <v>0</v>
      </c>
      <c r="S441" s="307">
        <f t="shared" si="83"/>
        <v>0</v>
      </c>
    </row>
    <row r="442" spans="1:19">
      <c r="A442" s="142"/>
      <c r="B442" s="52"/>
      <c r="C442" s="21">
        <f t="shared" si="74"/>
        <v>1</v>
      </c>
      <c r="D442" s="634"/>
      <c r="E442" s="21">
        <f t="shared" si="75"/>
        <v>0.05</v>
      </c>
      <c r="F442" s="634"/>
      <c r="G442" s="21">
        <f t="shared" si="76"/>
        <v>1</v>
      </c>
      <c r="H442" s="634"/>
      <c r="I442" s="21">
        <f t="shared" si="77"/>
        <v>1</v>
      </c>
      <c r="J442" s="634"/>
      <c r="K442" s="21">
        <f t="shared" si="78"/>
        <v>1</v>
      </c>
      <c r="L442" s="634"/>
      <c r="M442" s="21">
        <f t="shared" si="79"/>
        <v>1</v>
      </c>
      <c r="N442" s="634"/>
      <c r="O442" s="21">
        <f t="shared" si="80"/>
        <v>1</v>
      </c>
      <c r="P442" s="634"/>
      <c r="Q442" s="21">
        <f t="shared" si="81"/>
        <v>0</v>
      </c>
      <c r="R442" s="21">
        <f t="shared" si="82"/>
        <v>0</v>
      </c>
      <c r="S442" s="307">
        <f t="shared" si="83"/>
        <v>0</v>
      </c>
    </row>
    <row r="443" spans="1:19">
      <c r="A443" s="142"/>
      <c r="B443" s="52"/>
      <c r="C443" s="21">
        <f t="shared" si="74"/>
        <v>1</v>
      </c>
      <c r="D443" s="634"/>
      <c r="E443" s="21">
        <f t="shared" si="75"/>
        <v>0.05</v>
      </c>
      <c r="F443" s="634"/>
      <c r="G443" s="21">
        <f t="shared" si="76"/>
        <v>1</v>
      </c>
      <c r="H443" s="634"/>
      <c r="I443" s="21">
        <f t="shared" si="77"/>
        <v>1</v>
      </c>
      <c r="J443" s="634"/>
      <c r="K443" s="21">
        <f t="shared" si="78"/>
        <v>1</v>
      </c>
      <c r="L443" s="634"/>
      <c r="M443" s="21">
        <f t="shared" si="79"/>
        <v>1</v>
      </c>
      <c r="N443" s="634"/>
      <c r="O443" s="21">
        <f t="shared" si="80"/>
        <v>1</v>
      </c>
      <c r="P443" s="634"/>
      <c r="Q443" s="21">
        <f t="shared" si="81"/>
        <v>0</v>
      </c>
      <c r="R443" s="21">
        <f t="shared" si="82"/>
        <v>0</v>
      </c>
      <c r="S443" s="307">
        <f t="shared" si="83"/>
        <v>0</v>
      </c>
    </row>
    <row r="444" spans="1:19">
      <c r="A444" s="142"/>
      <c r="B444" s="52"/>
      <c r="C444" s="21">
        <f t="shared" si="74"/>
        <v>1</v>
      </c>
      <c r="D444" s="634"/>
      <c r="E444" s="21">
        <f t="shared" si="75"/>
        <v>0.05</v>
      </c>
      <c r="F444" s="634"/>
      <c r="G444" s="21">
        <f t="shared" si="76"/>
        <v>1</v>
      </c>
      <c r="H444" s="634"/>
      <c r="I444" s="21">
        <f t="shared" si="77"/>
        <v>1</v>
      </c>
      <c r="J444" s="634"/>
      <c r="K444" s="21">
        <f t="shared" si="78"/>
        <v>1</v>
      </c>
      <c r="L444" s="634"/>
      <c r="M444" s="21">
        <f t="shared" si="79"/>
        <v>1</v>
      </c>
      <c r="N444" s="634"/>
      <c r="O444" s="21">
        <f t="shared" si="80"/>
        <v>1</v>
      </c>
      <c r="P444" s="634"/>
      <c r="Q444" s="21">
        <f t="shared" si="81"/>
        <v>0</v>
      </c>
      <c r="R444" s="21">
        <f t="shared" si="82"/>
        <v>0</v>
      </c>
      <c r="S444" s="307">
        <f t="shared" si="83"/>
        <v>0</v>
      </c>
    </row>
    <row r="445" spans="1:19">
      <c r="A445" s="142"/>
      <c r="B445" s="52"/>
      <c r="C445" s="21">
        <f t="shared" si="74"/>
        <v>1</v>
      </c>
      <c r="D445" s="634"/>
      <c r="E445" s="21">
        <f t="shared" si="75"/>
        <v>0.05</v>
      </c>
      <c r="F445" s="634"/>
      <c r="G445" s="21">
        <f t="shared" si="76"/>
        <v>1</v>
      </c>
      <c r="H445" s="634"/>
      <c r="I445" s="21">
        <f t="shared" si="77"/>
        <v>1</v>
      </c>
      <c r="J445" s="634"/>
      <c r="K445" s="21">
        <f t="shared" si="78"/>
        <v>1</v>
      </c>
      <c r="L445" s="634"/>
      <c r="M445" s="21">
        <f t="shared" si="79"/>
        <v>1</v>
      </c>
      <c r="N445" s="634"/>
      <c r="O445" s="21">
        <f t="shared" si="80"/>
        <v>1</v>
      </c>
      <c r="P445" s="634"/>
      <c r="Q445" s="21">
        <f t="shared" si="81"/>
        <v>0</v>
      </c>
      <c r="R445" s="21">
        <f t="shared" si="82"/>
        <v>0</v>
      </c>
      <c r="S445" s="307">
        <f t="shared" si="83"/>
        <v>0</v>
      </c>
    </row>
    <row r="446" spans="1:19">
      <c r="A446" s="142"/>
      <c r="B446" s="52"/>
      <c r="C446" s="21">
        <f t="shared" si="74"/>
        <v>1</v>
      </c>
      <c r="D446" s="634"/>
      <c r="E446" s="21">
        <f t="shared" si="75"/>
        <v>0.05</v>
      </c>
      <c r="F446" s="634"/>
      <c r="G446" s="21">
        <f t="shared" si="76"/>
        <v>1</v>
      </c>
      <c r="H446" s="634"/>
      <c r="I446" s="21">
        <f t="shared" si="77"/>
        <v>1</v>
      </c>
      <c r="J446" s="634"/>
      <c r="K446" s="21">
        <f t="shared" si="78"/>
        <v>1</v>
      </c>
      <c r="L446" s="634"/>
      <c r="M446" s="21">
        <f t="shared" si="79"/>
        <v>1</v>
      </c>
      <c r="N446" s="634"/>
      <c r="O446" s="21">
        <f t="shared" si="80"/>
        <v>1</v>
      </c>
      <c r="P446" s="634"/>
      <c r="Q446" s="21">
        <f t="shared" si="81"/>
        <v>0</v>
      </c>
      <c r="R446" s="21">
        <f t="shared" si="82"/>
        <v>0</v>
      </c>
      <c r="S446" s="307">
        <f t="shared" si="83"/>
        <v>0</v>
      </c>
    </row>
    <row r="447" spans="1:19">
      <c r="A447" s="142"/>
      <c r="B447" s="52"/>
      <c r="C447" s="21">
        <f t="shared" si="74"/>
        <v>1</v>
      </c>
      <c r="D447" s="634"/>
      <c r="E447" s="21">
        <f t="shared" si="75"/>
        <v>0.05</v>
      </c>
      <c r="F447" s="634"/>
      <c r="G447" s="21">
        <f t="shared" si="76"/>
        <v>1</v>
      </c>
      <c r="H447" s="634"/>
      <c r="I447" s="21">
        <f t="shared" si="77"/>
        <v>1</v>
      </c>
      <c r="J447" s="634"/>
      <c r="K447" s="21">
        <f t="shared" si="78"/>
        <v>1</v>
      </c>
      <c r="L447" s="634"/>
      <c r="M447" s="21">
        <f t="shared" si="79"/>
        <v>1</v>
      </c>
      <c r="N447" s="634"/>
      <c r="O447" s="21">
        <f t="shared" si="80"/>
        <v>1</v>
      </c>
      <c r="P447" s="634"/>
      <c r="Q447" s="21">
        <f t="shared" si="81"/>
        <v>0</v>
      </c>
      <c r="R447" s="21">
        <f t="shared" si="82"/>
        <v>0</v>
      </c>
      <c r="S447" s="307">
        <f t="shared" si="83"/>
        <v>0</v>
      </c>
    </row>
    <row r="448" spans="1:19">
      <c r="A448" s="142"/>
      <c r="B448" s="52"/>
      <c r="C448" s="21">
        <f t="shared" si="74"/>
        <v>1</v>
      </c>
      <c r="D448" s="634"/>
      <c r="E448" s="21">
        <f t="shared" si="75"/>
        <v>0.05</v>
      </c>
      <c r="F448" s="634"/>
      <c r="G448" s="21">
        <f t="shared" si="76"/>
        <v>1</v>
      </c>
      <c r="H448" s="634"/>
      <c r="I448" s="21">
        <f t="shared" si="77"/>
        <v>1</v>
      </c>
      <c r="J448" s="634"/>
      <c r="K448" s="21">
        <f t="shared" si="78"/>
        <v>1</v>
      </c>
      <c r="L448" s="634"/>
      <c r="M448" s="21">
        <f t="shared" si="79"/>
        <v>1</v>
      </c>
      <c r="N448" s="634"/>
      <c r="O448" s="21">
        <f t="shared" si="80"/>
        <v>1</v>
      </c>
      <c r="P448" s="634"/>
      <c r="Q448" s="21">
        <f t="shared" si="81"/>
        <v>0</v>
      </c>
      <c r="R448" s="21">
        <f t="shared" si="82"/>
        <v>0</v>
      </c>
      <c r="S448" s="307">
        <f t="shared" si="83"/>
        <v>0</v>
      </c>
    </row>
    <row r="449" spans="1:19">
      <c r="A449" s="142"/>
      <c r="B449" s="52"/>
      <c r="C449" s="21">
        <f t="shared" si="74"/>
        <v>1</v>
      </c>
      <c r="D449" s="634"/>
      <c r="E449" s="21">
        <f t="shared" si="75"/>
        <v>0.05</v>
      </c>
      <c r="F449" s="634"/>
      <c r="G449" s="21">
        <f t="shared" si="76"/>
        <v>1</v>
      </c>
      <c r="H449" s="634"/>
      <c r="I449" s="21">
        <f t="shared" si="77"/>
        <v>1</v>
      </c>
      <c r="J449" s="634"/>
      <c r="K449" s="21">
        <f t="shared" si="78"/>
        <v>1</v>
      </c>
      <c r="L449" s="634"/>
      <c r="M449" s="21">
        <f t="shared" si="79"/>
        <v>1</v>
      </c>
      <c r="N449" s="634"/>
      <c r="O449" s="21">
        <f t="shared" si="80"/>
        <v>1</v>
      </c>
      <c r="P449" s="634"/>
      <c r="Q449" s="21">
        <f t="shared" si="81"/>
        <v>0</v>
      </c>
      <c r="R449" s="21">
        <f t="shared" si="82"/>
        <v>0</v>
      </c>
      <c r="S449" s="307">
        <f t="shared" si="83"/>
        <v>0</v>
      </c>
    </row>
    <row r="450" spans="1:19">
      <c r="A450" s="142"/>
      <c r="B450" s="52"/>
      <c r="C450" s="21">
        <f t="shared" si="74"/>
        <v>1</v>
      </c>
      <c r="D450" s="634"/>
      <c r="E450" s="21">
        <f t="shared" si="75"/>
        <v>0.05</v>
      </c>
      <c r="F450" s="634"/>
      <c r="G450" s="21">
        <f t="shared" si="76"/>
        <v>1</v>
      </c>
      <c r="H450" s="634"/>
      <c r="I450" s="21">
        <f t="shared" si="77"/>
        <v>1</v>
      </c>
      <c r="J450" s="634"/>
      <c r="K450" s="21">
        <f t="shared" si="78"/>
        <v>1</v>
      </c>
      <c r="L450" s="634"/>
      <c r="M450" s="21">
        <f t="shared" si="79"/>
        <v>1</v>
      </c>
      <c r="N450" s="634"/>
      <c r="O450" s="21">
        <f t="shared" si="80"/>
        <v>1</v>
      </c>
      <c r="P450" s="634"/>
      <c r="Q450" s="21">
        <f t="shared" si="81"/>
        <v>0</v>
      </c>
      <c r="R450" s="21">
        <f t="shared" si="82"/>
        <v>0</v>
      </c>
      <c r="S450" s="307">
        <f t="shared" si="83"/>
        <v>0</v>
      </c>
    </row>
    <row r="451" spans="1:19">
      <c r="A451" s="142"/>
      <c r="B451" s="52"/>
      <c r="C451" s="21">
        <f t="shared" si="74"/>
        <v>1</v>
      </c>
      <c r="D451" s="634"/>
      <c r="E451" s="21">
        <f t="shared" si="75"/>
        <v>0.05</v>
      </c>
      <c r="F451" s="634"/>
      <c r="G451" s="21">
        <f t="shared" si="76"/>
        <v>1</v>
      </c>
      <c r="H451" s="634"/>
      <c r="I451" s="21">
        <f t="shared" si="77"/>
        <v>1</v>
      </c>
      <c r="J451" s="634"/>
      <c r="K451" s="21">
        <f t="shared" si="78"/>
        <v>1</v>
      </c>
      <c r="L451" s="634"/>
      <c r="M451" s="21">
        <f t="shared" si="79"/>
        <v>1</v>
      </c>
      <c r="N451" s="634"/>
      <c r="O451" s="21">
        <f t="shared" si="80"/>
        <v>1</v>
      </c>
      <c r="P451" s="634"/>
      <c r="Q451" s="21">
        <f t="shared" si="81"/>
        <v>0</v>
      </c>
      <c r="R451" s="21">
        <f t="shared" si="82"/>
        <v>0</v>
      </c>
      <c r="S451" s="307">
        <f t="shared" si="83"/>
        <v>0</v>
      </c>
    </row>
    <row r="452" spans="1:19">
      <c r="A452" s="142"/>
      <c r="B452" s="52"/>
      <c r="C452" s="21">
        <f t="shared" si="74"/>
        <v>1</v>
      </c>
      <c r="D452" s="634"/>
      <c r="E452" s="21">
        <f t="shared" si="75"/>
        <v>0.05</v>
      </c>
      <c r="F452" s="634"/>
      <c r="G452" s="21">
        <f t="shared" si="76"/>
        <v>1</v>
      </c>
      <c r="H452" s="634"/>
      <c r="I452" s="21">
        <f t="shared" si="77"/>
        <v>1</v>
      </c>
      <c r="J452" s="634"/>
      <c r="K452" s="21">
        <f t="shared" si="78"/>
        <v>1</v>
      </c>
      <c r="L452" s="634"/>
      <c r="M452" s="21">
        <f t="shared" si="79"/>
        <v>1</v>
      </c>
      <c r="N452" s="634"/>
      <c r="O452" s="21">
        <f t="shared" si="80"/>
        <v>1</v>
      </c>
      <c r="P452" s="634"/>
      <c r="Q452" s="21">
        <f t="shared" si="81"/>
        <v>0</v>
      </c>
      <c r="R452" s="21">
        <f t="shared" si="82"/>
        <v>0</v>
      </c>
      <c r="S452" s="307">
        <f t="shared" si="83"/>
        <v>0</v>
      </c>
    </row>
    <row r="453" spans="1:19">
      <c r="A453" s="142"/>
      <c r="B453" s="52"/>
      <c r="C453" s="21">
        <f t="shared" si="74"/>
        <v>1</v>
      </c>
      <c r="D453" s="634"/>
      <c r="E453" s="21">
        <f t="shared" si="75"/>
        <v>0.05</v>
      </c>
      <c r="F453" s="634"/>
      <c r="G453" s="21">
        <f t="shared" si="76"/>
        <v>1</v>
      </c>
      <c r="H453" s="634"/>
      <c r="I453" s="21">
        <f t="shared" si="77"/>
        <v>1</v>
      </c>
      <c r="J453" s="634"/>
      <c r="K453" s="21">
        <f t="shared" si="78"/>
        <v>1</v>
      </c>
      <c r="L453" s="634"/>
      <c r="M453" s="21">
        <f t="shared" si="79"/>
        <v>1</v>
      </c>
      <c r="N453" s="634"/>
      <c r="O453" s="21">
        <f t="shared" si="80"/>
        <v>1</v>
      </c>
      <c r="P453" s="634"/>
      <c r="Q453" s="21">
        <f t="shared" si="81"/>
        <v>0</v>
      </c>
      <c r="R453" s="21">
        <f t="shared" si="82"/>
        <v>0</v>
      </c>
      <c r="S453" s="307">
        <f t="shared" si="83"/>
        <v>0</v>
      </c>
    </row>
    <row r="454" spans="1:19">
      <c r="A454" s="142"/>
      <c r="B454" s="52"/>
      <c r="C454" s="21">
        <f t="shared" si="74"/>
        <v>1</v>
      </c>
      <c r="D454" s="634"/>
      <c r="E454" s="21">
        <f t="shared" si="75"/>
        <v>0.05</v>
      </c>
      <c r="F454" s="634"/>
      <c r="G454" s="21">
        <f t="shared" si="76"/>
        <v>1</v>
      </c>
      <c r="H454" s="634"/>
      <c r="I454" s="21">
        <f t="shared" si="77"/>
        <v>1</v>
      </c>
      <c r="J454" s="634"/>
      <c r="K454" s="21">
        <f t="shared" si="78"/>
        <v>1</v>
      </c>
      <c r="L454" s="634"/>
      <c r="M454" s="21">
        <f t="shared" si="79"/>
        <v>1</v>
      </c>
      <c r="N454" s="634"/>
      <c r="O454" s="21">
        <f t="shared" si="80"/>
        <v>1</v>
      </c>
      <c r="P454" s="634"/>
      <c r="Q454" s="21">
        <f t="shared" si="81"/>
        <v>0</v>
      </c>
      <c r="R454" s="21">
        <f t="shared" si="82"/>
        <v>0</v>
      </c>
      <c r="S454" s="307">
        <f t="shared" si="83"/>
        <v>0</v>
      </c>
    </row>
    <row r="455" spans="1:19">
      <c r="A455" s="142"/>
      <c r="B455" s="52"/>
      <c r="C455" s="21">
        <f t="shared" si="74"/>
        <v>1</v>
      </c>
      <c r="D455" s="634"/>
      <c r="E455" s="21">
        <f t="shared" si="75"/>
        <v>0.05</v>
      </c>
      <c r="F455" s="634"/>
      <c r="G455" s="21">
        <f t="shared" si="76"/>
        <v>1</v>
      </c>
      <c r="H455" s="634"/>
      <c r="I455" s="21">
        <f t="shared" si="77"/>
        <v>1</v>
      </c>
      <c r="J455" s="634"/>
      <c r="K455" s="21">
        <f t="shared" si="78"/>
        <v>1</v>
      </c>
      <c r="L455" s="634"/>
      <c r="M455" s="21">
        <f t="shared" si="79"/>
        <v>1</v>
      </c>
      <c r="N455" s="634"/>
      <c r="O455" s="21">
        <f t="shared" si="80"/>
        <v>1</v>
      </c>
      <c r="P455" s="634"/>
      <c r="Q455" s="21">
        <f t="shared" si="81"/>
        <v>0</v>
      </c>
      <c r="R455" s="21">
        <f t="shared" si="82"/>
        <v>0</v>
      </c>
      <c r="S455" s="307">
        <f t="shared" si="83"/>
        <v>0</v>
      </c>
    </row>
    <row r="456" spans="1:19">
      <c r="A456" s="142"/>
      <c r="B456" s="52"/>
      <c r="C456" s="21">
        <f t="shared" si="74"/>
        <v>1</v>
      </c>
      <c r="D456" s="634"/>
      <c r="E456" s="21">
        <f t="shared" si="75"/>
        <v>0.05</v>
      </c>
      <c r="F456" s="634"/>
      <c r="G456" s="21">
        <f t="shared" si="76"/>
        <v>1</v>
      </c>
      <c r="H456" s="634"/>
      <c r="I456" s="21">
        <f t="shared" si="77"/>
        <v>1</v>
      </c>
      <c r="J456" s="634"/>
      <c r="K456" s="21">
        <f t="shared" si="78"/>
        <v>1</v>
      </c>
      <c r="L456" s="634"/>
      <c r="M456" s="21">
        <f t="shared" si="79"/>
        <v>1</v>
      </c>
      <c r="N456" s="634"/>
      <c r="O456" s="21">
        <f t="shared" si="80"/>
        <v>1</v>
      </c>
      <c r="P456" s="634"/>
      <c r="Q456" s="21">
        <f t="shared" si="81"/>
        <v>0</v>
      </c>
      <c r="R456" s="21">
        <f t="shared" si="82"/>
        <v>0</v>
      </c>
      <c r="S456" s="307">
        <f t="shared" si="83"/>
        <v>0</v>
      </c>
    </row>
    <row r="457" spans="1:19">
      <c r="A457" s="142"/>
      <c r="B457" s="52"/>
      <c r="C457" s="21">
        <f t="shared" si="74"/>
        <v>1</v>
      </c>
      <c r="D457" s="634"/>
      <c r="E457" s="21">
        <f t="shared" si="75"/>
        <v>0.05</v>
      </c>
      <c r="F457" s="634"/>
      <c r="G457" s="21">
        <f t="shared" si="76"/>
        <v>1</v>
      </c>
      <c r="H457" s="634"/>
      <c r="I457" s="21">
        <f t="shared" si="77"/>
        <v>1</v>
      </c>
      <c r="J457" s="634"/>
      <c r="K457" s="21">
        <f t="shared" si="78"/>
        <v>1</v>
      </c>
      <c r="L457" s="634"/>
      <c r="M457" s="21">
        <f t="shared" si="79"/>
        <v>1</v>
      </c>
      <c r="N457" s="634"/>
      <c r="O457" s="21">
        <f t="shared" si="80"/>
        <v>1</v>
      </c>
      <c r="P457" s="634"/>
      <c r="Q457" s="21">
        <f t="shared" si="81"/>
        <v>0</v>
      </c>
      <c r="R457" s="21">
        <f t="shared" si="82"/>
        <v>0</v>
      </c>
      <c r="S457" s="307">
        <f t="shared" si="83"/>
        <v>0</v>
      </c>
    </row>
    <row r="458" spans="1:19">
      <c r="A458" s="142"/>
      <c r="B458" s="52"/>
      <c r="C458" s="21">
        <f t="shared" si="74"/>
        <v>1</v>
      </c>
      <c r="D458" s="634"/>
      <c r="E458" s="21">
        <f t="shared" si="75"/>
        <v>0.05</v>
      </c>
      <c r="F458" s="634"/>
      <c r="G458" s="21">
        <f t="shared" si="76"/>
        <v>1</v>
      </c>
      <c r="H458" s="634"/>
      <c r="I458" s="21">
        <f t="shared" si="77"/>
        <v>1</v>
      </c>
      <c r="J458" s="634"/>
      <c r="K458" s="21">
        <f t="shared" si="78"/>
        <v>1</v>
      </c>
      <c r="L458" s="634"/>
      <c r="M458" s="21">
        <f t="shared" si="79"/>
        <v>1</v>
      </c>
      <c r="N458" s="634"/>
      <c r="O458" s="21">
        <f t="shared" si="80"/>
        <v>1</v>
      </c>
      <c r="P458" s="634"/>
      <c r="Q458" s="21">
        <f t="shared" si="81"/>
        <v>0</v>
      </c>
      <c r="R458" s="21">
        <f t="shared" si="82"/>
        <v>0</v>
      </c>
      <c r="S458" s="307">
        <f t="shared" si="83"/>
        <v>0</v>
      </c>
    </row>
    <row r="459" spans="1:19">
      <c r="A459" s="142"/>
      <c r="B459" s="52"/>
      <c r="C459" s="21">
        <f t="shared" si="74"/>
        <v>1</v>
      </c>
      <c r="D459" s="634"/>
      <c r="E459" s="21">
        <f t="shared" si="75"/>
        <v>0.05</v>
      </c>
      <c r="F459" s="634"/>
      <c r="G459" s="21">
        <f t="shared" si="76"/>
        <v>1</v>
      </c>
      <c r="H459" s="634"/>
      <c r="I459" s="21">
        <f t="shared" si="77"/>
        <v>1</v>
      </c>
      <c r="J459" s="634"/>
      <c r="K459" s="21">
        <f t="shared" si="78"/>
        <v>1</v>
      </c>
      <c r="L459" s="634"/>
      <c r="M459" s="21">
        <f t="shared" si="79"/>
        <v>1</v>
      </c>
      <c r="N459" s="634"/>
      <c r="O459" s="21">
        <f t="shared" si="80"/>
        <v>1</v>
      </c>
      <c r="P459" s="634"/>
      <c r="Q459" s="21">
        <f t="shared" si="81"/>
        <v>0</v>
      </c>
      <c r="R459" s="21">
        <f t="shared" si="82"/>
        <v>0</v>
      </c>
      <c r="S459" s="307">
        <f t="shared" si="83"/>
        <v>0</v>
      </c>
    </row>
    <row r="460" spans="1:19">
      <c r="A460" s="142"/>
      <c r="B460" s="52"/>
      <c r="C460" s="21">
        <f t="shared" si="74"/>
        <v>1</v>
      </c>
      <c r="D460" s="634"/>
      <c r="E460" s="21">
        <f t="shared" si="75"/>
        <v>0.05</v>
      </c>
      <c r="F460" s="634"/>
      <c r="G460" s="21">
        <f t="shared" si="76"/>
        <v>1</v>
      </c>
      <c r="H460" s="634"/>
      <c r="I460" s="21">
        <f t="shared" si="77"/>
        <v>1</v>
      </c>
      <c r="J460" s="634"/>
      <c r="K460" s="21">
        <f t="shared" si="78"/>
        <v>1</v>
      </c>
      <c r="L460" s="634"/>
      <c r="M460" s="21">
        <f t="shared" si="79"/>
        <v>1</v>
      </c>
      <c r="N460" s="634"/>
      <c r="O460" s="21">
        <f t="shared" si="80"/>
        <v>1</v>
      </c>
      <c r="P460" s="634"/>
      <c r="Q460" s="21">
        <f t="shared" si="81"/>
        <v>0</v>
      </c>
      <c r="R460" s="21">
        <f t="shared" si="82"/>
        <v>0</v>
      </c>
      <c r="S460" s="307">
        <f t="shared" si="83"/>
        <v>0</v>
      </c>
    </row>
    <row r="461" spans="1:19">
      <c r="A461" s="142"/>
      <c r="B461" s="52"/>
      <c r="C461" s="21">
        <f t="shared" si="74"/>
        <v>1</v>
      </c>
      <c r="D461" s="634"/>
      <c r="E461" s="21">
        <f t="shared" si="75"/>
        <v>0.05</v>
      </c>
      <c r="F461" s="634"/>
      <c r="G461" s="21">
        <f t="shared" si="76"/>
        <v>1</v>
      </c>
      <c r="H461" s="634"/>
      <c r="I461" s="21">
        <f t="shared" si="77"/>
        <v>1</v>
      </c>
      <c r="J461" s="634"/>
      <c r="K461" s="21">
        <f t="shared" si="78"/>
        <v>1</v>
      </c>
      <c r="L461" s="634"/>
      <c r="M461" s="21">
        <f t="shared" si="79"/>
        <v>1</v>
      </c>
      <c r="N461" s="634"/>
      <c r="O461" s="21">
        <f t="shared" si="80"/>
        <v>1</v>
      </c>
      <c r="P461" s="634"/>
      <c r="Q461" s="21">
        <f t="shared" si="81"/>
        <v>0</v>
      </c>
      <c r="R461" s="21">
        <f t="shared" si="82"/>
        <v>0</v>
      </c>
      <c r="S461" s="307">
        <f t="shared" si="83"/>
        <v>0</v>
      </c>
    </row>
    <row r="462" spans="1:19">
      <c r="A462" s="142"/>
      <c r="B462" s="52"/>
      <c r="C462" s="21">
        <f t="shared" si="74"/>
        <v>1</v>
      </c>
      <c r="D462" s="634"/>
      <c r="E462" s="21">
        <f t="shared" si="75"/>
        <v>0.05</v>
      </c>
      <c r="F462" s="634"/>
      <c r="G462" s="21">
        <f t="shared" si="76"/>
        <v>1</v>
      </c>
      <c r="H462" s="634"/>
      <c r="I462" s="21">
        <f t="shared" si="77"/>
        <v>1</v>
      </c>
      <c r="J462" s="634"/>
      <c r="K462" s="21">
        <f t="shared" si="78"/>
        <v>1</v>
      </c>
      <c r="L462" s="634"/>
      <c r="M462" s="21">
        <f t="shared" si="79"/>
        <v>1</v>
      </c>
      <c r="N462" s="634"/>
      <c r="O462" s="21">
        <f t="shared" si="80"/>
        <v>1</v>
      </c>
      <c r="P462" s="634"/>
      <c r="Q462" s="21">
        <f t="shared" si="81"/>
        <v>0</v>
      </c>
      <c r="R462" s="21">
        <f t="shared" si="82"/>
        <v>0</v>
      </c>
      <c r="S462" s="307">
        <f t="shared" si="83"/>
        <v>0</v>
      </c>
    </row>
    <row r="463" spans="1:19">
      <c r="A463" s="142"/>
      <c r="B463" s="52"/>
      <c r="C463" s="21">
        <f t="shared" si="74"/>
        <v>1</v>
      </c>
      <c r="D463" s="634"/>
      <c r="E463" s="21">
        <f t="shared" si="75"/>
        <v>0.05</v>
      </c>
      <c r="F463" s="634"/>
      <c r="G463" s="21">
        <f t="shared" si="76"/>
        <v>1</v>
      </c>
      <c r="H463" s="634"/>
      <c r="I463" s="21">
        <f t="shared" si="77"/>
        <v>1</v>
      </c>
      <c r="J463" s="634"/>
      <c r="K463" s="21">
        <f t="shared" si="78"/>
        <v>1</v>
      </c>
      <c r="L463" s="634"/>
      <c r="M463" s="21">
        <f t="shared" si="79"/>
        <v>1</v>
      </c>
      <c r="N463" s="634"/>
      <c r="O463" s="21">
        <f t="shared" si="80"/>
        <v>1</v>
      </c>
      <c r="P463" s="634"/>
      <c r="Q463" s="21">
        <f t="shared" si="81"/>
        <v>0</v>
      </c>
      <c r="R463" s="21">
        <f t="shared" si="82"/>
        <v>0</v>
      </c>
      <c r="S463" s="307">
        <f t="shared" si="83"/>
        <v>0</v>
      </c>
    </row>
    <row r="464" spans="1:19">
      <c r="A464" s="142"/>
      <c r="B464" s="52"/>
      <c r="C464" s="21">
        <f t="shared" si="74"/>
        <v>1</v>
      </c>
      <c r="D464" s="634"/>
      <c r="E464" s="21">
        <f t="shared" si="75"/>
        <v>0.05</v>
      </c>
      <c r="F464" s="634"/>
      <c r="G464" s="21">
        <f t="shared" si="76"/>
        <v>1</v>
      </c>
      <c r="H464" s="634"/>
      <c r="I464" s="21">
        <f t="shared" si="77"/>
        <v>1</v>
      </c>
      <c r="J464" s="634"/>
      <c r="K464" s="21">
        <f t="shared" si="78"/>
        <v>1</v>
      </c>
      <c r="L464" s="634"/>
      <c r="M464" s="21">
        <f t="shared" si="79"/>
        <v>1</v>
      </c>
      <c r="N464" s="634"/>
      <c r="O464" s="21">
        <f t="shared" si="80"/>
        <v>1</v>
      </c>
      <c r="P464" s="634"/>
      <c r="Q464" s="21">
        <f t="shared" si="81"/>
        <v>0</v>
      </c>
      <c r="R464" s="21">
        <f t="shared" si="82"/>
        <v>0</v>
      </c>
      <c r="S464" s="307">
        <f t="shared" si="83"/>
        <v>0</v>
      </c>
    </row>
    <row r="465" spans="1:19">
      <c r="A465" s="142"/>
      <c r="B465" s="52"/>
      <c r="C465" s="21">
        <f t="shared" si="74"/>
        <v>1</v>
      </c>
      <c r="D465" s="634"/>
      <c r="E465" s="21">
        <f t="shared" si="75"/>
        <v>0.05</v>
      </c>
      <c r="F465" s="634"/>
      <c r="G465" s="21">
        <f t="shared" si="76"/>
        <v>1</v>
      </c>
      <c r="H465" s="634"/>
      <c r="I465" s="21">
        <f t="shared" si="77"/>
        <v>1</v>
      </c>
      <c r="J465" s="634"/>
      <c r="K465" s="21">
        <f t="shared" si="78"/>
        <v>1</v>
      </c>
      <c r="L465" s="634"/>
      <c r="M465" s="21">
        <f t="shared" si="79"/>
        <v>1</v>
      </c>
      <c r="N465" s="634"/>
      <c r="O465" s="21">
        <f t="shared" si="80"/>
        <v>1</v>
      </c>
      <c r="P465" s="634"/>
      <c r="Q465" s="21">
        <f t="shared" si="81"/>
        <v>0</v>
      </c>
      <c r="R465" s="21">
        <f t="shared" si="82"/>
        <v>0</v>
      </c>
      <c r="S465" s="307">
        <f t="shared" si="83"/>
        <v>0</v>
      </c>
    </row>
    <row r="466" spans="1:19">
      <c r="A466" s="142"/>
      <c r="B466" s="52"/>
      <c r="C466" s="21">
        <f t="shared" si="74"/>
        <v>1</v>
      </c>
      <c r="D466" s="634"/>
      <c r="E466" s="21">
        <f t="shared" si="75"/>
        <v>0.05</v>
      </c>
      <c r="F466" s="634"/>
      <c r="G466" s="21">
        <f t="shared" si="76"/>
        <v>1</v>
      </c>
      <c r="H466" s="634"/>
      <c r="I466" s="21">
        <f t="shared" si="77"/>
        <v>1</v>
      </c>
      <c r="J466" s="634"/>
      <c r="K466" s="21">
        <f t="shared" si="78"/>
        <v>1</v>
      </c>
      <c r="L466" s="634"/>
      <c r="M466" s="21">
        <f t="shared" si="79"/>
        <v>1</v>
      </c>
      <c r="N466" s="634"/>
      <c r="O466" s="21">
        <f t="shared" si="80"/>
        <v>1</v>
      </c>
      <c r="P466" s="634"/>
      <c r="Q466" s="21">
        <f t="shared" si="81"/>
        <v>0</v>
      </c>
      <c r="R466" s="21">
        <f t="shared" si="82"/>
        <v>0</v>
      </c>
      <c r="S466" s="307">
        <f t="shared" si="83"/>
        <v>0</v>
      </c>
    </row>
    <row r="467" spans="1:19">
      <c r="A467" s="142"/>
      <c r="B467" s="52"/>
      <c r="C467" s="21">
        <f t="shared" si="74"/>
        <v>1</v>
      </c>
      <c r="D467" s="634"/>
      <c r="E467" s="21">
        <f t="shared" si="75"/>
        <v>0.05</v>
      </c>
      <c r="F467" s="634"/>
      <c r="G467" s="21">
        <f t="shared" si="76"/>
        <v>1</v>
      </c>
      <c r="H467" s="634"/>
      <c r="I467" s="21">
        <f t="shared" si="77"/>
        <v>1</v>
      </c>
      <c r="J467" s="634"/>
      <c r="K467" s="21">
        <f t="shared" si="78"/>
        <v>1</v>
      </c>
      <c r="L467" s="634"/>
      <c r="M467" s="21">
        <f t="shared" si="79"/>
        <v>1</v>
      </c>
      <c r="N467" s="634"/>
      <c r="O467" s="21">
        <f t="shared" si="80"/>
        <v>1</v>
      </c>
      <c r="P467" s="634"/>
      <c r="Q467" s="21">
        <f t="shared" si="81"/>
        <v>0</v>
      </c>
      <c r="R467" s="21">
        <f t="shared" si="82"/>
        <v>0</v>
      </c>
      <c r="S467" s="307">
        <f t="shared" si="83"/>
        <v>0</v>
      </c>
    </row>
    <row r="468" spans="1:19">
      <c r="A468" s="142"/>
      <c r="B468" s="52"/>
      <c r="C468" s="21">
        <f t="shared" si="74"/>
        <v>1</v>
      </c>
      <c r="D468" s="634"/>
      <c r="E468" s="21">
        <f t="shared" si="75"/>
        <v>0.05</v>
      </c>
      <c r="F468" s="634"/>
      <c r="G468" s="21">
        <f t="shared" si="76"/>
        <v>1</v>
      </c>
      <c r="H468" s="634"/>
      <c r="I468" s="21">
        <f t="shared" si="77"/>
        <v>1</v>
      </c>
      <c r="J468" s="634"/>
      <c r="K468" s="21">
        <f t="shared" si="78"/>
        <v>1</v>
      </c>
      <c r="L468" s="634"/>
      <c r="M468" s="21">
        <f t="shared" si="79"/>
        <v>1</v>
      </c>
      <c r="N468" s="634"/>
      <c r="O468" s="21">
        <f t="shared" si="80"/>
        <v>1</v>
      </c>
      <c r="P468" s="634"/>
      <c r="Q468" s="21">
        <f t="shared" si="81"/>
        <v>0</v>
      </c>
      <c r="R468" s="21">
        <f t="shared" si="82"/>
        <v>0</v>
      </c>
      <c r="S468" s="307">
        <f t="shared" ref="S468:S497" si="84">ROUND(R468*B468/10000,0)</f>
        <v>0</v>
      </c>
    </row>
    <row r="469" spans="1:19">
      <c r="A469" s="142"/>
      <c r="B469" s="52"/>
      <c r="C469" s="21">
        <f t="shared" si="74"/>
        <v>1</v>
      </c>
      <c r="D469" s="634"/>
      <c r="E469" s="21">
        <f t="shared" si="75"/>
        <v>0.05</v>
      </c>
      <c r="F469" s="634"/>
      <c r="G469" s="21">
        <f t="shared" si="76"/>
        <v>1</v>
      </c>
      <c r="H469" s="634"/>
      <c r="I469" s="21">
        <f t="shared" si="77"/>
        <v>1</v>
      </c>
      <c r="J469" s="634"/>
      <c r="K469" s="21">
        <f t="shared" si="78"/>
        <v>1</v>
      </c>
      <c r="L469" s="634"/>
      <c r="M469" s="21">
        <f t="shared" si="79"/>
        <v>1</v>
      </c>
      <c r="N469" s="634"/>
      <c r="O469" s="21">
        <f t="shared" si="80"/>
        <v>1</v>
      </c>
      <c r="P469" s="634"/>
      <c r="Q469" s="21">
        <f t="shared" si="81"/>
        <v>0</v>
      </c>
      <c r="R469" s="21">
        <f t="shared" si="82"/>
        <v>0</v>
      </c>
      <c r="S469" s="307">
        <f t="shared" si="84"/>
        <v>0</v>
      </c>
    </row>
    <row r="470" spans="1:19">
      <c r="A470" s="142"/>
      <c r="B470" s="52"/>
      <c r="C470" s="21">
        <f t="shared" si="74"/>
        <v>1</v>
      </c>
      <c r="D470" s="634"/>
      <c r="E470" s="21">
        <f t="shared" si="75"/>
        <v>0.05</v>
      </c>
      <c r="F470" s="634"/>
      <c r="G470" s="21">
        <f t="shared" si="76"/>
        <v>1</v>
      </c>
      <c r="H470" s="634"/>
      <c r="I470" s="21">
        <f t="shared" si="77"/>
        <v>1</v>
      </c>
      <c r="J470" s="634"/>
      <c r="K470" s="21">
        <f t="shared" si="78"/>
        <v>1</v>
      </c>
      <c r="L470" s="634"/>
      <c r="M470" s="21">
        <f t="shared" si="79"/>
        <v>1</v>
      </c>
      <c r="N470" s="634"/>
      <c r="O470" s="21">
        <f t="shared" si="80"/>
        <v>1</v>
      </c>
      <c r="P470" s="634"/>
      <c r="Q470" s="21">
        <f t="shared" si="81"/>
        <v>0</v>
      </c>
      <c r="R470" s="21">
        <f t="shared" si="82"/>
        <v>0</v>
      </c>
      <c r="S470" s="307">
        <f t="shared" si="84"/>
        <v>0</v>
      </c>
    </row>
    <row r="471" spans="1:19">
      <c r="A471" s="142"/>
      <c r="B471" s="52"/>
      <c r="C471" s="21">
        <f t="shared" si="74"/>
        <v>1</v>
      </c>
      <c r="D471" s="634"/>
      <c r="E471" s="21">
        <f t="shared" si="75"/>
        <v>0.05</v>
      </c>
      <c r="F471" s="634"/>
      <c r="G471" s="21">
        <f t="shared" si="76"/>
        <v>1</v>
      </c>
      <c r="H471" s="634"/>
      <c r="I471" s="21">
        <f t="shared" si="77"/>
        <v>1</v>
      </c>
      <c r="J471" s="634"/>
      <c r="K471" s="21">
        <f t="shared" si="78"/>
        <v>1</v>
      </c>
      <c r="L471" s="634"/>
      <c r="M471" s="21">
        <f t="shared" si="79"/>
        <v>1</v>
      </c>
      <c r="N471" s="634"/>
      <c r="O471" s="21">
        <f t="shared" si="80"/>
        <v>1</v>
      </c>
      <c r="P471" s="634"/>
      <c r="Q471" s="21">
        <f t="shared" si="81"/>
        <v>0</v>
      </c>
      <c r="R471" s="21">
        <f t="shared" si="82"/>
        <v>0</v>
      </c>
      <c r="S471" s="307">
        <f t="shared" si="84"/>
        <v>0</v>
      </c>
    </row>
    <row r="472" spans="1:19">
      <c r="A472" s="142"/>
      <c r="B472" s="52"/>
      <c r="C472" s="21">
        <f t="shared" si="74"/>
        <v>1</v>
      </c>
      <c r="D472" s="634"/>
      <c r="E472" s="21">
        <f t="shared" si="75"/>
        <v>0.05</v>
      </c>
      <c r="F472" s="634"/>
      <c r="G472" s="21">
        <f t="shared" si="76"/>
        <v>1</v>
      </c>
      <c r="H472" s="634"/>
      <c r="I472" s="21">
        <f t="shared" si="77"/>
        <v>1</v>
      </c>
      <c r="J472" s="634"/>
      <c r="K472" s="21">
        <f t="shared" si="78"/>
        <v>1</v>
      </c>
      <c r="L472" s="634"/>
      <c r="M472" s="21">
        <f t="shared" si="79"/>
        <v>1</v>
      </c>
      <c r="N472" s="634"/>
      <c r="O472" s="21">
        <f t="shared" si="80"/>
        <v>1</v>
      </c>
      <c r="P472" s="634"/>
      <c r="Q472" s="21">
        <f t="shared" si="81"/>
        <v>0</v>
      </c>
      <c r="R472" s="21">
        <f t="shared" si="82"/>
        <v>0</v>
      </c>
      <c r="S472" s="307">
        <f t="shared" si="84"/>
        <v>0</v>
      </c>
    </row>
    <row r="473" spans="1:19">
      <c r="A473" s="142"/>
      <c r="B473" s="52"/>
      <c r="C473" s="21">
        <f t="shared" si="74"/>
        <v>1</v>
      </c>
      <c r="D473" s="634"/>
      <c r="E473" s="21">
        <f t="shared" si="75"/>
        <v>0.05</v>
      </c>
      <c r="F473" s="634"/>
      <c r="G473" s="21">
        <f t="shared" si="76"/>
        <v>1</v>
      </c>
      <c r="H473" s="634"/>
      <c r="I473" s="21">
        <f t="shared" si="77"/>
        <v>1</v>
      </c>
      <c r="J473" s="634"/>
      <c r="K473" s="21">
        <f t="shared" si="78"/>
        <v>1</v>
      </c>
      <c r="L473" s="634"/>
      <c r="M473" s="21">
        <f t="shared" si="79"/>
        <v>1</v>
      </c>
      <c r="N473" s="634"/>
      <c r="O473" s="21">
        <f t="shared" si="80"/>
        <v>1</v>
      </c>
      <c r="P473" s="634"/>
      <c r="Q473" s="21">
        <f t="shared" si="81"/>
        <v>0</v>
      </c>
      <c r="R473" s="21">
        <f t="shared" si="82"/>
        <v>0</v>
      </c>
      <c r="S473" s="307">
        <f t="shared" si="84"/>
        <v>0</v>
      </c>
    </row>
    <row r="474" spans="1:19">
      <c r="A474" s="142"/>
      <c r="B474" s="52"/>
      <c r="C474" s="21">
        <f t="shared" ref="C474:C524" si="85">IF(B474="",1,(LOOKUP(B474,$3:$3,$4:$4)-LOOKUP($B$24,$3:$3,$4:$4)+100)/100)</f>
        <v>1</v>
      </c>
      <c r="D474" s="634"/>
      <c r="E474" s="21">
        <f t="shared" ref="E474:E524" si="86">(SUMIF($5:$5,D474,$6:$6)-SUMIF($5:$5,$D$24,$6:$6)+100)/100</f>
        <v>0.05</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0</v>
      </c>
      <c r="R474" s="21">
        <f t="shared" ref="R474:R524" si="93">IF(B474="",0,ROUND($R$24*C474*E474*G474*I474*K474*M474*O474*Q474,0))</f>
        <v>0</v>
      </c>
      <c r="S474" s="307">
        <f t="shared" si="84"/>
        <v>0</v>
      </c>
    </row>
    <row r="475" spans="1:19">
      <c r="A475" s="142"/>
      <c r="B475" s="52"/>
      <c r="C475" s="21">
        <f t="shared" si="85"/>
        <v>1</v>
      </c>
      <c r="D475" s="634"/>
      <c r="E475" s="21">
        <f t="shared" si="86"/>
        <v>0.05</v>
      </c>
      <c r="F475" s="634"/>
      <c r="G475" s="21">
        <f t="shared" si="87"/>
        <v>1</v>
      </c>
      <c r="H475" s="634"/>
      <c r="I475" s="21">
        <f t="shared" si="88"/>
        <v>1</v>
      </c>
      <c r="J475" s="634"/>
      <c r="K475" s="21">
        <f t="shared" si="89"/>
        <v>1</v>
      </c>
      <c r="L475" s="634"/>
      <c r="M475" s="21">
        <f t="shared" si="90"/>
        <v>1</v>
      </c>
      <c r="N475" s="634"/>
      <c r="O475" s="21">
        <f t="shared" si="91"/>
        <v>1</v>
      </c>
      <c r="P475" s="634"/>
      <c r="Q475" s="21">
        <f t="shared" si="92"/>
        <v>0</v>
      </c>
      <c r="R475" s="21">
        <f t="shared" si="93"/>
        <v>0</v>
      </c>
      <c r="S475" s="307">
        <f t="shared" si="84"/>
        <v>0</v>
      </c>
    </row>
    <row r="476" spans="1:19">
      <c r="A476" s="142"/>
      <c r="B476" s="52"/>
      <c r="C476" s="21">
        <f t="shared" si="85"/>
        <v>1</v>
      </c>
      <c r="D476" s="634"/>
      <c r="E476" s="21">
        <f t="shared" si="86"/>
        <v>0.05</v>
      </c>
      <c r="F476" s="634"/>
      <c r="G476" s="21">
        <f t="shared" si="87"/>
        <v>1</v>
      </c>
      <c r="H476" s="634"/>
      <c r="I476" s="21">
        <f t="shared" si="88"/>
        <v>1</v>
      </c>
      <c r="J476" s="634"/>
      <c r="K476" s="21">
        <f t="shared" si="89"/>
        <v>1</v>
      </c>
      <c r="L476" s="634"/>
      <c r="M476" s="21">
        <f t="shared" si="90"/>
        <v>1</v>
      </c>
      <c r="N476" s="634"/>
      <c r="O476" s="21">
        <f t="shared" si="91"/>
        <v>1</v>
      </c>
      <c r="P476" s="634"/>
      <c r="Q476" s="21">
        <f t="shared" si="92"/>
        <v>0</v>
      </c>
      <c r="R476" s="21">
        <f t="shared" si="93"/>
        <v>0</v>
      </c>
      <c r="S476" s="307">
        <f t="shared" si="84"/>
        <v>0</v>
      </c>
    </row>
    <row r="477" spans="1:19">
      <c r="A477" s="142"/>
      <c r="B477" s="52"/>
      <c r="C477" s="21">
        <f t="shared" si="85"/>
        <v>1</v>
      </c>
      <c r="D477" s="634"/>
      <c r="E477" s="21">
        <f t="shared" si="86"/>
        <v>0.05</v>
      </c>
      <c r="F477" s="634"/>
      <c r="G477" s="21">
        <f t="shared" si="87"/>
        <v>1</v>
      </c>
      <c r="H477" s="634"/>
      <c r="I477" s="21">
        <f t="shared" si="88"/>
        <v>1</v>
      </c>
      <c r="J477" s="634"/>
      <c r="K477" s="21">
        <f t="shared" si="89"/>
        <v>1</v>
      </c>
      <c r="L477" s="634"/>
      <c r="M477" s="21">
        <f t="shared" si="90"/>
        <v>1</v>
      </c>
      <c r="N477" s="634"/>
      <c r="O477" s="21">
        <f t="shared" si="91"/>
        <v>1</v>
      </c>
      <c r="P477" s="634"/>
      <c r="Q477" s="21">
        <f t="shared" si="92"/>
        <v>0</v>
      </c>
      <c r="R477" s="21">
        <f t="shared" si="93"/>
        <v>0</v>
      </c>
      <c r="S477" s="307">
        <f t="shared" si="84"/>
        <v>0</v>
      </c>
    </row>
    <row r="478" spans="1:19">
      <c r="A478" s="142"/>
      <c r="B478" s="52"/>
      <c r="C478" s="21">
        <f t="shared" si="85"/>
        <v>1</v>
      </c>
      <c r="D478" s="634"/>
      <c r="E478" s="21">
        <f t="shared" si="86"/>
        <v>0.05</v>
      </c>
      <c r="F478" s="634"/>
      <c r="G478" s="21">
        <f t="shared" si="87"/>
        <v>1</v>
      </c>
      <c r="H478" s="634"/>
      <c r="I478" s="21">
        <f t="shared" si="88"/>
        <v>1</v>
      </c>
      <c r="J478" s="634"/>
      <c r="K478" s="21">
        <f t="shared" si="89"/>
        <v>1</v>
      </c>
      <c r="L478" s="634"/>
      <c r="M478" s="21">
        <f t="shared" si="90"/>
        <v>1</v>
      </c>
      <c r="N478" s="634"/>
      <c r="O478" s="21">
        <f t="shared" si="91"/>
        <v>1</v>
      </c>
      <c r="P478" s="634"/>
      <c r="Q478" s="21">
        <f t="shared" si="92"/>
        <v>0</v>
      </c>
      <c r="R478" s="21">
        <f t="shared" si="93"/>
        <v>0</v>
      </c>
      <c r="S478" s="307">
        <f t="shared" si="84"/>
        <v>0</v>
      </c>
    </row>
    <row r="479" spans="1:19">
      <c r="A479" s="142"/>
      <c r="B479" s="52"/>
      <c r="C479" s="21">
        <f t="shared" si="85"/>
        <v>1</v>
      </c>
      <c r="D479" s="634"/>
      <c r="E479" s="21">
        <f t="shared" si="86"/>
        <v>0.05</v>
      </c>
      <c r="F479" s="634"/>
      <c r="G479" s="21">
        <f t="shared" si="87"/>
        <v>1</v>
      </c>
      <c r="H479" s="634"/>
      <c r="I479" s="21">
        <f t="shared" si="88"/>
        <v>1</v>
      </c>
      <c r="J479" s="634"/>
      <c r="K479" s="21">
        <f t="shared" si="89"/>
        <v>1</v>
      </c>
      <c r="L479" s="634"/>
      <c r="M479" s="21">
        <f t="shared" si="90"/>
        <v>1</v>
      </c>
      <c r="N479" s="634"/>
      <c r="O479" s="21">
        <f t="shared" si="91"/>
        <v>1</v>
      </c>
      <c r="P479" s="634"/>
      <c r="Q479" s="21">
        <f t="shared" si="92"/>
        <v>0</v>
      </c>
      <c r="R479" s="21">
        <f t="shared" si="93"/>
        <v>0</v>
      </c>
      <c r="S479" s="307">
        <f t="shared" si="84"/>
        <v>0</v>
      </c>
    </row>
    <row r="480" spans="1:19">
      <c r="A480" s="142"/>
      <c r="B480" s="52"/>
      <c r="C480" s="21">
        <f t="shared" si="85"/>
        <v>1</v>
      </c>
      <c r="D480" s="634"/>
      <c r="E480" s="21">
        <f t="shared" si="86"/>
        <v>0.05</v>
      </c>
      <c r="F480" s="634"/>
      <c r="G480" s="21">
        <f t="shared" si="87"/>
        <v>1</v>
      </c>
      <c r="H480" s="634"/>
      <c r="I480" s="21">
        <f t="shared" si="88"/>
        <v>1</v>
      </c>
      <c r="J480" s="634"/>
      <c r="K480" s="21">
        <f t="shared" si="89"/>
        <v>1</v>
      </c>
      <c r="L480" s="634"/>
      <c r="M480" s="21">
        <f t="shared" si="90"/>
        <v>1</v>
      </c>
      <c r="N480" s="634"/>
      <c r="O480" s="21">
        <f t="shared" si="91"/>
        <v>1</v>
      </c>
      <c r="P480" s="634"/>
      <c r="Q480" s="21">
        <f t="shared" si="92"/>
        <v>0</v>
      </c>
      <c r="R480" s="21">
        <f t="shared" si="93"/>
        <v>0</v>
      </c>
      <c r="S480" s="307">
        <f t="shared" si="84"/>
        <v>0</v>
      </c>
    </row>
    <row r="481" spans="1:19">
      <c r="A481" s="142"/>
      <c r="B481" s="52"/>
      <c r="C481" s="21">
        <f t="shared" si="85"/>
        <v>1</v>
      </c>
      <c r="D481" s="634"/>
      <c r="E481" s="21">
        <f t="shared" si="86"/>
        <v>0.05</v>
      </c>
      <c r="F481" s="634"/>
      <c r="G481" s="21">
        <f t="shared" si="87"/>
        <v>1</v>
      </c>
      <c r="H481" s="634"/>
      <c r="I481" s="21">
        <f t="shared" si="88"/>
        <v>1</v>
      </c>
      <c r="J481" s="634"/>
      <c r="K481" s="21">
        <f t="shared" si="89"/>
        <v>1</v>
      </c>
      <c r="L481" s="634"/>
      <c r="M481" s="21">
        <f t="shared" si="90"/>
        <v>1</v>
      </c>
      <c r="N481" s="634"/>
      <c r="O481" s="21">
        <f t="shared" si="91"/>
        <v>1</v>
      </c>
      <c r="P481" s="634"/>
      <c r="Q481" s="21">
        <f t="shared" si="92"/>
        <v>0</v>
      </c>
      <c r="R481" s="21">
        <f t="shared" si="93"/>
        <v>0</v>
      </c>
      <c r="S481" s="307">
        <f t="shared" si="84"/>
        <v>0</v>
      </c>
    </row>
    <row r="482" spans="1:19">
      <c r="A482" s="142"/>
      <c r="B482" s="52"/>
      <c r="C482" s="21">
        <f t="shared" si="85"/>
        <v>1</v>
      </c>
      <c r="D482" s="634"/>
      <c r="E482" s="21">
        <f t="shared" si="86"/>
        <v>0.05</v>
      </c>
      <c r="F482" s="634"/>
      <c r="G482" s="21">
        <f t="shared" si="87"/>
        <v>1</v>
      </c>
      <c r="H482" s="634"/>
      <c r="I482" s="21">
        <f t="shared" si="88"/>
        <v>1</v>
      </c>
      <c r="J482" s="634"/>
      <c r="K482" s="21">
        <f t="shared" si="89"/>
        <v>1</v>
      </c>
      <c r="L482" s="634"/>
      <c r="M482" s="21">
        <f t="shared" si="90"/>
        <v>1</v>
      </c>
      <c r="N482" s="634"/>
      <c r="O482" s="21">
        <f t="shared" si="91"/>
        <v>1</v>
      </c>
      <c r="P482" s="634"/>
      <c r="Q482" s="21">
        <f t="shared" si="92"/>
        <v>0</v>
      </c>
      <c r="R482" s="21">
        <f t="shared" si="93"/>
        <v>0</v>
      </c>
      <c r="S482" s="307">
        <f t="shared" si="84"/>
        <v>0</v>
      </c>
    </row>
    <row r="483" spans="1:19">
      <c r="A483" s="142"/>
      <c r="B483" s="52"/>
      <c r="C483" s="21">
        <f t="shared" si="85"/>
        <v>1</v>
      </c>
      <c r="D483" s="634"/>
      <c r="E483" s="21">
        <f t="shared" si="86"/>
        <v>0.05</v>
      </c>
      <c r="F483" s="634"/>
      <c r="G483" s="21">
        <f t="shared" si="87"/>
        <v>1</v>
      </c>
      <c r="H483" s="634"/>
      <c r="I483" s="21">
        <f t="shared" si="88"/>
        <v>1</v>
      </c>
      <c r="J483" s="634"/>
      <c r="K483" s="21">
        <f t="shared" si="89"/>
        <v>1</v>
      </c>
      <c r="L483" s="634"/>
      <c r="M483" s="21">
        <f t="shared" si="90"/>
        <v>1</v>
      </c>
      <c r="N483" s="634"/>
      <c r="O483" s="21">
        <f t="shared" si="91"/>
        <v>1</v>
      </c>
      <c r="P483" s="634"/>
      <c r="Q483" s="21">
        <f t="shared" si="92"/>
        <v>0</v>
      </c>
      <c r="R483" s="21">
        <f t="shared" si="93"/>
        <v>0</v>
      </c>
      <c r="S483" s="307">
        <f t="shared" si="84"/>
        <v>0</v>
      </c>
    </row>
    <row r="484" spans="1:19">
      <c r="A484" s="142"/>
      <c r="B484" s="52"/>
      <c r="C484" s="21">
        <f t="shared" si="85"/>
        <v>1</v>
      </c>
      <c r="D484" s="634"/>
      <c r="E484" s="21">
        <f t="shared" si="86"/>
        <v>0.05</v>
      </c>
      <c r="F484" s="634"/>
      <c r="G484" s="21">
        <f t="shared" si="87"/>
        <v>1</v>
      </c>
      <c r="H484" s="634"/>
      <c r="I484" s="21">
        <f t="shared" si="88"/>
        <v>1</v>
      </c>
      <c r="J484" s="634"/>
      <c r="K484" s="21">
        <f t="shared" si="89"/>
        <v>1</v>
      </c>
      <c r="L484" s="634"/>
      <c r="M484" s="21">
        <f t="shared" si="90"/>
        <v>1</v>
      </c>
      <c r="N484" s="634"/>
      <c r="O484" s="21">
        <f t="shared" si="91"/>
        <v>1</v>
      </c>
      <c r="P484" s="634"/>
      <c r="Q484" s="21">
        <f t="shared" si="92"/>
        <v>0</v>
      </c>
      <c r="R484" s="21">
        <f t="shared" si="93"/>
        <v>0</v>
      </c>
      <c r="S484" s="307">
        <f t="shared" si="84"/>
        <v>0</v>
      </c>
    </row>
    <row r="485" spans="1:19">
      <c r="A485" s="142"/>
      <c r="B485" s="52"/>
      <c r="C485" s="21">
        <f t="shared" si="85"/>
        <v>1</v>
      </c>
      <c r="D485" s="634"/>
      <c r="E485" s="21">
        <f t="shared" si="86"/>
        <v>0.05</v>
      </c>
      <c r="F485" s="634"/>
      <c r="G485" s="21">
        <f t="shared" si="87"/>
        <v>1</v>
      </c>
      <c r="H485" s="634"/>
      <c r="I485" s="21">
        <f t="shared" si="88"/>
        <v>1</v>
      </c>
      <c r="J485" s="634"/>
      <c r="K485" s="21">
        <f t="shared" si="89"/>
        <v>1</v>
      </c>
      <c r="L485" s="634"/>
      <c r="M485" s="21">
        <f t="shared" si="90"/>
        <v>1</v>
      </c>
      <c r="N485" s="634"/>
      <c r="O485" s="21">
        <f t="shared" si="91"/>
        <v>1</v>
      </c>
      <c r="P485" s="634"/>
      <c r="Q485" s="21">
        <f t="shared" si="92"/>
        <v>0</v>
      </c>
      <c r="R485" s="21">
        <f t="shared" si="93"/>
        <v>0</v>
      </c>
      <c r="S485" s="307">
        <f t="shared" si="84"/>
        <v>0</v>
      </c>
    </row>
    <row r="486" spans="1:19">
      <c r="A486" s="142"/>
      <c r="B486" s="52"/>
      <c r="C486" s="21">
        <f t="shared" si="85"/>
        <v>1</v>
      </c>
      <c r="D486" s="634"/>
      <c r="E486" s="21">
        <f t="shared" si="86"/>
        <v>0.05</v>
      </c>
      <c r="F486" s="634"/>
      <c r="G486" s="21">
        <f t="shared" si="87"/>
        <v>1</v>
      </c>
      <c r="H486" s="634"/>
      <c r="I486" s="21">
        <f t="shared" si="88"/>
        <v>1</v>
      </c>
      <c r="J486" s="634"/>
      <c r="K486" s="21">
        <f t="shared" si="89"/>
        <v>1</v>
      </c>
      <c r="L486" s="634"/>
      <c r="M486" s="21">
        <f t="shared" si="90"/>
        <v>1</v>
      </c>
      <c r="N486" s="634"/>
      <c r="O486" s="21">
        <f t="shared" si="91"/>
        <v>1</v>
      </c>
      <c r="P486" s="634"/>
      <c r="Q486" s="21">
        <f t="shared" si="92"/>
        <v>0</v>
      </c>
      <c r="R486" s="21">
        <f t="shared" si="93"/>
        <v>0</v>
      </c>
      <c r="S486" s="307">
        <f t="shared" si="84"/>
        <v>0</v>
      </c>
    </row>
    <row r="487" spans="1:19">
      <c r="A487" s="142"/>
      <c r="B487" s="52"/>
      <c r="C487" s="21">
        <f t="shared" si="85"/>
        <v>1</v>
      </c>
      <c r="D487" s="634"/>
      <c r="E487" s="21">
        <f t="shared" si="86"/>
        <v>0.05</v>
      </c>
      <c r="F487" s="634"/>
      <c r="G487" s="21">
        <f t="shared" si="87"/>
        <v>1</v>
      </c>
      <c r="H487" s="634"/>
      <c r="I487" s="21">
        <f t="shared" si="88"/>
        <v>1</v>
      </c>
      <c r="J487" s="634"/>
      <c r="K487" s="21">
        <f t="shared" si="89"/>
        <v>1</v>
      </c>
      <c r="L487" s="634"/>
      <c r="M487" s="21">
        <f t="shared" si="90"/>
        <v>1</v>
      </c>
      <c r="N487" s="634"/>
      <c r="O487" s="21">
        <f t="shared" si="91"/>
        <v>1</v>
      </c>
      <c r="P487" s="634"/>
      <c r="Q487" s="21">
        <f t="shared" si="92"/>
        <v>0</v>
      </c>
      <c r="R487" s="21">
        <f t="shared" si="93"/>
        <v>0</v>
      </c>
      <c r="S487" s="307">
        <f t="shared" si="84"/>
        <v>0</v>
      </c>
    </row>
    <row r="488" spans="1:19">
      <c r="A488" s="142"/>
      <c r="B488" s="52"/>
      <c r="C488" s="21">
        <f t="shared" si="85"/>
        <v>1</v>
      </c>
      <c r="D488" s="634"/>
      <c r="E488" s="21">
        <f t="shared" si="86"/>
        <v>0.05</v>
      </c>
      <c r="F488" s="634"/>
      <c r="G488" s="21">
        <f t="shared" si="87"/>
        <v>1</v>
      </c>
      <c r="H488" s="634"/>
      <c r="I488" s="21">
        <f t="shared" si="88"/>
        <v>1</v>
      </c>
      <c r="J488" s="634"/>
      <c r="K488" s="21">
        <f t="shared" si="89"/>
        <v>1</v>
      </c>
      <c r="L488" s="634"/>
      <c r="M488" s="21">
        <f t="shared" si="90"/>
        <v>1</v>
      </c>
      <c r="N488" s="634"/>
      <c r="O488" s="21">
        <f t="shared" si="91"/>
        <v>1</v>
      </c>
      <c r="P488" s="634"/>
      <c r="Q488" s="21">
        <f t="shared" si="92"/>
        <v>0</v>
      </c>
      <c r="R488" s="21">
        <f t="shared" si="93"/>
        <v>0</v>
      </c>
      <c r="S488" s="307">
        <f t="shared" si="84"/>
        <v>0</v>
      </c>
    </row>
    <row r="489" spans="1:19">
      <c r="A489" s="142"/>
      <c r="B489" s="52"/>
      <c r="C489" s="21">
        <f t="shared" si="85"/>
        <v>1</v>
      </c>
      <c r="D489" s="634"/>
      <c r="E489" s="21">
        <f t="shared" si="86"/>
        <v>0.05</v>
      </c>
      <c r="F489" s="634"/>
      <c r="G489" s="21">
        <f t="shared" si="87"/>
        <v>1</v>
      </c>
      <c r="H489" s="634"/>
      <c r="I489" s="21">
        <f t="shared" si="88"/>
        <v>1</v>
      </c>
      <c r="J489" s="634"/>
      <c r="K489" s="21">
        <f t="shared" si="89"/>
        <v>1</v>
      </c>
      <c r="L489" s="634"/>
      <c r="M489" s="21">
        <f t="shared" si="90"/>
        <v>1</v>
      </c>
      <c r="N489" s="634"/>
      <c r="O489" s="21">
        <f t="shared" si="91"/>
        <v>1</v>
      </c>
      <c r="P489" s="634"/>
      <c r="Q489" s="21">
        <f t="shared" si="92"/>
        <v>0</v>
      </c>
      <c r="R489" s="21">
        <f t="shared" si="93"/>
        <v>0</v>
      </c>
      <c r="S489" s="307">
        <f t="shared" si="84"/>
        <v>0</v>
      </c>
    </row>
    <row r="490" spans="1:19">
      <c r="A490" s="142"/>
      <c r="B490" s="52"/>
      <c r="C490" s="21">
        <f t="shared" si="85"/>
        <v>1</v>
      </c>
      <c r="D490" s="634"/>
      <c r="E490" s="21">
        <f t="shared" si="86"/>
        <v>0.05</v>
      </c>
      <c r="F490" s="634"/>
      <c r="G490" s="21">
        <f t="shared" si="87"/>
        <v>1</v>
      </c>
      <c r="H490" s="634"/>
      <c r="I490" s="21">
        <f t="shared" si="88"/>
        <v>1</v>
      </c>
      <c r="J490" s="634"/>
      <c r="K490" s="21">
        <f t="shared" si="89"/>
        <v>1</v>
      </c>
      <c r="L490" s="634"/>
      <c r="M490" s="21">
        <f t="shared" si="90"/>
        <v>1</v>
      </c>
      <c r="N490" s="634"/>
      <c r="O490" s="21">
        <f t="shared" si="91"/>
        <v>1</v>
      </c>
      <c r="P490" s="634"/>
      <c r="Q490" s="21">
        <f t="shared" si="92"/>
        <v>0</v>
      </c>
      <c r="R490" s="21">
        <f t="shared" si="93"/>
        <v>0</v>
      </c>
      <c r="S490" s="307">
        <f t="shared" si="84"/>
        <v>0</v>
      </c>
    </row>
    <row r="491" spans="1:19">
      <c r="A491" s="142"/>
      <c r="B491" s="52"/>
      <c r="C491" s="21">
        <f t="shared" si="85"/>
        <v>1</v>
      </c>
      <c r="D491" s="634"/>
      <c r="E491" s="21">
        <f t="shared" si="86"/>
        <v>0.05</v>
      </c>
      <c r="F491" s="634"/>
      <c r="G491" s="21">
        <f t="shared" si="87"/>
        <v>1</v>
      </c>
      <c r="H491" s="634"/>
      <c r="I491" s="21">
        <f t="shared" si="88"/>
        <v>1</v>
      </c>
      <c r="J491" s="634"/>
      <c r="K491" s="21">
        <f t="shared" si="89"/>
        <v>1</v>
      </c>
      <c r="L491" s="634"/>
      <c r="M491" s="21">
        <f t="shared" si="90"/>
        <v>1</v>
      </c>
      <c r="N491" s="634"/>
      <c r="O491" s="21">
        <f t="shared" si="91"/>
        <v>1</v>
      </c>
      <c r="P491" s="634"/>
      <c r="Q491" s="21">
        <f t="shared" si="92"/>
        <v>0</v>
      </c>
      <c r="R491" s="21">
        <f t="shared" si="93"/>
        <v>0</v>
      </c>
      <c r="S491" s="307">
        <f t="shared" si="84"/>
        <v>0</v>
      </c>
    </row>
    <row r="492" spans="1:19">
      <c r="A492" s="142"/>
      <c r="B492" s="52"/>
      <c r="C492" s="21">
        <f t="shared" si="85"/>
        <v>1</v>
      </c>
      <c r="D492" s="634"/>
      <c r="E492" s="21">
        <f t="shared" si="86"/>
        <v>0.05</v>
      </c>
      <c r="F492" s="634"/>
      <c r="G492" s="21">
        <f t="shared" si="87"/>
        <v>1</v>
      </c>
      <c r="H492" s="634"/>
      <c r="I492" s="21">
        <f t="shared" si="88"/>
        <v>1</v>
      </c>
      <c r="J492" s="634"/>
      <c r="K492" s="21">
        <f t="shared" si="89"/>
        <v>1</v>
      </c>
      <c r="L492" s="634"/>
      <c r="M492" s="21">
        <f t="shared" si="90"/>
        <v>1</v>
      </c>
      <c r="N492" s="634"/>
      <c r="O492" s="21">
        <f t="shared" si="91"/>
        <v>1</v>
      </c>
      <c r="P492" s="634"/>
      <c r="Q492" s="21">
        <f t="shared" si="92"/>
        <v>0</v>
      </c>
      <c r="R492" s="21">
        <f t="shared" si="93"/>
        <v>0</v>
      </c>
      <c r="S492" s="307">
        <f t="shared" si="84"/>
        <v>0</v>
      </c>
    </row>
    <row r="493" spans="1:19">
      <c r="A493" s="142"/>
      <c r="B493" s="52"/>
      <c r="C493" s="21">
        <f t="shared" si="85"/>
        <v>1</v>
      </c>
      <c r="D493" s="634"/>
      <c r="E493" s="21">
        <f t="shared" si="86"/>
        <v>0.05</v>
      </c>
      <c r="F493" s="634"/>
      <c r="G493" s="21">
        <f t="shared" si="87"/>
        <v>1</v>
      </c>
      <c r="H493" s="634"/>
      <c r="I493" s="21">
        <f t="shared" si="88"/>
        <v>1</v>
      </c>
      <c r="J493" s="634"/>
      <c r="K493" s="21">
        <f t="shared" si="89"/>
        <v>1</v>
      </c>
      <c r="L493" s="634"/>
      <c r="M493" s="21">
        <f t="shared" si="90"/>
        <v>1</v>
      </c>
      <c r="N493" s="634"/>
      <c r="O493" s="21">
        <f t="shared" si="91"/>
        <v>1</v>
      </c>
      <c r="P493" s="634"/>
      <c r="Q493" s="21">
        <f t="shared" si="92"/>
        <v>0</v>
      </c>
      <c r="R493" s="21">
        <f t="shared" si="93"/>
        <v>0</v>
      </c>
      <c r="S493" s="307">
        <f t="shared" si="84"/>
        <v>0</v>
      </c>
    </row>
    <row r="494" spans="1:19">
      <c r="A494" s="142"/>
      <c r="B494" s="52"/>
      <c r="C494" s="21">
        <f t="shared" si="85"/>
        <v>1</v>
      </c>
      <c r="D494" s="634"/>
      <c r="E494" s="21">
        <f t="shared" si="86"/>
        <v>0.05</v>
      </c>
      <c r="F494" s="634"/>
      <c r="G494" s="21">
        <f t="shared" si="87"/>
        <v>1</v>
      </c>
      <c r="H494" s="634"/>
      <c r="I494" s="21">
        <f t="shared" si="88"/>
        <v>1</v>
      </c>
      <c r="J494" s="634"/>
      <c r="K494" s="21">
        <f t="shared" si="89"/>
        <v>1</v>
      </c>
      <c r="L494" s="634"/>
      <c r="M494" s="21">
        <f t="shared" si="90"/>
        <v>1</v>
      </c>
      <c r="N494" s="634"/>
      <c r="O494" s="21">
        <f t="shared" si="91"/>
        <v>1</v>
      </c>
      <c r="P494" s="634"/>
      <c r="Q494" s="21">
        <f t="shared" si="92"/>
        <v>0</v>
      </c>
      <c r="R494" s="21">
        <f t="shared" si="93"/>
        <v>0</v>
      </c>
      <c r="S494" s="307">
        <f t="shared" si="84"/>
        <v>0</v>
      </c>
    </row>
    <row r="495" spans="1:19">
      <c r="A495" s="142"/>
      <c r="B495" s="52"/>
      <c r="C495" s="21">
        <f t="shared" si="85"/>
        <v>1</v>
      </c>
      <c r="D495" s="634"/>
      <c r="E495" s="21">
        <f t="shared" si="86"/>
        <v>0.05</v>
      </c>
      <c r="F495" s="634"/>
      <c r="G495" s="21">
        <f t="shared" si="87"/>
        <v>1</v>
      </c>
      <c r="H495" s="634"/>
      <c r="I495" s="21">
        <f t="shared" si="88"/>
        <v>1</v>
      </c>
      <c r="J495" s="634"/>
      <c r="K495" s="21">
        <f t="shared" si="89"/>
        <v>1</v>
      </c>
      <c r="L495" s="634"/>
      <c r="M495" s="21">
        <f t="shared" si="90"/>
        <v>1</v>
      </c>
      <c r="N495" s="634"/>
      <c r="O495" s="21">
        <f t="shared" si="91"/>
        <v>1</v>
      </c>
      <c r="P495" s="634"/>
      <c r="Q495" s="21">
        <f t="shared" si="92"/>
        <v>0</v>
      </c>
      <c r="R495" s="21">
        <f t="shared" si="93"/>
        <v>0</v>
      </c>
      <c r="S495" s="307">
        <f t="shared" si="84"/>
        <v>0</v>
      </c>
    </row>
    <row r="496" spans="1:19">
      <c r="A496" s="142"/>
      <c r="B496" s="52"/>
      <c r="C496" s="21">
        <f t="shared" si="85"/>
        <v>1</v>
      </c>
      <c r="D496" s="634"/>
      <c r="E496" s="21">
        <f t="shared" si="86"/>
        <v>0.05</v>
      </c>
      <c r="F496" s="634"/>
      <c r="G496" s="21">
        <f t="shared" si="87"/>
        <v>1</v>
      </c>
      <c r="H496" s="634"/>
      <c r="I496" s="21">
        <f t="shared" si="88"/>
        <v>1</v>
      </c>
      <c r="J496" s="634"/>
      <c r="K496" s="21">
        <f t="shared" si="89"/>
        <v>1</v>
      </c>
      <c r="L496" s="634"/>
      <c r="M496" s="21">
        <f t="shared" si="90"/>
        <v>1</v>
      </c>
      <c r="N496" s="634"/>
      <c r="O496" s="21">
        <f t="shared" si="91"/>
        <v>1</v>
      </c>
      <c r="P496" s="634"/>
      <c r="Q496" s="21">
        <f t="shared" si="92"/>
        <v>0</v>
      </c>
      <c r="R496" s="21">
        <f t="shared" si="93"/>
        <v>0</v>
      </c>
      <c r="S496" s="307">
        <f t="shared" si="84"/>
        <v>0</v>
      </c>
    </row>
    <row r="497" spans="1:19">
      <c r="A497" s="142"/>
      <c r="B497" s="52"/>
      <c r="C497" s="21">
        <f t="shared" si="85"/>
        <v>1</v>
      </c>
      <c r="D497" s="634"/>
      <c r="E497" s="21">
        <f t="shared" si="86"/>
        <v>0.05</v>
      </c>
      <c r="F497" s="634"/>
      <c r="G497" s="21">
        <f t="shared" si="87"/>
        <v>1</v>
      </c>
      <c r="H497" s="634"/>
      <c r="I497" s="21">
        <f t="shared" si="88"/>
        <v>1</v>
      </c>
      <c r="J497" s="634"/>
      <c r="K497" s="21">
        <f t="shared" si="89"/>
        <v>1</v>
      </c>
      <c r="L497" s="634"/>
      <c r="M497" s="21">
        <f t="shared" si="90"/>
        <v>1</v>
      </c>
      <c r="N497" s="634"/>
      <c r="O497" s="21">
        <f t="shared" si="91"/>
        <v>1</v>
      </c>
      <c r="P497" s="634"/>
      <c r="Q497" s="21">
        <f t="shared" si="92"/>
        <v>0</v>
      </c>
      <c r="R497" s="21">
        <f t="shared" si="93"/>
        <v>0</v>
      </c>
      <c r="S497" s="307">
        <f t="shared" si="84"/>
        <v>0</v>
      </c>
    </row>
    <row r="498" spans="1:19">
      <c r="A498" s="142"/>
      <c r="B498" s="52"/>
      <c r="C498" s="21">
        <f t="shared" si="85"/>
        <v>1</v>
      </c>
      <c r="D498" s="634"/>
      <c r="E498" s="21">
        <f t="shared" si="86"/>
        <v>0.05</v>
      </c>
      <c r="F498" s="634"/>
      <c r="G498" s="21">
        <f t="shared" si="87"/>
        <v>1</v>
      </c>
      <c r="H498" s="634"/>
      <c r="I498" s="21">
        <f t="shared" si="88"/>
        <v>1</v>
      </c>
      <c r="J498" s="634"/>
      <c r="K498" s="21">
        <f t="shared" si="89"/>
        <v>1</v>
      </c>
      <c r="L498" s="634"/>
      <c r="M498" s="21">
        <f t="shared" si="90"/>
        <v>1</v>
      </c>
      <c r="N498" s="634"/>
      <c r="O498" s="21">
        <f t="shared" si="91"/>
        <v>1</v>
      </c>
      <c r="P498" s="634"/>
      <c r="Q498" s="21">
        <f t="shared" si="92"/>
        <v>0</v>
      </c>
      <c r="R498" s="21">
        <f t="shared" si="93"/>
        <v>0</v>
      </c>
      <c r="S498" s="307">
        <f t="shared" ref="S498:S524" si="94">ROUND(R498*B498/10000,0)</f>
        <v>0</v>
      </c>
    </row>
    <row r="499" spans="1:19">
      <c r="A499" s="142"/>
      <c r="B499" s="52"/>
      <c r="C499" s="21">
        <f t="shared" si="85"/>
        <v>1</v>
      </c>
      <c r="D499" s="634"/>
      <c r="E499" s="21">
        <f t="shared" si="86"/>
        <v>0.05</v>
      </c>
      <c r="F499" s="634"/>
      <c r="G499" s="21">
        <f t="shared" si="87"/>
        <v>1</v>
      </c>
      <c r="H499" s="634"/>
      <c r="I499" s="21">
        <f t="shared" si="88"/>
        <v>1</v>
      </c>
      <c r="J499" s="634"/>
      <c r="K499" s="21">
        <f t="shared" si="89"/>
        <v>1</v>
      </c>
      <c r="L499" s="634"/>
      <c r="M499" s="21">
        <f t="shared" si="90"/>
        <v>1</v>
      </c>
      <c r="N499" s="634"/>
      <c r="O499" s="21">
        <f t="shared" si="91"/>
        <v>1</v>
      </c>
      <c r="P499" s="634"/>
      <c r="Q499" s="21">
        <f t="shared" si="92"/>
        <v>0</v>
      </c>
      <c r="R499" s="21">
        <f t="shared" si="93"/>
        <v>0</v>
      </c>
      <c r="S499" s="307">
        <f t="shared" si="94"/>
        <v>0</v>
      </c>
    </row>
    <row r="500" spans="1:19">
      <c r="A500" s="142"/>
      <c r="B500" s="52"/>
      <c r="C500" s="21">
        <f t="shared" si="85"/>
        <v>1</v>
      </c>
      <c r="D500" s="634"/>
      <c r="E500" s="21">
        <f t="shared" si="86"/>
        <v>0.05</v>
      </c>
      <c r="F500" s="634"/>
      <c r="G500" s="21">
        <f t="shared" si="87"/>
        <v>1</v>
      </c>
      <c r="H500" s="634"/>
      <c r="I500" s="21">
        <f t="shared" si="88"/>
        <v>1</v>
      </c>
      <c r="J500" s="634"/>
      <c r="K500" s="21">
        <f t="shared" si="89"/>
        <v>1</v>
      </c>
      <c r="L500" s="634"/>
      <c r="M500" s="21">
        <f t="shared" si="90"/>
        <v>1</v>
      </c>
      <c r="N500" s="634"/>
      <c r="O500" s="21">
        <f t="shared" si="91"/>
        <v>1</v>
      </c>
      <c r="P500" s="634"/>
      <c r="Q500" s="21">
        <f t="shared" si="92"/>
        <v>0</v>
      </c>
      <c r="R500" s="21">
        <f t="shared" si="93"/>
        <v>0</v>
      </c>
      <c r="S500" s="307">
        <f t="shared" si="94"/>
        <v>0</v>
      </c>
    </row>
    <row r="501" spans="1:19">
      <c r="A501" s="142"/>
      <c r="B501" s="52"/>
      <c r="C501" s="21">
        <f t="shared" si="85"/>
        <v>1</v>
      </c>
      <c r="D501" s="634"/>
      <c r="E501" s="21">
        <f t="shared" si="86"/>
        <v>0.05</v>
      </c>
      <c r="F501" s="634"/>
      <c r="G501" s="21">
        <f t="shared" si="87"/>
        <v>1</v>
      </c>
      <c r="H501" s="634"/>
      <c r="I501" s="21">
        <f t="shared" si="88"/>
        <v>1</v>
      </c>
      <c r="J501" s="634"/>
      <c r="K501" s="21">
        <f t="shared" si="89"/>
        <v>1</v>
      </c>
      <c r="L501" s="634"/>
      <c r="M501" s="21">
        <f t="shared" si="90"/>
        <v>1</v>
      </c>
      <c r="N501" s="634"/>
      <c r="O501" s="21">
        <f t="shared" si="91"/>
        <v>1</v>
      </c>
      <c r="P501" s="634"/>
      <c r="Q501" s="21">
        <f t="shared" si="92"/>
        <v>0</v>
      </c>
      <c r="R501" s="21">
        <f t="shared" si="93"/>
        <v>0</v>
      </c>
      <c r="S501" s="307">
        <f t="shared" si="94"/>
        <v>0</v>
      </c>
    </row>
    <row r="502" spans="1:19">
      <c r="A502" s="142"/>
      <c r="B502" s="52"/>
      <c r="C502" s="21">
        <f t="shared" si="85"/>
        <v>1</v>
      </c>
      <c r="D502" s="634"/>
      <c r="E502" s="21">
        <f t="shared" si="86"/>
        <v>0.05</v>
      </c>
      <c r="F502" s="634"/>
      <c r="G502" s="21">
        <f t="shared" si="87"/>
        <v>1</v>
      </c>
      <c r="H502" s="634"/>
      <c r="I502" s="21">
        <f t="shared" si="88"/>
        <v>1</v>
      </c>
      <c r="J502" s="634"/>
      <c r="K502" s="21">
        <f t="shared" si="89"/>
        <v>1</v>
      </c>
      <c r="L502" s="634"/>
      <c r="M502" s="21">
        <f t="shared" si="90"/>
        <v>1</v>
      </c>
      <c r="N502" s="634"/>
      <c r="O502" s="21">
        <f t="shared" si="91"/>
        <v>1</v>
      </c>
      <c r="P502" s="634"/>
      <c r="Q502" s="21">
        <f t="shared" si="92"/>
        <v>0</v>
      </c>
      <c r="R502" s="21">
        <f t="shared" si="93"/>
        <v>0</v>
      </c>
      <c r="S502" s="307">
        <f t="shared" si="94"/>
        <v>0</v>
      </c>
    </row>
    <row r="503" spans="1:19">
      <c r="A503" s="142"/>
      <c r="B503" s="52"/>
      <c r="C503" s="21">
        <f t="shared" si="85"/>
        <v>1</v>
      </c>
      <c r="D503" s="634"/>
      <c r="E503" s="21">
        <f t="shared" si="86"/>
        <v>0.05</v>
      </c>
      <c r="F503" s="634"/>
      <c r="G503" s="21">
        <f t="shared" si="87"/>
        <v>1</v>
      </c>
      <c r="H503" s="634"/>
      <c r="I503" s="21">
        <f t="shared" si="88"/>
        <v>1</v>
      </c>
      <c r="J503" s="634"/>
      <c r="K503" s="21">
        <f t="shared" si="89"/>
        <v>1</v>
      </c>
      <c r="L503" s="634"/>
      <c r="M503" s="21">
        <f t="shared" si="90"/>
        <v>1</v>
      </c>
      <c r="N503" s="634"/>
      <c r="O503" s="21">
        <f t="shared" si="91"/>
        <v>1</v>
      </c>
      <c r="P503" s="634"/>
      <c r="Q503" s="21">
        <f t="shared" si="92"/>
        <v>0</v>
      </c>
      <c r="R503" s="21">
        <f t="shared" si="93"/>
        <v>0</v>
      </c>
      <c r="S503" s="307">
        <f t="shared" si="94"/>
        <v>0</v>
      </c>
    </row>
    <row r="504" spans="1:19">
      <c r="A504" s="142"/>
      <c r="B504" s="52"/>
      <c r="C504" s="21">
        <f t="shared" si="85"/>
        <v>1</v>
      </c>
      <c r="D504" s="634"/>
      <c r="E504" s="21">
        <f t="shared" si="86"/>
        <v>0.05</v>
      </c>
      <c r="F504" s="634"/>
      <c r="G504" s="21">
        <f t="shared" si="87"/>
        <v>1</v>
      </c>
      <c r="H504" s="634"/>
      <c r="I504" s="21">
        <f t="shared" si="88"/>
        <v>1</v>
      </c>
      <c r="J504" s="634"/>
      <c r="K504" s="21">
        <f t="shared" si="89"/>
        <v>1</v>
      </c>
      <c r="L504" s="634"/>
      <c r="M504" s="21">
        <f t="shared" si="90"/>
        <v>1</v>
      </c>
      <c r="N504" s="634"/>
      <c r="O504" s="21">
        <f t="shared" si="91"/>
        <v>1</v>
      </c>
      <c r="P504" s="634"/>
      <c r="Q504" s="21">
        <f t="shared" si="92"/>
        <v>0</v>
      </c>
      <c r="R504" s="21">
        <f t="shared" si="93"/>
        <v>0</v>
      </c>
      <c r="S504" s="307">
        <f t="shared" si="94"/>
        <v>0</v>
      </c>
    </row>
    <row r="505" spans="1:19">
      <c r="A505" s="142"/>
      <c r="B505" s="52"/>
      <c r="C505" s="21">
        <f t="shared" si="85"/>
        <v>1</v>
      </c>
      <c r="D505" s="634"/>
      <c r="E505" s="21">
        <f t="shared" si="86"/>
        <v>0.05</v>
      </c>
      <c r="F505" s="634"/>
      <c r="G505" s="21">
        <f t="shared" si="87"/>
        <v>1</v>
      </c>
      <c r="H505" s="634"/>
      <c r="I505" s="21">
        <f t="shared" si="88"/>
        <v>1</v>
      </c>
      <c r="J505" s="634"/>
      <c r="K505" s="21">
        <f t="shared" si="89"/>
        <v>1</v>
      </c>
      <c r="L505" s="634"/>
      <c r="M505" s="21">
        <f t="shared" si="90"/>
        <v>1</v>
      </c>
      <c r="N505" s="634"/>
      <c r="O505" s="21">
        <f t="shared" si="91"/>
        <v>1</v>
      </c>
      <c r="P505" s="634"/>
      <c r="Q505" s="21">
        <f t="shared" si="92"/>
        <v>0</v>
      </c>
      <c r="R505" s="21">
        <f t="shared" si="93"/>
        <v>0</v>
      </c>
      <c r="S505" s="307">
        <f t="shared" si="94"/>
        <v>0</v>
      </c>
    </row>
    <row r="506" spans="1:19">
      <c r="A506" s="142"/>
      <c r="B506" s="52"/>
      <c r="C506" s="21">
        <f t="shared" si="85"/>
        <v>1</v>
      </c>
      <c r="D506" s="634"/>
      <c r="E506" s="21">
        <f t="shared" si="86"/>
        <v>0.05</v>
      </c>
      <c r="F506" s="634"/>
      <c r="G506" s="21">
        <f t="shared" si="87"/>
        <v>1</v>
      </c>
      <c r="H506" s="634"/>
      <c r="I506" s="21">
        <f t="shared" si="88"/>
        <v>1</v>
      </c>
      <c r="J506" s="634"/>
      <c r="K506" s="21">
        <f t="shared" si="89"/>
        <v>1</v>
      </c>
      <c r="L506" s="634"/>
      <c r="M506" s="21">
        <f t="shared" si="90"/>
        <v>1</v>
      </c>
      <c r="N506" s="634"/>
      <c r="O506" s="21">
        <f t="shared" si="91"/>
        <v>1</v>
      </c>
      <c r="P506" s="634"/>
      <c r="Q506" s="21">
        <f t="shared" si="92"/>
        <v>0</v>
      </c>
      <c r="R506" s="21">
        <f t="shared" si="93"/>
        <v>0</v>
      </c>
      <c r="S506" s="307">
        <f t="shared" si="94"/>
        <v>0</v>
      </c>
    </row>
    <row r="507" spans="1:19">
      <c r="A507" s="142"/>
      <c r="B507" s="52"/>
      <c r="C507" s="21">
        <f t="shared" si="85"/>
        <v>1</v>
      </c>
      <c r="D507" s="634"/>
      <c r="E507" s="21">
        <f t="shared" si="86"/>
        <v>0.05</v>
      </c>
      <c r="F507" s="634"/>
      <c r="G507" s="21">
        <f t="shared" si="87"/>
        <v>1</v>
      </c>
      <c r="H507" s="634"/>
      <c r="I507" s="21">
        <f t="shared" si="88"/>
        <v>1</v>
      </c>
      <c r="J507" s="634"/>
      <c r="K507" s="21">
        <f t="shared" si="89"/>
        <v>1</v>
      </c>
      <c r="L507" s="634"/>
      <c r="M507" s="21">
        <f t="shared" si="90"/>
        <v>1</v>
      </c>
      <c r="N507" s="634"/>
      <c r="O507" s="21">
        <f t="shared" si="91"/>
        <v>1</v>
      </c>
      <c r="P507" s="634"/>
      <c r="Q507" s="21">
        <f t="shared" si="92"/>
        <v>0</v>
      </c>
      <c r="R507" s="21">
        <f t="shared" si="93"/>
        <v>0</v>
      </c>
      <c r="S507" s="307">
        <f t="shared" si="94"/>
        <v>0</v>
      </c>
    </row>
    <row r="508" spans="1:19">
      <c r="A508" s="142"/>
      <c r="B508" s="52"/>
      <c r="C508" s="21">
        <f t="shared" si="85"/>
        <v>1</v>
      </c>
      <c r="D508" s="634"/>
      <c r="E508" s="21">
        <f t="shared" si="86"/>
        <v>0.05</v>
      </c>
      <c r="F508" s="634"/>
      <c r="G508" s="21">
        <f t="shared" si="87"/>
        <v>1</v>
      </c>
      <c r="H508" s="634"/>
      <c r="I508" s="21">
        <f t="shared" si="88"/>
        <v>1</v>
      </c>
      <c r="J508" s="634"/>
      <c r="K508" s="21">
        <f t="shared" si="89"/>
        <v>1</v>
      </c>
      <c r="L508" s="634"/>
      <c r="M508" s="21">
        <f t="shared" si="90"/>
        <v>1</v>
      </c>
      <c r="N508" s="634"/>
      <c r="O508" s="21">
        <f t="shared" si="91"/>
        <v>1</v>
      </c>
      <c r="P508" s="634"/>
      <c r="Q508" s="21">
        <f t="shared" si="92"/>
        <v>0</v>
      </c>
      <c r="R508" s="21">
        <f t="shared" si="93"/>
        <v>0</v>
      </c>
      <c r="S508" s="307">
        <f t="shared" si="94"/>
        <v>0</v>
      </c>
    </row>
    <row r="509" spans="1:19">
      <c r="A509" s="142"/>
      <c r="B509" s="52"/>
      <c r="C509" s="21">
        <f t="shared" si="85"/>
        <v>1</v>
      </c>
      <c r="D509" s="634"/>
      <c r="E509" s="21">
        <f t="shared" si="86"/>
        <v>0.05</v>
      </c>
      <c r="F509" s="634"/>
      <c r="G509" s="21">
        <f t="shared" si="87"/>
        <v>1</v>
      </c>
      <c r="H509" s="634"/>
      <c r="I509" s="21">
        <f t="shared" si="88"/>
        <v>1</v>
      </c>
      <c r="J509" s="634"/>
      <c r="K509" s="21">
        <f t="shared" si="89"/>
        <v>1</v>
      </c>
      <c r="L509" s="634"/>
      <c r="M509" s="21">
        <f t="shared" si="90"/>
        <v>1</v>
      </c>
      <c r="N509" s="634"/>
      <c r="O509" s="21">
        <f t="shared" si="91"/>
        <v>1</v>
      </c>
      <c r="P509" s="634"/>
      <c r="Q509" s="21">
        <f t="shared" si="92"/>
        <v>0</v>
      </c>
      <c r="R509" s="21">
        <f t="shared" si="93"/>
        <v>0</v>
      </c>
      <c r="S509" s="307">
        <f t="shared" si="94"/>
        <v>0</v>
      </c>
    </row>
    <row r="510" spans="1:19">
      <c r="A510" s="142"/>
      <c r="B510" s="52"/>
      <c r="C510" s="21">
        <f t="shared" si="85"/>
        <v>1</v>
      </c>
      <c r="D510" s="634"/>
      <c r="E510" s="21">
        <f t="shared" si="86"/>
        <v>0.05</v>
      </c>
      <c r="F510" s="634"/>
      <c r="G510" s="21">
        <f t="shared" si="87"/>
        <v>1</v>
      </c>
      <c r="H510" s="634"/>
      <c r="I510" s="21">
        <f t="shared" si="88"/>
        <v>1</v>
      </c>
      <c r="J510" s="634"/>
      <c r="K510" s="21">
        <f t="shared" si="89"/>
        <v>1</v>
      </c>
      <c r="L510" s="634"/>
      <c r="M510" s="21">
        <f t="shared" si="90"/>
        <v>1</v>
      </c>
      <c r="N510" s="634"/>
      <c r="O510" s="21">
        <f t="shared" si="91"/>
        <v>1</v>
      </c>
      <c r="P510" s="634"/>
      <c r="Q510" s="21">
        <f t="shared" si="92"/>
        <v>0</v>
      </c>
      <c r="R510" s="21">
        <f t="shared" si="93"/>
        <v>0</v>
      </c>
      <c r="S510" s="307">
        <f t="shared" si="94"/>
        <v>0</v>
      </c>
    </row>
    <row r="511" spans="1:19">
      <c r="A511" s="142"/>
      <c r="B511" s="52"/>
      <c r="C511" s="21">
        <f t="shared" si="85"/>
        <v>1</v>
      </c>
      <c r="D511" s="634"/>
      <c r="E511" s="21">
        <f t="shared" si="86"/>
        <v>0.05</v>
      </c>
      <c r="F511" s="634"/>
      <c r="G511" s="21">
        <f t="shared" si="87"/>
        <v>1</v>
      </c>
      <c r="H511" s="634"/>
      <c r="I511" s="21">
        <f t="shared" si="88"/>
        <v>1</v>
      </c>
      <c r="J511" s="634"/>
      <c r="K511" s="21">
        <f t="shared" si="89"/>
        <v>1</v>
      </c>
      <c r="L511" s="634"/>
      <c r="M511" s="21">
        <f t="shared" si="90"/>
        <v>1</v>
      </c>
      <c r="N511" s="634"/>
      <c r="O511" s="21">
        <f t="shared" si="91"/>
        <v>1</v>
      </c>
      <c r="P511" s="634"/>
      <c r="Q511" s="21">
        <f t="shared" si="92"/>
        <v>0</v>
      </c>
      <c r="R511" s="21">
        <f t="shared" si="93"/>
        <v>0</v>
      </c>
      <c r="S511" s="307">
        <f t="shared" si="94"/>
        <v>0</v>
      </c>
    </row>
    <row r="512" spans="1:19">
      <c r="A512" s="142"/>
      <c r="B512" s="52"/>
      <c r="C512" s="21">
        <f t="shared" si="85"/>
        <v>1</v>
      </c>
      <c r="D512" s="634"/>
      <c r="E512" s="21">
        <f t="shared" si="86"/>
        <v>0.05</v>
      </c>
      <c r="F512" s="634"/>
      <c r="G512" s="21">
        <f t="shared" si="87"/>
        <v>1</v>
      </c>
      <c r="H512" s="634"/>
      <c r="I512" s="21">
        <f t="shared" si="88"/>
        <v>1</v>
      </c>
      <c r="J512" s="634"/>
      <c r="K512" s="21">
        <f t="shared" si="89"/>
        <v>1</v>
      </c>
      <c r="L512" s="634"/>
      <c r="M512" s="21">
        <f t="shared" si="90"/>
        <v>1</v>
      </c>
      <c r="N512" s="634"/>
      <c r="O512" s="21">
        <f t="shared" si="91"/>
        <v>1</v>
      </c>
      <c r="P512" s="634"/>
      <c r="Q512" s="21">
        <f t="shared" si="92"/>
        <v>0</v>
      </c>
      <c r="R512" s="21">
        <f t="shared" si="93"/>
        <v>0</v>
      </c>
      <c r="S512" s="307">
        <f t="shared" si="94"/>
        <v>0</v>
      </c>
    </row>
    <row r="513" spans="1:19">
      <c r="A513" s="142"/>
      <c r="B513" s="52"/>
      <c r="C513" s="21">
        <f t="shared" si="85"/>
        <v>1</v>
      </c>
      <c r="D513" s="634"/>
      <c r="E513" s="21">
        <f t="shared" si="86"/>
        <v>0.05</v>
      </c>
      <c r="F513" s="634"/>
      <c r="G513" s="21">
        <f t="shared" si="87"/>
        <v>1</v>
      </c>
      <c r="H513" s="634"/>
      <c r="I513" s="21">
        <f t="shared" si="88"/>
        <v>1</v>
      </c>
      <c r="J513" s="634"/>
      <c r="K513" s="21">
        <f t="shared" si="89"/>
        <v>1</v>
      </c>
      <c r="L513" s="634"/>
      <c r="M513" s="21">
        <f t="shared" si="90"/>
        <v>1</v>
      </c>
      <c r="N513" s="634"/>
      <c r="O513" s="21">
        <f t="shared" si="91"/>
        <v>1</v>
      </c>
      <c r="P513" s="634"/>
      <c r="Q513" s="21">
        <f t="shared" si="92"/>
        <v>0</v>
      </c>
      <c r="R513" s="21">
        <f t="shared" si="93"/>
        <v>0</v>
      </c>
      <c r="S513" s="307">
        <f t="shared" si="94"/>
        <v>0</v>
      </c>
    </row>
    <row r="514" spans="1:19">
      <c r="A514" s="142"/>
      <c r="B514" s="52"/>
      <c r="C514" s="21">
        <f t="shared" si="85"/>
        <v>1</v>
      </c>
      <c r="D514" s="634"/>
      <c r="E514" s="21">
        <f t="shared" si="86"/>
        <v>0.05</v>
      </c>
      <c r="F514" s="634"/>
      <c r="G514" s="21">
        <f t="shared" si="87"/>
        <v>1</v>
      </c>
      <c r="H514" s="634"/>
      <c r="I514" s="21">
        <f t="shared" si="88"/>
        <v>1</v>
      </c>
      <c r="J514" s="634"/>
      <c r="K514" s="21">
        <f t="shared" si="89"/>
        <v>1</v>
      </c>
      <c r="L514" s="634"/>
      <c r="M514" s="21">
        <f t="shared" si="90"/>
        <v>1</v>
      </c>
      <c r="N514" s="634"/>
      <c r="O514" s="21">
        <f t="shared" si="91"/>
        <v>1</v>
      </c>
      <c r="P514" s="634"/>
      <c r="Q514" s="21">
        <f t="shared" si="92"/>
        <v>0</v>
      </c>
      <c r="R514" s="21">
        <f t="shared" si="93"/>
        <v>0</v>
      </c>
      <c r="S514" s="307">
        <f t="shared" si="94"/>
        <v>0</v>
      </c>
    </row>
    <row r="515" spans="1:19">
      <c r="A515" s="142"/>
      <c r="B515" s="52"/>
      <c r="C515" s="21">
        <f t="shared" si="85"/>
        <v>1</v>
      </c>
      <c r="D515" s="634"/>
      <c r="E515" s="21">
        <f t="shared" si="86"/>
        <v>0.05</v>
      </c>
      <c r="F515" s="634"/>
      <c r="G515" s="21">
        <f t="shared" si="87"/>
        <v>1</v>
      </c>
      <c r="H515" s="634"/>
      <c r="I515" s="21">
        <f t="shared" si="88"/>
        <v>1</v>
      </c>
      <c r="J515" s="634"/>
      <c r="K515" s="21">
        <f t="shared" si="89"/>
        <v>1</v>
      </c>
      <c r="L515" s="634"/>
      <c r="M515" s="21">
        <f t="shared" si="90"/>
        <v>1</v>
      </c>
      <c r="N515" s="634"/>
      <c r="O515" s="21">
        <f t="shared" si="91"/>
        <v>1</v>
      </c>
      <c r="P515" s="634"/>
      <c r="Q515" s="21">
        <f t="shared" si="92"/>
        <v>0</v>
      </c>
      <c r="R515" s="21">
        <f t="shared" si="93"/>
        <v>0</v>
      </c>
      <c r="S515" s="307">
        <f t="shared" si="94"/>
        <v>0</v>
      </c>
    </row>
    <row r="516" spans="1:19">
      <c r="A516" s="142"/>
      <c r="B516" s="52"/>
      <c r="C516" s="21">
        <f t="shared" si="85"/>
        <v>1</v>
      </c>
      <c r="D516" s="634"/>
      <c r="E516" s="21">
        <f t="shared" si="86"/>
        <v>0.05</v>
      </c>
      <c r="F516" s="634"/>
      <c r="G516" s="21">
        <f t="shared" si="87"/>
        <v>1</v>
      </c>
      <c r="H516" s="634"/>
      <c r="I516" s="21">
        <f t="shared" si="88"/>
        <v>1</v>
      </c>
      <c r="J516" s="634"/>
      <c r="K516" s="21">
        <f t="shared" si="89"/>
        <v>1</v>
      </c>
      <c r="L516" s="634"/>
      <c r="M516" s="21">
        <f t="shared" si="90"/>
        <v>1</v>
      </c>
      <c r="N516" s="634"/>
      <c r="O516" s="21">
        <f t="shared" si="91"/>
        <v>1</v>
      </c>
      <c r="P516" s="634"/>
      <c r="Q516" s="21">
        <f t="shared" si="92"/>
        <v>0</v>
      </c>
      <c r="R516" s="21">
        <f t="shared" si="93"/>
        <v>0</v>
      </c>
      <c r="S516" s="307">
        <f t="shared" si="94"/>
        <v>0</v>
      </c>
    </row>
    <row r="517" spans="1:19">
      <c r="A517" s="142"/>
      <c r="B517" s="52"/>
      <c r="C517" s="21">
        <f t="shared" si="85"/>
        <v>1</v>
      </c>
      <c r="D517" s="634"/>
      <c r="E517" s="21">
        <f t="shared" si="86"/>
        <v>0.05</v>
      </c>
      <c r="F517" s="634"/>
      <c r="G517" s="21">
        <f t="shared" si="87"/>
        <v>1</v>
      </c>
      <c r="H517" s="634"/>
      <c r="I517" s="21">
        <f t="shared" si="88"/>
        <v>1</v>
      </c>
      <c r="J517" s="634"/>
      <c r="K517" s="21">
        <f t="shared" si="89"/>
        <v>1</v>
      </c>
      <c r="L517" s="634"/>
      <c r="M517" s="21">
        <f t="shared" si="90"/>
        <v>1</v>
      </c>
      <c r="N517" s="634"/>
      <c r="O517" s="21">
        <f t="shared" si="91"/>
        <v>1</v>
      </c>
      <c r="P517" s="634"/>
      <c r="Q517" s="21">
        <f t="shared" si="92"/>
        <v>0</v>
      </c>
      <c r="R517" s="21">
        <f t="shared" si="93"/>
        <v>0</v>
      </c>
      <c r="S517" s="307">
        <f t="shared" si="94"/>
        <v>0</v>
      </c>
    </row>
    <row r="518" spans="1:19">
      <c r="A518" s="142"/>
      <c r="B518" s="52"/>
      <c r="C518" s="21">
        <f t="shared" si="85"/>
        <v>1</v>
      </c>
      <c r="D518" s="634"/>
      <c r="E518" s="21">
        <f t="shared" si="86"/>
        <v>0.05</v>
      </c>
      <c r="F518" s="634"/>
      <c r="G518" s="21">
        <f t="shared" si="87"/>
        <v>1</v>
      </c>
      <c r="H518" s="634"/>
      <c r="I518" s="21">
        <f t="shared" si="88"/>
        <v>1</v>
      </c>
      <c r="J518" s="634"/>
      <c r="K518" s="21">
        <f t="shared" si="89"/>
        <v>1</v>
      </c>
      <c r="L518" s="634"/>
      <c r="M518" s="21">
        <f t="shared" si="90"/>
        <v>1</v>
      </c>
      <c r="N518" s="634"/>
      <c r="O518" s="21">
        <f t="shared" si="91"/>
        <v>1</v>
      </c>
      <c r="P518" s="634"/>
      <c r="Q518" s="21">
        <f t="shared" si="92"/>
        <v>0</v>
      </c>
      <c r="R518" s="21">
        <f t="shared" si="93"/>
        <v>0</v>
      </c>
      <c r="S518" s="307">
        <f t="shared" si="94"/>
        <v>0</v>
      </c>
    </row>
    <row r="519" spans="1:19">
      <c r="A519" s="142"/>
      <c r="B519" s="52"/>
      <c r="C519" s="21">
        <f t="shared" si="85"/>
        <v>1</v>
      </c>
      <c r="D519" s="634"/>
      <c r="E519" s="21">
        <f t="shared" si="86"/>
        <v>0.05</v>
      </c>
      <c r="F519" s="634"/>
      <c r="G519" s="21">
        <f t="shared" si="87"/>
        <v>1</v>
      </c>
      <c r="H519" s="634"/>
      <c r="I519" s="21">
        <f t="shared" si="88"/>
        <v>1</v>
      </c>
      <c r="J519" s="634"/>
      <c r="K519" s="21">
        <f t="shared" si="89"/>
        <v>1</v>
      </c>
      <c r="L519" s="634"/>
      <c r="M519" s="21">
        <f t="shared" si="90"/>
        <v>1</v>
      </c>
      <c r="N519" s="634"/>
      <c r="O519" s="21">
        <f t="shared" si="91"/>
        <v>1</v>
      </c>
      <c r="P519" s="634"/>
      <c r="Q519" s="21">
        <f t="shared" si="92"/>
        <v>0</v>
      </c>
      <c r="R519" s="21">
        <f t="shared" si="93"/>
        <v>0</v>
      </c>
      <c r="S519" s="307">
        <f t="shared" si="94"/>
        <v>0</v>
      </c>
    </row>
    <row r="520" spans="1:19">
      <c r="A520" s="142"/>
      <c r="B520" s="52"/>
      <c r="C520" s="21">
        <f t="shared" si="85"/>
        <v>1</v>
      </c>
      <c r="D520" s="634"/>
      <c r="E520" s="21">
        <f t="shared" si="86"/>
        <v>0.05</v>
      </c>
      <c r="F520" s="634"/>
      <c r="G520" s="21">
        <f t="shared" si="87"/>
        <v>1</v>
      </c>
      <c r="H520" s="634"/>
      <c r="I520" s="21">
        <f t="shared" si="88"/>
        <v>1</v>
      </c>
      <c r="J520" s="634"/>
      <c r="K520" s="21">
        <f t="shared" si="89"/>
        <v>1</v>
      </c>
      <c r="L520" s="634"/>
      <c r="M520" s="21">
        <f t="shared" si="90"/>
        <v>1</v>
      </c>
      <c r="N520" s="634"/>
      <c r="O520" s="21">
        <f t="shared" si="91"/>
        <v>1</v>
      </c>
      <c r="P520" s="634"/>
      <c r="Q520" s="21">
        <f t="shared" si="92"/>
        <v>0</v>
      </c>
      <c r="R520" s="21">
        <f t="shared" si="93"/>
        <v>0</v>
      </c>
      <c r="S520" s="307">
        <f t="shared" si="94"/>
        <v>0</v>
      </c>
    </row>
    <row r="521" spans="1:19">
      <c r="A521" s="142"/>
      <c r="B521" s="52"/>
      <c r="C521" s="21">
        <f t="shared" si="85"/>
        <v>1</v>
      </c>
      <c r="D521" s="634"/>
      <c r="E521" s="21">
        <f t="shared" si="86"/>
        <v>0.05</v>
      </c>
      <c r="F521" s="634"/>
      <c r="G521" s="21">
        <f t="shared" si="87"/>
        <v>1</v>
      </c>
      <c r="H521" s="634"/>
      <c r="I521" s="21">
        <f t="shared" si="88"/>
        <v>1</v>
      </c>
      <c r="J521" s="634"/>
      <c r="K521" s="21">
        <f t="shared" si="89"/>
        <v>1</v>
      </c>
      <c r="L521" s="634"/>
      <c r="M521" s="21">
        <f t="shared" si="90"/>
        <v>1</v>
      </c>
      <c r="N521" s="634"/>
      <c r="O521" s="21">
        <f t="shared" si="91"/>
        <v>1</v>
      </c>
      <c r="P521" s="634"/>
      <c r="Q521" s="21">
        <f t="shared" si="92"/>
        <v>0</v>
      </c>
      <c r="R521" s="21">
        <f t="shared" si="93"/>
        <v>0</v>
      </c>
      <c r="S521" s="307">
        <f t="shared" si="94"/>
        <v>0</v>
      </c>
    </row>
    <row r="522" spans="1:19">
      <c r="A522" s="142"/>
      <c r="B522" s="52"/>
      <c r="C522" s="21">
        <f t="shared" si="85"/>
        <v>1</v>
      </c>
      <c r="D522" s="634"/>
      <c r="E522" s="21">
        <f t="shared" si="86"/>
        <v>0.05</v>
      </c>
      <c r="F522" s="634"/>
      <c r="G522" s="21">
        <f t="shared" si="87"/>
        <v>1</v>
      </c>
      <c r="H522" s="634"/>
      <c r="I522" s="21">
        <f t="shared" si="88"/>
        <v>1</v>
      </c>
      <c r="J522" s="634"/>
      <c r="K522" s="21">
        <f t="shared" si="89"/>
        <v>1</v>
      </c>
      <c r="L522" s="634"/>
      <c r="M522" s="21">
        <f t="shared" si="90"/>
        <v>1</v>
      </c>
      <c r="N522" s="634"/>
      <c r="O522" s="21">
        <f t="shared" si="91"/>
        <v>1</v>
      </c>
      <c r="P522" s="634"/>
      <c r="Q522" s="21">
        <f t="shared" si="92"/>
        <v>0</v>
      </c>
      <c r="R522" s="21">
        <f t="shared" si="93"/>
        <v>0</v>
      </c>
      <c r="S522" s="307">
        <f t="shared" si="94"/>
        <v>0</v>
      </c>
    </row>
    <row r="523" spans="1:19">
      <c r="A523" s="142"/>
      <c r="B523" s="52"/>
      <c r="C523" s="21">
        <f t="shared" si="85"/>
        <v>1</v>
      </c>
      <c r="D523" s="634"/>
      <c r="E523" s="21">
        <f t="shared" si="86"/>
        <v>0.05</v>
      </c>
      <c r="F523" s="634"/>
      <c r="G523" s="21">
        <f t="shared" si="87"/>
        <v>1</v>
      </c>
      <c r="H523" s="634"/>
      <c r="I523" s="21">
        <f t="shared" si="88"/>
        <v>1</v>
      </c>
      <c r="J523" s="634"/>
      <c r="K523" s="21">
        <f t="shared" si="89"/>
        <v>1</v>
      </c>
      <c r="L523" s="634"/>
      <c r="M523" s="21">
        <f t="shared" si="90"/>
        <v>1</v>
      </c>
      <c r="N523" s="634"/>
      <c r="O523" s="21">
        <f t="shared" si="91"/>
        <v>1</v>
      </c>
      <c r="P523" s="634"/>
      <c r="Q523" s="21">
        <f t="shared" si="92"/>
        <v>0</v>
      </c>
      <c r="R523" s="21">
        <f t="shared" si="93"/>
        <v>0</v>
      </c>
      <c r="S523" s="307">
        <f t="shared" si="94"/>
        <v>0</v>
      </c>
    </row>
    <row r="524" spans="1:19">
      <c r="A524" s="142"/>
      <c r="B524" s="52"/>
      <c r="C524" s="21">
        <f t="shared" si="85"/>
        <v>1</v>
      </c>
      <c r="D524" s="634"/>
      <c r="E524" s="21">
        <f t="shared" si="86"/>
        <v>0.05</v>
      </c>
      <c r="F524" s="634"/>
      <c r="G524" s="21">
        <f t="shared" si="87"/>
        <v>1</v>
      </c>
      <c r="H524" s="634"/>
      <c r="I524" s="21">
        <f t="shared" si="88"/>
        <v>1</v>
      </c>
      <c r="J524" s="634"/>
      <c r="K524" s="21">
        <f t="shared" si="89"/>
        <v>1</v>
      </c>
      <c r="L524" s="634"/>
      <c r="M524" s="21">
        <f t="shared" si="90"/>
        <v>1</v>
      </c>
      <c r="N524" s="634"/>
      <c r="O524" s="21">
        <f t="shared" si="91"/>
        <v>1</v>
      </c>
      <c r="P524" s="634"/>
      <c r="Q524" s="21">
        <f t="shared" si="92"/>
        <v>0</v>
      </c>
      <c r="R524" s="21">
        <f t="shared" si="93"/>
        <v>0</v>
      </c>
      <c r="S524" s="307">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D20" xr:uid="{00000000-0002-0000-2700-000007000000}">
      <formula1>"需扣减承租人权益,——"</formula1>
    </dataValidation>
    <dataValidation type="list" allowBlank="1" showInputMessage="1" showErrorMessage="1" sqref="H20" xr:uid="{00000000-0002-0000-27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2079</v>
      </c>
      <c r="B1" s="4"/>
      <c r="C1" s="4"/>
      <c r="D1" s="4"/>
      <c r="E1" s="4"/>
      <c r="F1" s="2541"/>
      <c r="G1" s="2541"/>
      <c r="H1" s="2541"/>
      <c r="I1" s="2541"/>
      <c r="J1" s="2541"/>
      <c r="K1" s="2541"/>
      <c r="L1" s="2541"/>
      <c r="M1" s="2541"/>
      <c r="N1" s="2541"/>
      <c r="O1" s="2541"/>
      <c r="P1" s="2541"/>
    </row>
    <row r="2" spans="1:16" ht="15.75">
      <c r="A2" s="1982" t="s">
        <v>2071</v>
      </c>
      <c r="B2" s="2384">
        <f ca="1">SUMIF(B6:B13,"&lt;&gt;#ref!",B6:B13)</f>
        <v>17049</v>
      </c>
      <c r="C2" s="1982" t="s">
        <v>2072</v>
      </c>
      <c r="D2" s="1982" t="s">
        <v>2073</v>
      </c>
      <c r="E2" s="2394">
        <f ca="1">SUMIF(E6:E13,"&lt;&gt;#ref!",E6:E13)</f>
        <v>113.41</v>
      </c>
      <c r="F2" s="2541"/>
      <c r="G2" s="2541"/>
      <c r="H2" s="2541"/>
      <c r="I2" s="2541"/>
      <c r="J2" s="2541"/>
      <c r="K2" s="2541"/>
      <c r="L2" s="2541"/>
      <c r="M2" s="2541"/>
      <c r="N2" s="2541"/>
      <c r="O2" s="2541"/>
      <c r="P2" s="2541"/>
    </row>
    <row r="3" spans="1:16" ht="15.75">
      <c r="A3" s="1982" t="s">
        <v>2074</v>
      </c>
      <c r="B3" s="2384">
        <f ca="1">ROUND(B2*10000/E2,0)</f>
        <v>1503307</v>
      </c>
      <c r="C3" s="1982" t="s">
        <v>2080</v>
      </c>
      <c r="D3" s="2541"/>
      <c r="E3" s="2541"/>
      <c r="F3" s="2541"/>
      <c r="G3" s="2541"/>
      <c r="H3" s="2541"/>
      <c r="I3" s="2541"/>
      <c r="J3" s="2541"/>
      <c r="K3" s="2541"/>
      <c r="L3" s="2541"/>
      <c r="M3" s="2541"/>
      <c r="N3" s="2541"/>
      <c r="O3" s="2541"/>
      <c r="P3" s="2541"/>
    </row>
    <row r="4" spans="1:16" ht="15.75">
      <c r="A4" s="2553"/>
      <c r="B4" s="2541"/>
      <c r="C4" s="2541"/>
      <c r="D4" s="2541"/>
      <c r="E4" s="2541"/>
      <c r="F4" s="2541"/>
      <c r="G4" s="2541"/>
      <c r="H4" s="2541"/>
      <c r="I4" s="2541"/>
      <c r="J4" s="2541"/>
      <c r="K4" s="2541"/>
      <c r="L4" s="2541"/>
      <c r="M4" s="2541"/>
      <c r="N4" s="2541"/>
      <c r="O4" s="2541"/>
      <c r="P4" s="2541"/>
    </row>
    <row r="5" spans="1:16" ht="28.5">
      <c r="A5" s="2390" t="s">
        <v>2075</v>
      </c>
      <c r="B5" s="2392" t="s">
        <v>2076</v>
      </c>
      <c r="C5" s="1983"/>
      <c r="D5" s="2541"/>
      <c r="E5" s="2393" t="s">
        <v>2077</v>
      </c>
      <c r="F5" s="2541"/>
      <c r="G5" s="2541"/>
      <c r="H5" s="2541"/>
      <c r="I5" s="2541"/>
      <c r="J5" s="2541"/>
      <c r="K5" s="2541"/>
      <c r="L5" s="2541"/>
      <c r="M5" s="2541"/>
      <c r="N5" s="2541"/>
      <c r="O5" s="2541"/>
      <c r="P5" s="2541"/>
    </row>
    <row r="6" spans="1:16" ht="15.75">
      <c r="A6" s="2391" t="s">
        <v>2078</v>
      </c>
      <c r="B6" s="2384">
        <f ca="1">SUMIF(INDIRECT("'"&amp;A6&amp;"'"&amp;"!A:A"),"总价",INDIRECT("'"&amp;A6&amp;"'"&amp;"!B:B"))</f>
        <v>17049</v>
      </c>
      <c r="C6" s="1982" t="s">
        <v>2072</v>
      </c>
      <c r="D6" s="2541"/>
      <c r="E6" s="2394">
        <f ca="1">SUMIF(INDIRECT("'"&amp;A6&amp;"'"&amp;"!C:C"),"建筑面积",INDIRECT("'"&amp;A6&amp;"'"&amp;"!D:D"))</f>
        <v>113.41</v>
      </c>
      <c r="F6" s="2541"/>
      <c r="G6" s="2541"/>
      <c r="H6" s="2541"/>
      <c r="I6" s="2541"/>
      <c r="J6" s="2541"/>
      <c r="K6" s="2541"/>
      <c r="L6" s="2541"/>
      <c r="M6" s="2541"/>
      <c r="N6" s="2541"/>
      <c r="O6" s="2541"/>
      <c r="P6" s="2541"/>
    </row>
    <row r="7" spans="1:16" ht="15.75">
      <c r="A7" s="2391"/>
      <c r="B7" s="2384" t="e">
        <f ca="1">SUMIF(INDIRECT("'"&amp;A7&amp;"'"&amp;"!A:A"),"总价",INDIRECT("'"&amp;A7&amp;"'"&amp;"!B:B"))</f>
        <v>#REF!</v>
      </c>
      <c r="C7" s="1982" t="s">
        <v>2072</v>
      </c>
      <c r="D7" s="2541"/>
      <c r="E7" s="2394" t="e">
        <f t="shared" ref="E7:E13" ca="1" si="0">SUMIF(INDIRECT("'"&amp;A7&amp;"'"&amp;"!C:C"),"建筑面积",INDIRECT("'"&amp;A7&amp;"'"&amp;"!D:D"))</f>
        <v>#REF!</v>
      </c>
      <c r="F7" s="2541"/>
      <c r="G7" s="2541"/>
      <c r="H7" s="2541"/>
      <c r="I7" s="2541"/>
      <c r="J7" s="2541"/>
      <c r="K7" s="2541"/>
      <c r="L7" s="2541"/>
      <c r="M7" s="2541"/>
      <c r="N7" s="2541"/>
      <c r="O7" s="2541"/>
      <c r="P7" s="2541"/>
    </row>
    <row r="8" spans="1:16" ht="15.75">
      <c r="A8" s="2391"/>
      <c r="B8" s="2384" t="e">
        <f t="shared" ref="B8:B13" ca="1" si="1">SUMIF(INDIRECT("'"&amp;A8&amp;"'"&amp;"!A:A"),"总价",INDIRECT("'"&amp;A8&amp;"'"&amp;"!B:B"))</f>
        <v>#REF!</v>
      </c>
      <c r="C8" s="1982" t="s">
        <v>2072</v>
      </c>
      <c r="D8" s="2541"/>
      <c r="E8" s="2394" t="e">
        <f t="shared" ca="1" si="0"/>
        <v>#REF!</v>
      </c>
      <c r="F8" s="2541"/>
      <c r="G8" s="2541"/>
      <c r="H8" s="2541"/>
      <c r="I8" s="2541"/>
      <c r="J8" s="2541"/>
      <c r="K8" s="2541"/>
      <c r="L8" s="2541"/>
      <c r="M8" s="2541"/>
      <c r="N8" s="2541"/>
      <c r="O8" s="2541"/>
      <c r="P8" s="2541"/>
    </row>
    <row r="9" spans="1:16" ht="15.75">
      <c r="A9" s="2391"/>
      <c r="B9" s="2384" t="e">
        <f t="shared" ca="1" si="1"/>
        <v>#REF!</v>
      </c>
      <c r="C9" s="1982" t="s">
        <v>2072</v>
      </c>
      <c r="D9" s="2541"/>
      <c r="E9" s="2394" t="e">
        <f t="shared" ca="1" si="0"/>
        <v>#REF!</v>
      </c>
      <c r="F9" s="2541"/>
      <c r="G9" s="2541"/>
      <c r="H9" s="2541"/>
      <c r="I9" s="2541"/>
      <c r="J9" s="2541"/>
      <c r="K9" s="2541"/>
      <c r="L9" s="2541"/>
      <c r="M9" s="2541"/>
      <c r="N9" s="2541"/>
      <c r="O9" s="2541"/>
      <c r="P9" s="2541"/>
    </row>
    <row r="10" spans="1:16" ht="15.75">
      <c r="A10" s="2391"/>
      <c r="B10" s="2384" t="e">
        <f t="shared" ca="1" si="1"/>
        <v>#REF!</v>
      </c>
      <c r="C10" s="1982" t="s">
        <v>2072</v>
      </c>
      <c r="D10" s="2541"/>
      <c r="E10" s="2394" t="e">
        <f t="shared" ca="1" si="0"/>
        <v>#REF!</v>
      </c>
      <c r="F10" s="2541"/>
      <c r="G10" s="2541"/>
      <c r="H10" s="2541"/>
      <c r="I10" s="2541"/>
      <c r="J10" s="2541"/>
      <c r="K10" s="2541"/>
      <c r="L10" s="2541"/>
      <c r="M10" s="2541"/>
      <c r="N10" s="2541"/>
      <c r="O10" s="2541"/>
      <c r="P10" s="2541"/>
    </row>
    <row r="11" spans="1:16" ht="15.75">
      <c r="A11" s="2391"/>
      <c r="B11" s="2384" t="e">
        <f t="shared" ca="1" si="1"/>
        <v>#REF!</v>
      </c>
      <c r="C11" s="1982" t="s">
        <v>2072</v>
      </c>
      <c r="D11" s="2541"/>
      <c r="E11" s="2394" t="e">
        <f t="shared" ca="1" si="0"/>
        <v>#REF!</v>
      </c>
      <c r="F11" s="2541"/>
      <c r="G11" s="2541"/>
      <c r="H11" s="2541"/>
      <c r="I11" s="2541"/>
      <c r="J11" s="2541"/>
      <c r="K11" s="2541"/>
      <c r="L11" s="2541"/>
      <c r="M11" s="2541"/>
      <c r="N11" s="2541"/>
      <c r="O11" s="2541"/>
      <c r="P11" s="2541"/>
    </row>
    <row r="12" spans="1:16" ht="15.75">
      <c r="A12" s="2391"/>
      <c r="B12" s="2384" t="e">
        <f t="shared" ca="1" si="1"/>
        <v>#REF!</v>
      </c>
      <c r="C12" s="1982" t="s">
        <v>2072</v>
      </c>
      <c r="D12" s="2541"/>
      <c r="E12" s="2394" t="e">
        <f t="shared" ca="1" si="0"/>
        <v>#REF!</v>
      </c>
      <c r="F12" s="2541"/>
      <c r="G12" s="2541"/>
      <c r="H12" s="2541"/>
      <c r="I12" s="2541"/>
      <c r="J12" s="2541"/>
      <c r="K12" s="2541"/>
      <c r="L12" s="2541"/>
      <c r="M12" s="2541"/>
      <c r="N12" s="2541"/>
      <c r="O12" s="2541"/>
      <c r="P12" s="2541"/>
    </row>
    <row r="13" spans="1:16" ht="15.75">
      <c r="A13" s="2391"/>
      <c r="B13" s="2384" t="e">
        <f t="shared" ca="1" si="1"/>
        <v>#REF!</v>
      </c>
      <c r="C13" s="1982" t="s">
        <v>2072</v>
      </c>
      <c r="D13" s="2541"/>
      <c r="E13" s="2394"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5" type="noConversion"/>
  <dataValidations count="1">
    <dataValidation type="list" allowBlank="1" showInputMessage="1" showErrorMessage="1" sqref="A6:A13" xr:uid="{00000000-0002-0000-28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topLeftCell="A79" zoomScale="70" zoomScaleNormal="70" workbookViewId="0">
      <selection activeCell="H18" sqref="H18"/>
    </sheetView>
  </sheetViews>
  <sheetFormatPr defaultColWidth="8.25" defaultRowHeight="19.5" customHeight="1"/>
  <cols>
    <col min="1" max="13" width="15.25" style="2810" customWidth="1"/>
    <col min="14" max="14" width="10" style="2810" customWidth="1"/>
    <col min="15" max="16" width="8.25" style="2810"/>
    <col min="17" max="17" width="34.125" style="2810" customWidth="1"/>
    <col min="18" max="18" width="8.25" style="2810" customWidth="1"/>
    <col min="19" max="19" width="8.25" style="2810"/>
    <col min="20" max="20" width="11.625" style="2810" customWidth="1"/>
    <col min="21" max="16384" width="8.25" style="2810"/>
  </cols>
  <sheetData>
    <row r="1" spans="1:13" ht="19.5" customHeight="1" thickBot="1">
      <c r="A1" s="2807" t="s">
        <v>2581</v>
      </c>
      <c r="B1" s="2808" t="s">
        <v>2582</v>
      </c>
      <c r="C1" s="2808" t="s">
        <v>2583</v>
      </c>
      <c r="D1" s="2808" t="s">
        <v>2584</v>
      </c>
      <c r="E1" s="2808" t="s">
        <v>2585</v>
      </c>
      <c r="F1" s="2808" t="s">
        <v>2586</v>
      </c>
      <c r="G1" s="2808" t="s">
        <v>2587</v>
      </c>
      <c r="H1" s="2808" t="s">
        <v>2588</v>
      </c>
      <c r="I1" s="2808" t="s">
        <v>2589</v>
      </c>
      <c r="J1" s="2808" t="s">
        <v>2590</v>
      </c>
      <c r="K1" s="2808" t="s">
        <v>2591</v>
      </c>
      <c r="L1" s="2808" t="s">
        <v>2592</v>
      </c>
      <c r="M1" s="2809" t="s">
        <v>2593</v>
      </c>
    </row>
    <row r="2" spans="1:13" ht="19.5" customHeight="1">
      <c r="A2" s="2811" t="s">
        <v>2594</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2595</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2596</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2597</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2598</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2599</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2600</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2601</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2602</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2603</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2604</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2605</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2606</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2607</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2608</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2609</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2610</v>
      </c>
      <c r="B18" s="2833"/>
      <c r="C18" s="2834"/>
      <c r="D18" s="2834"/>
      <c r="E18" s="2833"/>
      <c r="F18" s="2834"/>
      <c r="G18" s="2834"/>
    </row>
    <row r="19" spans="1:13" ht="19.5" customHeight="1" thickBot="1">
      <c r="A19" s="2831" t="s">
        <v>2611</v>
      </c>
      <c r="B19" s="2836" t="s">
        <v>2612</v>
      </c>
      <c r="C19" s="2836" t="s">
        <v>2613</v>
      </c>
      <c r="D19" s="2837"/>
      <c r="E19" s="2831" t="s">
        <v>2614</v>
      </c>
      <c r="F19" s="2838"/>
      <c r="G19" s="2838"/>
    </row>
    <row r="20" spans="1:13" ht="19.5" customHeight="1">
      <c r="A20" s="3508" t="s">
        <v>2594</v>
      </c>
      <c r="B20" s="3503" t="s">
        <v>2615</v>
      </c>
      <c r="C20" s="2839" t="s">
        <v>2426</v>
      </c>
      <c r="D20" s="2840"/>
      <c r="E20" s="2841">
        <v>1</v>
      </c>
      <c r="F20" s="2842" t="s">
        <v>2427</v>
      </c>
      <c r="G20" s="2842"/>
    </row>
    <row r="21" spans="1:13" ht="19.5" customHeight="1">
      <c r="A21" s="3509"/>
      <c r="B21" s="3502"/>
      <c r="C21" s="2843" t="s">
        <v>2428</v>
      </c>
      <c r="D21" s="2844"/>
      <c r="E21" s="2845">
        <v>1</v>
      </c>
      <c r="F21" s="2842" t="s">
        <v>2429</v>
      </c>
      <c r="G21" s="2842"/>
    </row>
    <row r="22" spans="1:13" ht="19.5" customHeight="1">
      <c r="A22" s="3509"/>
      <c r="B22" s="3502"/>
      <c r="C22" s="2843" t="s">
        <v>2430</v>
      </c>
      <c r="D22" s="2844"/>
      <c r="E22" s="2845">
        <v>0.9</v>
      </c>
      <c r="F22" s="2842" t="s">
        <v>2431</v>
      </c>
      <c r="G22" s="2842"/>
    </row>
    <row r="23" spans="1:13" ht="19.5" customHeight="1">
      <c r="A23" s="3509"/>
      <c r="B23" s="3502"/>
      <c r="C23" s="2843" t="s">
        <v>2432</v>
      </c>
      <c r="D23" s="2844"/>
      <c r="E23" s="2845">
        <v>0.9</v>
      </c>
      <c r="F23" s="2842" t="s">
        <v>2433</v>
      </c>
      <c r="G23" s="2842"/>
    </row>
    <row r="24" spans="1:13" ht="19.5" customHeight="1">
      <c r="A24" s="3509"/>
      <c r="B24" s="3502"/>
      <c r="C24" s="2843" t="s">
        <v>2434</v>
      </c>
      <c r="D24" s="2844"/>
      <c r="E24" s="2845">
        <v>0.8</v>
      </c>
      <c r="F24" s="2842" t="s">
        <v>2435</v>
      </c>
      <c r="G24" s="2842"/>
    </row>
    <row r="25" spans="1:13" ht="19.5" customHeight="1" thickBot="1">
      <c r="A25" s="3510"/>
      <c r="B25" s="3504"/>
      <c r="C25" s="2846" t="s">
        <v>2436</v>
      </c>
      <c r="D25" s="2847"/>
      <c r="E25" s="2848">
        <v>0.8</v>
      </c>
      <c r="F25" s="2842" t="s">
        <v>2437</v>
      </c>
      <c r="G25" s="2842"/>
    </row>
    <row r="26" spans="1:13" ht="19.5" customHeight="1" thickBot="1">
      <c r="A26" s="2849" t="s">
        <v>2616</v>
      </c>
      <c r="B26" s="2850" t="s">
        <v>2615</v>
      </c>
      <c r="C26" s="2851" t="s">
        <v>2617</v>
      </c>
      <c r="D26" s="2852"/>
      <c r="E26" s="2853">
        <v>1</v>
      </c>
      <c r="F26" s="2842" t="s">
        <v>2438</v>
      </c>
      <c r="G26" s="2842"/>
    </row>
    <row r="27" spans="1:13" ht="19.5" customHeight="1">
      <c r="A27" s="3505" t="s">
        <v>2618</v>
      </c>
      <c r="B27" s="3503" t="s">
        <v>2599</v>
      </c>
      <c r="C27" s="2839" t="s">
        <v>2439</v>
      </c>
      <c r="D27" s="2840"/>
      <c r="E27" s="2841">
        <v>1</v>
      </c>
      <c r="F27" s="2842" t="s">
        <v>2440</v>
      </c>
      <c r="G27" s="2842"/>
    </row>
    <row r="28" spans="1:13" ht="19.5" customHeight="1">
      <c r="A28" s="3506"/>
      <c r="B28" s="3502"/>
      <c r="C28" s="2843" t="s">
        <v>2441</v>
      </c>
      <c r="D28" s="2844"/>
      <c r="E28" s="2845">
        <v>1</v>
      </c>
      <c r="F28" s="2842" t="s">
        <v>2442</v>
      </c>
      <c r="G28" s="2842"/>
    </row>
    <row r="29" spans="1:13" ht="19.5" customHeight="1">
      <c r="A29" s="3506"/>
      <c r="B29" s="3502"/>
      <c r="C29" s="2843" t="s">
        <v>2443</v>
      </c>
      <c r="D29" s="2844"/>
      <c r="E29" s="2845">
        <v>0.8</v>
      </c>
      <c r="F29" s="2842" t="s">
        <v>2444</v>
      </c>
      <c r="G29" s="2842"/>
    </row>
    <row r="30" spans="1:13" ht="19.5" customHeight="1">
      <c r="A30" s="3506"/>
      <c r="B30" s="3502"/>
      <c r="C30" s="2843" t="s">
        <v>2445</v>
      </c>
      <c r="D30" s="2844"/>
      <c r="E30" s="2845">
        <v>0.8</v>
      </c>
      <c r="F30" s="2842" t="s">
        <v>2446</v>
      </c>
      <c r="G30" s="2842"/>
    </row>
    <row r="31" spans="1:13" ht="19.5" customHeight="1">
      <c r="A31" s="3506"/>
      <c r="B31" s="3502"/>
      <c r="C31" s="2843" t="s">
        <v>2447</v>
      </c>
      <c r="D31" s="2844"/>
      <c r="E31" s="2845">
        <v>0.8</v>
      </c>
      <c r="F31" s="2842" t="s">
        <v>2448</v>
      </c>
      <c r="G31" s="2842"/>
    </row>
    <row r="32" spans="1:13" ht="19.5" customHeight="1">
      <c r="A32" s="3506"/>
      <c r="B32" s="3502"/>
      <c r="C32" s="2843" t="s">
        <v>2449</v>
      </c>
      <c r="D32" s="2844"/>
      <c r="E32" s="2845">
        <v>0.7</v>
      </c>
      <c r="F32" s="2842" t="s">
        <v>2450</v>
      </c>
      <c r="G32" s="2842"/>
    </row>
    <row r="33" spans="1:7" ht="19.5" customHeight="1">
      <c r="A33" s="3506"/>
      <c r="B33" s="3502"/>
      <c r="C33" s="2843" t="s">
        <v>2451</v>
      </c>
      <c r="D33" s="2844"/>
      <c r="E33" s="2845">
        <v>0.8</v>
      </c>
      <c r="F33" s="2842" t="s">
        <v>2452</v>
      </c>
      <c r="G33" s="2842"/>
    </row>
    <row r="34" spans="1:7" ht="19.5" customHeight="1">
      <c r="A34" s="3506"/>
      <c r="B34" s="3502"/>
      <c r="C34" s="2843" t="s">
        <v>2453</v>
      </c>
      <c r="D34" s="2844"/>
      <c r="E34" s="2845">
        <v>0.6</v>
      </c>
      <c r="F34" s="2842" t="s">
        <v>2454</v>
      </c>
      <c r="G34" s="2842"/>
    </row>
    <row r="35" spans="1:7" ht="19.5" customHeight="1">
      <c r="A35" s="3506"/>
      <c r="B35" s="3502"/>
      <c r="C35" s="2843" t="s">
        <v>2455</v>
      </c>
      <c r="D35" s="2844"/>
      <c r="E35" s="2845">
        <v>0.2</v>
      </c>
      <c r="F35" s="2842" t="s">
        <v>2456</v>
      </c>
      <c r="G35" s="2842"/>
    </row>
    <row r="36" spans="1:7" ht="19.5" customHeight="1">
      <c r="A36" s="3506"/>
      <c r="B36" s="3502"/>
      <c r="C36" s="2843" t="s">
        <v>2457</v>
      </c>
      <c r="D36" s="2844"/>
      <c r="E36" s="2845">
        <v>0.2</v>
      </c>
      <c r="F36" s="2842" t="s">
        <v>2458</v>
      </c>
      <c r="G36" s="2842"/>
    </row>
    <row r="37" spans="1:7" ht="19.5" customHeight="1">
      <c r="A37" s="3506"/>
      <c r="B37" s="3500" t="s">
        <v>2619</v>
      </c>
      <c r="C37" s="2843" t="s">
        <v>2459</v>
      </c>
      <c r="D37" s="2844"/>
      <c r="E37" s="2845">
        <v>0.6</v>
      </c>
      <c r="F37" s="2842" t="s">
        <v>2460</v>
      </c>
      <c r="G37" s="2842"/>
    </row>
    <row r="38" spans="1:7" ht="19.5" customHeight="1">
      <c r="A38" s="3506"/>
      <c r="B38" s="3502"/>
      <c r="C38" s="2843" t="s">
        <v>2461</v>
      </c>
      <c r="D38" s="2844"/>
      <c r="E38" s="2845">
        <v>0.6</v>
      </c>
      <c r="F38" s="2842" t="s">
        <v>2462</v>
      </c>
      <c r="G38" s="2842"/>
    </row>
    <row r="39" spans="1:7" ht="19.5" customHeight="1" thickBot="1">
      <c r="A39" s="3507"/>
      <c r="B39" s="3504"/>
      <c r="C39" s="2846" t="s">
        <v>2463</v>
      </c>
      <c r="D39" s="2847"/>
      <c r="E39" s="2848">
        <v>0.6</v>
      </c>
      <c r="F39" s="2842" t="s">
        <v>2464</v>
      </c>
      <c r="G39" s="2842"/>
    </row>
    <row r="40" spans="1:7" ht="19.5" customHeight="1" thickBot="1">
      <c r="A40" s="2849" t="s">
        <v>2596</v>
      </c>
      <c r="B40" s="2850" t="s">
        <v>2596</v>
      </c>
      <c r="C40" s="2851" t="s">
        <v>2620</v>
      </c>
      <c r="D40" s="2852"/>
      <c r="E40" s="2853">
        <v>1</v>
      </c>
      <c r="F40" s="2842" t="s">
        <v>2465</v>
      </c>
      <c r="G40" s="2842"/>
    </row>
    <row r="41" spans="1:7" ht="19.5" customHeight="1">
      <c r="A41" s="3508" t="s">
        <v>2597</v>
      </c>
      <c r="B41" s="3503" t="s">
        <v>2621</v>
      </c>
      <c r="C41" s="2839" t="s">
        <v>2466</v>
      </c>
      <c r="D41" s="2840"/>
      <c r="E41" s="2841">
        <v>1</v>
      </c>
      <c r="F41" s="2842" t="s">
        <v>2467</v>
      </c>
      <c r="G41" s="2842"/>
    </row>
    <row r="42" spans="1:7" ht="19.5" customHeight="1">
      <c r="A42" s="3509"/>
      <c r="B42" s="3502"/>
      <c r="C42" s="2843" t="s">
        <v>2468</v>
      </c>
      <c r="D42" s="2844"/>
      <c r="E42" s="2845">
        <v>1</v>
      </c>
      <c r="F42" s="2842" t="s">
        <v>2469</v>
      </c>
      <c r="G42" s="2842"/>
    </row>
    <row r="43" spans="1:7" ht="19.5" customHeight="1">
      <c r="A43" s="3509"/>
      <c r="B43" s="3501"/>
      <c r="C43" s="2843" t="s">
        <v>2470</v>
      </c>
      <c r="D43" s="2844"/>
      <c r="E43" s="2845">
        <v>1.5</v>
      </c>
      <c r="F43" s="2842" t="s">
        <v>2471</v>
      </c>
      <c r="G43" s="2842"/>
    </row>
    <row r="44" spans="1:7" ht="19.5" customHeight="1">
      <c r="A44" s="3509"/>
      <c r="B44" s="2854" t="s">
        <v>2622</v>
      </c>
      <c r="C44" s="2843" t="s">
        <v>2623</v>
      </c>
      <c r="D44" s="2844"/>
      <c r="E44" s="2845">
        <v>2</v>
      </c>
      <c r="F44" s="2842" t="s">
        <v>2472</v>
      </c>
      <c r="G44" s="2842"/>
    </row>
    <row r="45" spans="1:7" ht="19.5" customHeight="1">
      <c r="A45" s="3509"/>
      <c r="B45" s="3500" t="s">
        <v>2624</v>
      </c>
      <c r="C45" s="2843" t="s">
        <v>2473</v>
      </c>
      <c r="D45" s="2844"/>
      <c r="E45" s="2845">
        <v>1</v>
      </c>
      <c r="F45" s="2842" t="s">
        <v>2474</v>
      </c>
      <c r="G45" s="2842"/>
    </row>
    <row r="46" spans="1:7" ht="19.5" customHeight="1">
      <c r="A46" s="3509"/>
      <c r="B46" s="3502"/>
      <c r="C46" s="2843" t="s">
        <v>2475</v>
      </c>
      <c r="D46" s="2844"/>
      <c r="E46" s="2845">
        <v>1</v>
      </c>
      <c r="F46" s="2842" t="s">
        <v>2476</v>
      </c>
      <c r="G46" s="2842"/>
    </row>
    <row r="47" spans="1:7" ht="19.5" customHeight="1">
      <c r="A47" s="3509"/>
      <c r="B47" s="3502"/>
      <c r="C47" s="2843" t="s">
        <v>2477</v>
      </c>
      <c r="D47" s="2844"/>
      <c r="E47" s="2845">
        <v>1</v>
      </c>
      <c r="F47" s="2842" t="s">
        <v>2478</v>
      </c>
      <c r="G47" s="2842"/>
    </row>
    <row r="48" spans="1:7" ht="19.5" customHeight="1">
      <c r="A48" s="3509"/>
      <c r="B48" s="3502"/>
      <c r="C48" s="2843" t="s">
        <v>2479</v>
      </c>
      <c r="D48" s="2844"/>
      <c r="E48" s="2845">
        <v>1</v>
      </c>
      <c r="F48" s="2842" t="s">
        <v>2480</v>
      </c>
      <c r="G48" s="2842"/>
    </row>
    <row r="49" spans="1:7" ht="19.5" customHeight="1">
      <c r="A49" s="3509"/>
      <c r="B49" s="3502"/>
      <c r="C49" s="2843" t="s">
        <v>2481</v>
      </c>
      <c r="D49" s="2844"/>
      <c r="E49" s="2845">
        <v>1</v>
      </c>
      <c r="F49" s="2842" t="s">
        <v>2482</v>
      </c>
      <c r="G49" s="2842"/>
    </row>
    <row r="50" spans="1:7" ht="19.5" customHeight="1">
      <c r="A50" s="3509"/>
      <c r="B50" s="3502"/>
      <c r="C50" s="2843" t="s">
        <v>2483</v>
      </c>
      <c r="D50" s="2844"/>
      <c r="E50" s="2845">
        <v>1</v>
      </c>
      <c r="F50" s="2842" t="s">
        <v>2484</v>
      </c>
      <c r="G50" s="2842"/>
    </row>
    <row r="51" spans="1:7" ht="19.5" customHeight="1" thickBot="1">
      <c r="A51" s="3510"/>
      <c r="B51" s="3504"/>
      <c r="C51" s="2846" t="s">
        <v>2485</v>
      </c>
      <c r="D51" s="2847"/>
      <c r="E51" s="2848">
        <v>1</v>
      </c>
      <c r="F51" s="2842" t="s">
        <v>2486</v>
      </c>
      <c r="G51" s="2842"/>
    </row>
    <row r="52" spans="1:7" ht="19.5" customHeight="1">
      <c r="A52" s="2855"/>
      <c r="B52" s="2855"/>
      <c r="C52" s="2855"/>
      <c r="D52" s="2855"/>
      <c r="E52" s="2855"/>
      <c r="F52" s="2855"/>
      <c r="G52" s="2855"/>
    </row>
    <row r="54" spans="1:7" ht="19.5" customHeight="1">
      <c r="A54" s="2856"/>
      <c r="B54" s="2828" t="s">
        <v>2625</v>
      </c>
      <c r="C54" s="2828" t="s">
        <v>2625</v>
      </c>
      <c r="D54" s="2828" t="s">
        <v>2625</v>
      </c>
      <c r="E54" s="2831" t="s">
        <v>2625</v>
      </c>
      <c r="F54" s="2831" t="s">
        <v>2626</v>
      </c>
      <c r="G54" s="2831" t="s">
        <v>2627</v>
      </c>
    </row>
    <row r="55" spans="1:7" ht="19.5" customHeight="1">
      <c r="A55" s="2857"/>
      <c r="B55" s="2831" t="s">
        <v>2594</v>
      </c>
      <c r="C55" s="2831" t="s">
        <v>2594</v>
      </c>
      <c r="D55" s="2831" t="s">
        <v>2594</v>
      </c>
      <c r="E55" s="2828" t="s">
        <v>2595</v>
      </c>
      <c r="F55" s="2828" t="s">
        <v>2597</v>
      </c>
      <c r="G55" s="2828" t="s">
        <v>2628</v>
      </c>
    </row>
    <row r="56" spans="1:7" ht="19.5" customHeight="1">
      <c r="A56" s="2858"/>
      <c r="B56" s="2828">
        <v>1</v>
      </c>
      <c r="C56" s="2828">
        <v>2</v>
      </c>
      <c r="D56" s="2828">
        <v>3</v>
      </c>
      <c r="E56" s="2859" t="s">
        <v>2629</v>
      </c>
      <c r="F56" s="2859" t="s">
        <v>2629</v>
      </c>
      <c r="G56" s="2859" t="s">
        <v>2629</v>
      </c>
    </row>
    <row r="57" spans="1:7" ht="19.5" customHeight="1">
      <c r="A57" s="2860" t="s">
        <v>2582</v>
      </c>
      <c r="B57" s="2828">
        <v>0.7</v>
      </c>
      <c r="C57" s="2828">
        <v>0.4</v>
      </c>
      <c r="D57" s="2828">
        <v>0.3</v>
      </c>
      <c r="E57" s="2859">
        <v>0.3</v>
      </c>
      <c r="F57" s="2828">
        <v>0.3</v>
      </c>
      <c r="G57" s="2828">
        <v>0.2</v>
      </c>
    </row>
    <row r="58" spans="1:7" ht="19.5" customHeight="1">
      <c r="A58" s="2860" t="s">
        <v>2583</v>
      </c>
      <c r="B58" s="2828">
        <v>0.7</v>
      </c>
      <c r="C58" s="2828">
        <v>0.4</v>
      </c>
      <c r="D58" s="2828">
        <v>0.3</v>
      </c>
      <c r="E58" s="2828">
        <v>0.3</v>
      </c>
      <c r="F58" s="2828">
        <v>0.3</v>
      </c>
      <c r="G58" s="2828">
        <v>0.2</v>
      </c>
    </row>
    <row r="59" spans="1:7" ht="19.5" customHeight="1">
      <c r="A59" s="2860" t="s">
        <v>2584</v>
      </c>
      <c r="B59" s="2828">
        <v>0.6</v>
      </c>
      <c r="C59" s="2828">
        <v>0.3</v>
      </c>
      <c r="D59" s="2828">
        <v>0.25</v>
      </c>
      <c r="E59" s="2828">
        <v>0.25</v>
      </c>
      <c r="F59" s="2828">
        <v>0.25</v>
      </c>
      <c r="G59" s="2828">
        <v>0.15</v>
      </c>
    </row>
    <row r="60" spans="1:7" ht="19.5" customHeight="1">
      <c r="A60" s="2860" t="s">
        <v>2585</v>
      </c>
      <c r="B60" s="2828">
        <v>0.6</v>
      </c>
      <c r="C60" s="2828">
        <v>0.3</v>
      </c>
      <c r="D60" s="2828">
        <v>0.25</v>
      </c>
      <c r="E60" s="2828">
        <v>0.25</v>
      </c>
      <c r="F60" s="2828">
        <v>0.25</v>
      </c>
      <c r="G60" s="2828">
        <v>0.15</v>
      </c>
    </row>
    <row r="61" spans="1:7" ht="19.5" customHeight="1">
      <c r="A61" s="2860" t="s">
        <v>2586</v>
      </c>
      <c r="B61" s="2828">
        <v>0.6</v>
      </c>
      <c r="C61" s="2828">
        <v>0.3</v>
      </c>
      <c r="D61" s="2828">
        <v>0.25</v>
      </c>
      <c r="E61" s="2828">
        <v>0.25</v>
      </c>
      <c r="F61" s="2828">
        <v>0.25</v>
      </c>
      <c r="G61" s="2828">
        <v>0.15</v>
      </c>
    </row>
    <row r="62" spans="1:7" ht="19.5" customHeight="1">
      <c r="A62" s="2860" t="s">
        <v>2587</v>
      </c>
      <c r="B62" s="2828">
        <v>0.6</v>
      </c>
      <c r="C62" s="2828">
        <v>0.3</v>
      </c>
      <c r="D62" s="2828">
        <v>0.25</v>
      </c>
      <c r="E62" s="2828">
        <v>0.25</v>
      </c>
      <c r="F62" s="2828">
        <v>0.25</v>
      </c>
      <c r="G62" s="2828">
        <v>0.15</v>
      </c>
    </row>
    <row r="63" spans="1:7" ht="19.5" customHeight="1">
      <c r="A63" s="2860" t="s">
        <v>2588</v>
      </c>
      <c r="B63" s="2828">
        <v>0.6</v>
      </c>
      <c r="C63" s="2828">
        <v>0.3</v>
      </c>
      <c r="D63" s="2828">
        <v>0.25</v>
      </c>
      <c r="E63" s="2828">
        <v>0.25</v>
      </c>
      <c r="F63" s="2828">
        <v>0.25</v>
      </c>
      <c r="G63" s="2828">
        <v>0.15</v>
      </c>
    </row>
    <row r="64" spans="1:7" ht="19.5" customHeight="1">
      <c r="A64" s="2860" t="s">
        <v>2589</v>
      </c>
      <c r="B64" s="2828">
        <v>0.5</v>
      </c>
      <c r="C64" s="2828">
        <v>0.2</v>
      </c>
      <c r="D64" s="2828">
        <v>0.2</v>
      </c>
      <c r="E64" s="2828">
        <v>0.2</v>
      </c>
      <c r="F64" s="2828">
        <v>0.2</v>
      </c>
      <c r="G64" s="2828">
        <v>0.1</v>
      </c>
    </row>
    <row r="65" spans="1:7" ht="19.5" customHeight="1">
      <c r="A65" s="2860" t="s">
        <v>2590</v>
      </c>
      <c r="B65" s="2828">
        <v>0.5</v>
      </c>
      <c r="C65" s="2828">
        <v>0.2</v>
      </c>
      <c r="D65" s="2828">
        <v>0.2</v>
      </c>
      <c r="E65" s="2828">
        <v>0.2</v>
      </c>
      <c r="F65" s="2828">
        <v>0.2</v>
      </c>
      <c r="G65" s="2828">
        <v>0.1</v>
      </c>
    </row>
    <row r="66" spans="1:7" ht="19.5" customHeight="1">
      <c r="A66" s="2860" t="s">
        <v>2591</v>
      </c>
      <c r="B66" s="2828">
        <v>0.5</v>
      </c>
      <c r="C66" s="2828">
        <v>0.2</v>
      </c>
      <c r="D66" s="2828">
        <v>0.2</v>
      </c>
      <c r="E66" s="2828">
        <v>0.2</v>
      </c>
      <c r="F66" s="2828">
        <v>0.2</v>
      </c>
      <c r="G66" s="2828">
        <v>0.1</v>
      </c>
    </row>
    <row r="67" spans="1:7" ht="19.5" customHeight="1">
      <c r="A67" s="2860" t="s">
        <v>2592</v>
      </c>
      <c r="B67" s="2828">
        <v>0.5</v>
      </c>
      <c r="C67" s="2828">
        <v>0.2</v>
      </c>
      <c r="D67" s="2828">
        <v>0.2</v>
      </c>
      <c r="E67" s="2828">
        <v>0.2</v>
      </c>
      <c r="F67" s="2828">
        <v>0.2</v>
      </c>
      <c r="G67" s="2828">
        <v>0.1</v>
      </c>
    </row>
    <row r="68" spans="1:7" ht="19.5" customHeight="1">
      <c r="A68" s="2860" t="s">
        <v>2593</v>
      </c>
      <c r="B68" s="2828">
        <v>0.5</v>
      </c>
      <c r="C68" s="2828">
        <v>0.2</v>
      </c>
      <c r="D68" s="2828">
        <v>0.2</v>
      </c>
      <c r="E68" s="2828">
        <v>0.2</v>
      </c>
      <c r="F68" s="2828">
        <v>0.2</v>
      </c>
      <c r="G68" s="2828">
        <v>0.1</v>
      </c>
    </row>
    <row r="70" spans="1:7" ht="19.5" customHeight="1">
      <c r="A70" s="2842"/>
      <c r="B70" s="2861"/>
      <c r="C70" s="2861"/>
      <c r="D70" s="2861" t="s">
        <v>2630</v>
      </c>
      <c r="E70" s="2861"/>
      <c r="F70" s="2861"/>
    </row>
    <row r="71" spans="1:7" ht="19.5" customHeight="1">
      <c r="A71" s="2854" t="s">
        <v>2631</v>
      </c>
      <c r="B71" s="2854" t="s">
        <v>2632</v>
      </c>
      <c r="C71" s="2854" t="s">
        <v>2633</v>
      </c>
      <c r="D71" s="2854" t="s">
        <v>2634</v>
      </c>
      <c r="E71" s="2854" t="s">
        <v>2635</v>
      </c>
      <c r="F71" s="2854" t="s">
        <v>2636</v>
      </c>
    </row>
    <row r="72" spans="1:7" ht="13.5">
      <c r="A72" s="2854"/>
      <c r="B72" s="2854"/>
      <c r="C72" s="2854" t="s">
        <v>2637</v>
      </c>
      <c r="D72" s="2854"/>
      <c r="E72" s="2854" t="s">
        <v>2608</v>
      </c>
      <c r="F72" s="2854" t="s">
        <v>2608</v>
      </c>
    </row>
    <row r="73" spans="1:7" ht="13.5">
      <c r="A73" s="2854">
        <v>1</v>
      </c>
      <c r="B73" s="3500" t="s">
        <v>2638</v>
      </c>
      <c r="C73" s="2828" t="s">
        <v>2639</v>
      </c>
      <c r="D73" s="2828" t="s">
        <v>2640</v>
      </c>
      <c r="E73" s="2854">
        <v>0.2</v>
      </c>
      <c r="F73" s="2854">
        <v>25</v>
      </c>
    </row>
    <row r="74" spans="1:7" ht="24">
      <c r="A74" s="2854">
        <v>2</v>
      </c>
      <c r="B74" s="3502"/>
      <c r="C74" s="2828" t="s">
        <v>2641</v>
      </c>
      <c r="D74" s="2828" t="s">
        <v>2642</v>
      </c>
      <c r="E74" s="2854">
        <v>0.2</v>
      </c>
      <c r="F74" s="2854">
        <v>25</v>
      </c>
    </row>
    <row r="75" spans="1:7" ht="24">
      <c r="A75" s="2854">
        <v>3</v>
      </c>
      <c r="B75" s="3502"/>
      <c r="C75" s="2828" t="s">
        <v>2643</v>
      </c>
      <c r="D75" s="2828" t="s">
        <v>2644</v>
      </c>
      <c r="E75" s="2854">
        <v>0.2</v>
      </c>
      <c r="F75" s="2854">
        <v>25</v>
      </c>
    </row>
    <row r="76" spans="1:7" ht="13.5">
      <c r="A76" s="2854">
        <v>4</v>
      </c>
      <c r="B76" s="3502"/>
      <c r="C76" s="2828" t="s">
        <v>2645</v>
      </c>
      <c r="D76" s="2828" t="s">
        <v>2646</v>
      </c>
      <c r="E76" s="2854">
        <v>0.15</v>
      </c>
      <c r="F76" s="2854">
        <v>20</v>
      </c>
    </row>
    <row r="77" spans="1:7" ht="24">
      <c r="A77" s="2854">
        <v>5</v>
      </c>
      <c r="B77" s="3502"/>
      <c r="C77" s="2828" t="s">
        <v>2647</v>
      </c>
      <c r="D77" s="2828" t="s">
        <v>2648</v>
      </c>
      <c r="E77" s="2854">
        <v>0.15</v>
      </c>
      <c r="F77" s="2854">
        <v>20</v>
      </c>
    </row>
    <row r="78" spans="1:7" ht="24">
      <c r="A78" s="2854">
        <v>6</v>
      </c>
      <c r="B78" s="3502"/>
      <c r="C78" s="2828" t="s">
        <v>2649</v>
      </c>
      <c r="D78" s="2828" t="s">
        <v>2650</v>
      </c>
      <c r="E78" s="2854">
        <v>0.15</v>
      </c>
      <c r="F78" s="2854">
        <v>20</v>
      </c>
    </row>
    <row r="79" spans="1:7" ht="24">
      <c r="A79" s="2854">
        <v>7</v>
      </c>
      <c r="B79" s="3502"/>
      <c r="C79" s="2828" t="s">
        <v>2651</v>
      </c>
      <c r="D79" s="2828" t="s">
        <v>2652</v>
      </c>
      <c r="E79" s="2854">
        <v>0.15</v>
      </c>
      <c r="F79" s="2854">
        <v>20</v>
      </c>
    </row>
    <row r="80" spans="1:7" ht="24">
      <c r="A80" s="2854">
        <v>8</v>
      </c>
      <c r="B80" s="3502"/>
      <c r="C80" s="2828" t="s">
        <v>2653</v>
      </c>
      <c r="D80" s="2828" t="s">
        <v>2654</v>
      </c>
      <c r="E80" s="2854">
        <v>0.1</v>
      </c>
      <c r="F80" s="2854">
        <v>15</v>
      </c>
    </row>
    <row r="81" spans="1:6" ht="24">
      <c r="A81" s="2854">
        <v>9</v>
      </c>
      <c r="B81" s="3502"/>
      <c r="C81" s="2828" t="s">
        <v>2655</v>
      </c>
      <c r="D81" s="2828" t="s">
        <v>2656</v>
      </c>
      <c r="E81" s="2854">
        <v>0.1</v>
      </c>
      <c r="F81" s="2854">
        <v>15</v>
      </c>
    </row>
    <row r="82" spans="1:6" ht="24">
      <c r="A82" s="2854">
        <v>10</v>
      </c>
      <c r="B82" s="3502"/>
      <c r="C82" s="2828" t="s">
        <v>2657</v>
      </c>
      <c r="D82" s="2828" t="s">
        <v>2658</v>
      </c>
      <c r="E82" s="2854">
        <v>0.1</v>
      </c>
      <c r="F82" s="2854">
        <v>15</v>
      </c>
    </row>
    <row r="83" spans="1:6" ht="24">
      <c r="A83" s="2854">
        <v>11</v>
      </c>
      <c r="B83" s="3502"/>
      <c r="C83" s="2828" t="s">
        <v>2659</v>
      </c>
      <c r="D83" s="2828" t="s">
        <v>2660</v>
      </c>
      <c r="E83" s="2854">
        <v>0.1</v>
      </c>
      <c r="F83" s="2854">
        <v>15</v>
      </c>
    </row>
    <row r="84" spans="1:6" ht="24">
      <c r="A84" s="2854">
        <v>12</v>
      </c>
      <c r="B84" s="3502"/>
      <c r="C84" s="2828" t="s">
        <v>2661</v>
      </c>
      <c r="D84" s="2828" t="s">
        <v>2662</v>
      </c>
      <c r="E84" s="2854">
        <v>0.1</v>
      </c>
      <c r="F84" s="2854">
        <v>15</v>
      </c>
    </row>
    <row r="85" spans="1:6" ht="13.5">
      <c r="A85" s="2854">
        <v>13</v>
      </c>
      <c r="B85" s="3502"/>
      <c r="C85" s="2828" t="s">
        <v>2663</v>
      </c>
      <c r="D85" s="2828" t="s">
        <v>2664</v>
      </c>
      <c r="E85" s="2854">
        <v>0.1</v>
      </c>
      <c r="F85" s="2854">
        <v>15</v>
      </c>
    </row>
    <row r="86" spans="1:6" ht="13.5">
      <c r="A86" s="2854">
        <v>14</v>
      </c>
      <c r="B86" s="3502"/>
      <c r="C86" s="2828" t="s">
        <v>2665</v>
      </c>
      <c r="D86" s="2828" t="s">
        <v>2666</v>
      </c>
      <c r="E86" s="2854">
        <v>0.1</v>
      </c>
      <c r="F86" s="2854">
        <v>15</v>
      </c>
    </row>
    <row r="87" spans="1:6" ht="13.5">
      <c r="A87" s="2854">
        <v>15</v>
      </c>
      <c r="B87" s="3502"/>
      <c r="C87" s="2828" t="s">
        <v>2667</v>
      </c>
      <c r="D87" s="2828" t="s">
        <v>2668</v>
      </c>
      <c r="E87" s="2854">
        <v>0.1</v>
      </c>
      <c r="F87" s="2854">
        <v>15</v>
      </c>
    </row>
    <row r="88" spans="1:6" ht="24">
      <c r="A88" s="2854">
        <v>16</v>
      </c>
      <c r="B88" s="3502"/>
      <c r="C88" s="2828" t="s">
        <v>2669</v>
      </c>
      <c r="D88" s="2828" t="s">
        <v>2670</v>
      </c>
      <c r="E88" s="2854">
        <v>0.1</v>
      </c>
      <c r="F88" s="2854">
        <v>15</v>
      </c>
    </row>
    <row r="89" spans="1:6" ht="24">
      <c r="A89" s="2854">
        <v>17</v>
      </c>
      <c r="B89" s="3501"/>
      <c r="C89" s="2828" t="s">
        <v>2671</v>
      </c>
      <c r="D89" s="2828" t="s">
        <v>2672</v>
      </c>
      <c r="E89" s="2854">
        <v>0.1</v>
      </c>
      <c r="F89" s="2854">
        <v>15</v>
      </c>
    </row>
    <row r="90" spans="1:6" ht="13.5">
      <c r="A90" s="2854">
        <v>18</v>
      </c>
      <c r="B90" s="3500" t="s">
        <v>2673</v>
      </c>
      <c r="C90" s="2828" t="s">
        <v>2674</v>
      </c>
      <c r="D90" s="2828" t="s">
        <v>2675</v>
      </c>
      <c r="E90" s="2854">
        <v>0.2</v>
      </c>
      <c r="F90" s="2854">
        <v>25</v>
      </c>
    </row>
    <row r="91" spans="1:6" ht="24">
      <c r="A91" s="2854">
        <v>19</v>
      </c>
      <c r="B91" s="3502"/>
      <c r="C91" s="2828" t="s">
        <v>2676</v>
      </c>
      <c r="D91" s="2828" t="s">
        <v>2677</v>
      </c>
      <c r="E91" s="2854">
        <v>0.2</v>
      </c>
      <c r="F91" s="2854">
        <v>25</v>
      </c>
    </row>
    <row r="92" spans="1:6" ht="13.5">
      <c r="A92" s="2854">
        <v>20</v>
      </c>
      <c r="B92" s="3502"/>
      <c r="C92" s="2828" t="s">
        <v>2678</v>
      </c>
      <c r="D92" s="2828" t="s">
        <v>2679</v>
      </c>
      <c r="E92" s="2854">
        <v>0.15</v>
      </c>
      <c r="F92" s="2854">
        <v>20</v>
      </c>
    </row>
    <row r="93" spans="1:6" ht="13.5">
      <c r="A93" s="2854">
        <v>21</v>
      </c>
      <c r="B93" s="3502"/>
      <c r="C93" s="2828" t="s">
        <v>2680</v>
      </c>
      <c r="D93" s="2828" t="s">
        <v>2681</v>
      </c>
      <c r="E93" s="2854">
        <v>0.15</v>
      </c>
      <c r="F93" s="2854">
        <v>20</v>
      </c>
    </row>
    <row r="94" spans="1:6" ht="13.5">
      <c r="A94" s="2854">
        <v>22</v>
      </c>
      <c r="B94" s="3502"/>
      <c r="C94" s="2828" t="s">
        <v>2682</v>
      </c>
      <c r="D94" s="2828" t="s">
        <v>2683</v>
      </c>
      <c r="E94" s="2854">
        <v>0.15</v>
      </c>
      <c r="F94" s="2854">
        <v>20</v>
      </c>
    </row>
    <row r="95" spans="1:6" ht="36">
      <c r="A95" s="2854">
        <v>23</v>
      </c>
      <c r="B95" s="3502"/>
      <c r="C95" s="2828" t="s">
        <v>2684</v>
      </c>
      <c r="D95" s="2828" t="s">
        <v>2685</v>
      </c>
      <c r="E95" s="2854">
        <v>0.15</v>
      </c>
      <c r="F95" s="2854">
        <v>20</v>
      </c>
    </row>
    <row r="96" spans="1:6" ht="13.5">
      <c r="A96" s="2854">
        <v>24</v>
      </c>
      <c r="B96" s="3502"/>
      <c r="C96" s="2828" t="s">
        <v>2686</v>
      </c>
      <c r="D96" s="2828" t="s">
        <v>2687</v>
      </c>
      <c r="E96" s="2854">
        <v>0.1</v>
      </c>
      <c r="F96" s="2854">
        <v>15</v>
      </c>
    </row>
    <row r="97" spans="1:6" ht="13.5">
      <c r="A97" s="2854">
        <v>25</v>
      </c>
      <c r="B97" s="3502"/>
      <c r="C97" s="2828" t="s">
        <v>2688</v>
      </c>
      <c r="D97" s="2828" t="s">
        <v>2689</v>
      </c>
      <c r="E97" s="2854">
        <v>0.1</v>
      </c>
      <c r="F97" s="2854">
        <v>15</v>
      </c>
    </row>
    <row r="98" spans="1:6" ht="24">
      <c r="A98" s="2854">
        <v>26</v>
      </c>
      <c r="B98" s="3502"/>
      <c r="C98" s="2828" t="s">
        <v>2690</v>
      </c>
      <c r="D98" s="2828" t="s">
        <v>2691</v>
      </c>
      <c r="E98" s="2854">
        <v>0.1</v>
      </c>
      <c r="F98" s="2854">
        <v>15</v>
      </c>
    </row>
    <row r="99" spans="1:6" ht="24">
      <c r="A99" s="2854">
        <v>27</v>
      </c>
      <c r="B99" s="3502"/>
      <c r="C99" s="2828" t="s">
        <v>2692</v>
      </c>
      <c r="D99" s="2828" t="s">
        <v>2693</v>
      </c>
      <c r="E99" s="2854">
        <v>0.1</v>
      </c>
      <c r="F99" s="2854">
        <v>15</v>
      </c>
    </row>
    <row r="100" spans="1:6" ht="13.5">
      <c r="A100" s="2854">
        <v>28</v>
      </c>
      <c r="B100" s="3502"/>
      <c r="C100" s="2828" t="s">
        <v>2694</v>
      </c>
      <c r="D100" s="2828" t="s">
        <v>2695</v>
      </c>
      <c r="E100" s="2854">
        <v>0.1</v>
      </c>
      <c r="F100" s="2854">
        <v>15</v>
      </c>
    </row>
    <row r="101" spans="1:6" ht="13.5">
      <c r="A101" s="2854">
        <v>29</v>
      </c>
      <c r="B101" s="3502"/>
      <c r="C101" s="2828" t="s">
        <v>2696</v>
      </c>
      <c r="D101" s="2828" t="s">
        <v>2697</v>
      </c>
      <c r="E101" s="2854">
        <v>0.1</v>
      </c>
      <c r="F101" s="2854">
        <v>15</v>
      </c>
    </row>
    <row r="102" spans="1:6" ht="13.5">
      <c r="A102" s="2854">
        <v>30</v>
      </c>
      <c r="B102" s="3502"/>
      <c r="C102" s="2828" t="s">
        <v>2698</v>
      </c>
      <c r="D102" s="2828" t="s">
        <v>2699</v>
      </c>
      <c r="E102" s="2854">
        <v>0.1</v>
      </c>
      <c r="F102" s="2854">
        <v>15</v>
      </c>
    </row>
    <row r="103" spans="1:6" ht="24">
      <c r="A103" s="2854">
        <v>31</v>
      </c>
      <c r="B103" s="3502"/>
      <c r="C103" s="2828" t="s">
        <v>2700</v>
      </c>
      <c r="D103" s="2828" t="s">
        <v>2701</v>
      </c>
      <c r="E103" s="2854">
        <v>0.1</v>
      </c>
      <c r="F103" s="2854">
        <v>15</v>
      </c>
    </row>
    <row r="104" spans="1:6" ht="24">
      <c r="A104" s="2854">
        <v>32</v>
      </c>
      <c r="B104" s="3502"/>
      <c r="C104" s="2828" t="s">
        <v>2702</v>
      </c>
      <c r="D104" s="2828" t="s">
        <v>2703</v>
      </c>
      <c r="E104" s="2854">
        <v>0.1</v>
      </c>
      <c r="F104" s="2854">
        <v>15</v>
      </c>
    </row>
    <row r="105" spans="1:6" ht="24">
      <c r="A105" s="2854">
        <v>33</v>
      </c>
      <c r="B105" s="3502"/>
      <c r="C105" s="2828" t="s">
        <v>2704</v>
      </c>
      <c r="D105" s="2828" t="s">
        <v>2705</v>
      </c>
      <c r="E105" s="2854">
        <v>0.1</v>
      </c>
      <c r="F105" s="2854">
        <v>15</v>
      </c>
    </row>
    <row r="106" spans="1:6" ht="24">
      <c r="A106" s="2854">
        <v>34</v>
      </c>
      <c r="B106" s="3501"/>
      <c r="C106" s="2828" t="s">
        <v>2706</v>
      </c>
      <c r="D106" s="2828" t="s">
        <v>2707</v>
      </c>
      <c r="E106" s="2854">
        <v>0.1</v>
      </c>
      <c r="F106" s="2854">
        <v>15</v>
      </c>
    </row>
    <row r="107" spans="1:6" ht="24">
      <c r="A107" s="2854">
        <v>35</v>
      </c>
      <c r="B107" s="3500" t="s">
        <v>2708</v>
      </c>
      <c r="C107" s="2854" t="s">
        <v>2709</v>
      </c>
      <c r="D107" s="2828" t="s">
        <v>2710</v>
      </c>
      <c r="E107" s="2854">
        <v>0.15</v>
      </c>
      <c r="F107" s="2854">
        <v>20</v>
      </c>
    </row>
    <row r="108" spans="1:6" ht="13.5">
      <c r="A108" s="2854">
        <v>36</v>
      </c>
      <c r="B108" s="3502"/>
      <c r="C108" s="2854" t="s">
        <v>2711</v>
      </c>
      <c r="D108" s="2828" t="s">
        <v>2712</v>
      </c>
      <c r="E108" s="2854">
        <v>0.15</v>
      </c>
      <c r="F108" s="2854">
        <v>20</v>
      </c>
    </row>
    <row r="109" spans="1:6" ht="13.5">
      <c r="A109" s="2854">
        <v>37</v>
      </c>
      <c r="B109" s="3502"/>
      <c r="C109" s="2854" t="s">
        <v>2713</v>
      </c>
      <c r="D109" s="2828" t="s">
        <v>2714</v>
      </c>
      <c r="E109" s="2854">
        <v>0.15</v>
      </c>
      <c r="F109" s="2854">
        <v>20</v>
      </c>
    </row>
    <row r="110" spans="1:6" ht="13.5">
      <c r="A110" s="2854">
        <v>38</v>
      </c>
      <c r="B110" s="3502"/>
      <c r="C110" s="2854" t="s">
        <v>2715</v>
      </c>
      <c r="D110" s="2828" t="s">
        <v>2716</v>
      </c>
      <c r="E110" s="2854">
        <v>0.1</v>
      </c>
      <c r="F110" s="2854">
        <v>15</v>
      </c>
    </row>
    <row r="111" spans="1:6" ht="24">
      <c r="A111" s="2854">
        <v>39</v>
      </c>
      <c r="B111" s="3502"/>
      <c r="C111" s="2854" t="s">
        <v>2717</v>
      </c>
      <c r="D111" s="2828" t="s">
        <v>2718</v>
      </c>
      <c r="E111" s="2854">
        <v>0.1</v>
      </c>
      <c r="F111" s="2854">
        <v>15</v>
      </c>
    </row>
    <row r="112" spans="1:6" ht="24">
      <c r="A112" s="2854">
        <v>40</v>
      </c>
      <c r="B112" s="3501"/>
      <c r="C112" s="2854" t="s">
        <v>2719</v>
      </c>
      <c r="D112" s="2828" t="s">
        <v>2720</v>
      </c>
      <c r="E112" s="2854">
        <v>0.1</v>
      </c>
      <c r="F112" s="2854">
        <v>15</v>
      </c>
    </row>
    <row r="113" spans="1:6" ht="13.5">
      <c r="A113" s="2854">
        <v>41</v>
      </c>
      <c r="B113" s="3499" t="s">
        <v>2721</v>
      </c>
      <c r="C113" s="2854" t="s">
        <v>2722</v>
      </c>
      <c r="D113" s="2828" t="s">
        <v>2723</v>
      </c>
      <c r="E113" s="2854">
        <v>0.1</v>
      </c>
      <c r="F113" s="2854">
        <v>15</v>
      </c>
    </row>
    <row r="114" spans="1:6" ht="13.5">
      <c r="A114" s="2854">
        <v>42</v>
      </c>
      <c r="B114" s="3499"/>
      <c r="C114" s="2854" t="s">
        <v>2724</v>
      </c>
      <c r="D114" s="2828" t="s">
        <v>2725</v>
      </c>
      <c r="E114" s="2854">
        <v>0.1</v>
      </c>
      <c r="F114" s="2854">
        <v>15</v>
      </c>
    </row>
    <row r="115" spans="1:6" ht="24">
      <c r="A115" s="2854">
        <v>43</v>
      </c>
      <c r="B115" s="3499"/>
      <c r="C115" s="2854" t="s">
        <v>2726</v>
      </c>
      <c r="D115" s="2828" t="s">
        <v>2727</v>
      </c>
      <c r="E115" s="2854">
        <v>0.1</v>
      </c>
      <c r="F115" s="2854">
        <v>15</v>
      </c>
    </row>
    <row r="116" spans="1:6" ht="13.5">
      <c r="A116" s="2854">
        <v>44</v>
      </c>
      <c r="B116" s="3500" t="s">
        <v>2728</v>
      </c>
      <c r="C116" s="2854" t="s">
        <v>2729</v>
      </c>
      <c r="D116" s="2828" t="s">
        <v>2730</v>
      </c>
      <c r="E116" s="2854">
        <v>0.1</v>
      </c>
      <c r="F116" s="2854">
        <v>15</v>
      </c>
    </row>
    <row r="117" spans="1:6" ht="24">
      <c r="A117" s="2854">
        <v>45</v>
      </c>
      <c r="B117" s="3501"/>
      <c r="C117" s="2828" t="s">
        <v>2731</v>
      </c>
      <c r="D117" s="2828" t="s">
        <v>2732</v>
      </c>
      <c r="E117" s="2854">
        <v>0.1</v>
      </c>
      <c r="F117" s="2854">
        <v>15</v>
      </c>
    </row>
    <row r="118" spans="1:6" ht="24">
      <c r="A118" s="2854">
        <v>46</v>
      </c>
      <c r="B118" s="3500" t="s">
        <v>2733</v>
      </c>
      <c r="C118" s="2854" t="s">
        <v>2734</v>
      </c>
      <c r="D118" s="2828" t="s">
        <v>2735</v>
      </c>
      <c r="E118" s="2854">
        <v>0.1</v>
      </c>
      <c r="F118" s="2854">
        <v>15</v>
      </c>
    </row>
    <row r="119" spans="1:6" ht="24">
      <c r="A119" s="2854">
        <v>47</v>
      </c>
      <c r="B119" s="3501"/>
      <c r="C119" s="2854" t="s">
        <v>2736</v>
      </c>
      <c r="D119" s="2828" t="s">
        <v>2737</v>
      </c>
      <c r="E119" s="2854">
        <v>0.1</v>
      </c>
      <c r="F119" s="2854">
        <v>15</v>
      </c>
    </row>
    <row r="120" spans="1:6" ht="13.5">
      <c r="A120" s="2854">
        <v>48</v>
      </c>
      <c r="B120" s="3500" t="s">
        <v>2738</v>
      </c>
      <c r="C120" s="2854" t="s">
        <v>2739</v>
      </c>
      <c r="D120" s="2828" t="s">
        <v>2740</v>
      </c>
      <c r="E120" s="2854">
        <v>0.1</v>
      </c>
      <c r="F120" s="2854">
        <v>15</v>
      </c>
    </row>
    <row r="121" spans="1:6" ht="13.5">
      <c r="A121" s="2854">
        <v>49</v>
      </c>
      <c r="B121" s="3501"/>
      <c r="C121" s="2854" t="s">
        <v>2741</v>
      </c>
      <c r="D121" s="2828" t="s">
        <v>2742</v>
      </c>
      <c r="E121" s="2854">
        <v>0.1</v>
      </c>
      <c r="F121" s="2854">
        <v>15</v>
      </c>
    </row>
    <row r="122" spans="1:6" ht="24">
      <c r="A122" s="2854">
        <v>50</v>
      </c>
      <c r="B122" s="3499" t="s">
        <v>2743</v>
      </c>
      <c r="C122" s="2854" t="s">
        <v>2744</v>
      </c>
      <c r="D122" s="2828" t="s">
        <v>2745</v>
      </c>
      <c r="E122" s="2854">
        <v>0.1</v>
      </c>
      <c r="F122" s="2854">
        <v>15</v>
      </c>
    </row>
    <row r="123" spans="1:6" ht="24">
      <c r="A123" s="2854">
        <v>51</v>
      </c>
      <c r="B123" s="3499"/>
      <c r="C123" s="2854" t="s">
        <v>2746</v>
      </c>
      <c r="D123" s="2828" t="s">
        <v>2747</v>
      </c>
      <c r="E123" s="2854">
        <v>0.1</v>
      </c>
      <c r="F123" s="2854">
        <v>15</v>
      </c>
    </row>
    <row r="124" spans="1:6" ht="24">
      <c r="A124" s="2854">
        <v>52</v>
      </c>
      <c r="B124" s="3499" t="s">
        <v>2748</v>
      </c>
      <c r="C124" s="2854" t="s">
        <v>2749</v>
      </c>
      <c r="D124" s="2828" t="s">
        <v>2750</v>
      </c>
      <c r="E124" s="2854">
        <v>0.1</v>
      </c>
      <c r="F124" s="2854">
        <v>15</v>
      </c>
    </row>
    <row r="125" spans="1:6" ht="24">
      <c r="A125" s="2854">
        <v>53</v>
      </c>
      <c r="B125" s="3499"/>
      <c r="C125" s="2854" t="s">
        <v>2751</v>
      </c>
      <c r="D125" s="2828" t="s">
        <v>2752</v>
      </c>
      <c r="E125" s="2854">
        <v>0.1</v>
      </c>
      <c r="F125" s="2854">
        <v>15</v>
      </c>
    </row>
    <row r="126" spans="1:6" ht="13.5">
      <c r="A126" s="2854">
        <v>54</v>
      </c>
      <c r="B126" s="2854" t="s">
        <v>2753</v>
      </c>
      <c r="C126" s="2854" t="s">
        <v>2754</v>
      </c>
      <c r="D126" s="2828" t="s">
        <v>2755</v>
      </c>
      <c r="E126" s="2854">
        <v>0.1</v>
      </c>
      <c r="F126" s="2854">
        <v>15</v>
      </c>
    </row>
    <row r="127" spans="1:6" ht="13.5">
      <c r="A127" s="2854">
        <v>55</v>
      </c>
      <c r="B127" s="3499" t="s">
        <v>2756</v>
      </c>
      <c r="C127" s="2854" t="s">
        <v>2757</v>
      </c>
      <c r="D127" s="2828" t="s">
        <v>2758</v>
      </c>
      <c r="E127" s="2854">
        <v>0.1</v>
      </c>
      <c r="F127" s="2854">
        <v>15</v>
      </c>
    </row>
    <row r="128" spans="1:6" ht="13.5">
      <c r="A128" s="2854">
        <v>56</v>
      </c>
      <c r="B128" s="3499"/>
      <c r="C128" s="2854" t="s">
        <v>2759</v>
      </c>
      <c r="D128" s="2828" t="s">
        <v>2760</v>
      </c>
      <c r="E128" s="2854">
        <v>0.1</v>
      </c>
      <c r="F128" s="2854">
        <v>15</v>
      </c>
    </row>
    <row r="129" spans="1:6" ht="24">
      <c r="A129" s="2854">
        <v>57</v>
      </c>
      <c r="B129" s="3499"/>
      <c r="C129" s="2854" t="s">
        <v>2761</v>
      </c>
      <c r="D129" s="2828" t="s">
        <v>2762</v>
      </c>
      <c r="E129" s="2854">
        <v>0.1</v>
      </c>
      <c r="F129" s="2854">
        <v>15</v>
      </c>
    </row>
    <row r="130" spans="1:6" ht="24">
      <c r="A130" s="2854">
        <v>58</v>
      </c>
      <c r="B130" s="3499" t="s">
        <v>2763</v>
      </c>
      <c r="C130" s="2854" t="s">
        <v>2764</v>
      </c>
      <c r="D130" s="2828" t="s">
        <v>2765</v>
      </c>
      <c r="E130" s="2854">
        <v>0.1</v>
      </c>
      <c r="F130" s="2854">
        <v>15</v>
      </c>
    </row>
    <row r="131" spans="1:6" ht="13.5">
      <c r="A131" s="2854">
        <v>59</v>
      </c>
      <c r="B131" s="3499"/>
      <c r="C131" s="2854" t="s">
        <v>2766</v>
      </c>
      <c r="D131" s="2828" t="s">
        <v>2767</v>
      </c>
      <c r="E131" s="2854">
        <v>0.1</v>
      </c>
      <c r="F131" s="2854">
        <v>15</v>
      </c>
    </row>
    <row r="132" spans="1:6" ht="13.5">
      <c r="A132" s="2854">
        <v>60</v>
      </c>
      <c r="B132" s="3500" t="s">
        <v>2768</v>
      </c>
      <c r="C132" s="2854" t="s">
        <v>2769</v>
      </c>
      <c r="D132" s="2828" t="s">
        <v>2770</v>
      </c>
      <c r="E132" s="2854">
        <v>0.1</v>
      </c>
      <c r="F132" s="2854">
        <v>15</v>
      </c>
    </row>
    <row r="133" spans="1:6" ht="13.5">
      <c r="A133" s="2854">
        <v>61</v>
      </c>
      <c r="B133" s="3501"/>
      <c r="C133" s="2854" t="s">
        <v>2771</v>
      </c>
      <c r="D133" s="2828" t="s">
        <v>2772</v>
      </c>
      <c r="E133" s="2854">
        <v>0.1</v>
      </c>
      <c r="F133" s="2854">
        <v>15</v>
      </c>
    </row>
    <row r="134" spans="1:6" ht="24">
      <c r="A134" s="2854">
        <v>62</v>
      </c>
      <c r="B134" s="2854" t="s">
        <v>2773</v>
      </c>
      <c r="C134" s="2854" t="s">
        <v>2774</v>
      </c>
      <c r="D134" s="2828" t="s">
        <v>2775</v>
      </c>
      <c r="E134" s="2854">
        <v>0.1</v>
      </c>
      <c r="F134" s="2854">
        <v>15</v>
      </c>
    </row>
    <row r="135" spans="1:6" ht="13.5">
      <c r="A135" s="2854">
        <v>63</v>
      </c>
      <c r="B135" s="3499" t="s">
        <v>2776</v>
      </c>
      <c r="C135" s="2854" t="s">
        <v>2777</v>
      </c>
      <c r="D135" s="2828" t="s">
        <v>2778</v>
      </c>
      <c r="E135" s="2854">
        <v>0.1</v>
      </c>
      <c r="F135" s="2854">
        <v>15</v>
      </c>
    </row>
    <row r="136" spans="1:6" ht="13.5">
      <c r="A136" s="2854">
        <v>64</v>
      </c>
      <c r="B136" s="3499"/>
      <c r="C136" s="2854" t="s">
        <v>2779</v>
      </c>
      <c r="D136" s="2828" t="s">
        <v>2780</v>
      </c>
      <c r="E136" s="2854">
        <v>0.1</v>
      </c>
      <c r="F136" s="2854">
        <v>15</v>
      </c>
    </row>
    <row r="137" spans="1:6" ht="13.5">
      <c r="A137" s="2854">
        <v>65</v>
      </c>
      <c r="B137" s="2854" t="s">
        <v>2781</v>
      </c>
      <c r="C137" s="2854" t="s">
        <v>2782</v>
      </c>
      <c r="D137" s="2828" t="s">
        <v>2783</v>
      </c>
      <c r="E137" s="2854">
        <v>0.1</v>
      </c>
      <c r="F137" s="2854">
        <v>15</v>
      </c>
    </row>
    <row r="138" spans="1:6" ht="13.5">
      <c r="A138" s="2854"/>
      <c r="B138" s="2854"/>
      <c r="C138" s="2854"/>
      <c r="D138" s="2854"/>
      <c r="E138" s="2854" t="s">
        <v>2784</v>
      </c>
      <c r="F138" s="2854" t="s">
        <v>2784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3.5"/>
  <cols>
    <col min="1" max="13" width="9" style="2876"/>
  </cols>
  <sheetData>
    <row r="1" spans="1:20" ht="15" thickBot="1">
      <c r="A1" s="2862" t="s">
        <v>2785</v>
      </c>
      <c r="B1" s="2862"/>
      <c r="C1" s="2862"/>
      <c r="D1" s="2862"/>
      <c r="E1" s="2862"/>
      <c r="F1" s="2862"/>
      <c r="G1" s="2862"/>
      <c r="H1" s="2862"/>
      <c r="I1" s="2862"/>
      <c r="J1" s="2862"/>
      <c r="K1" s="2862"/>
      <c r="L1" s="2862"/>
      <c r="M1" s="2862"/>
      <c r="N1" s="706"/>
    </row>
    <row r="2" spans="1:20">
      <c r="A2" s="2863" t="s">
        <v>2786</v>
      </c>
      <c r="B2" s="2864" t="s">
        <v>2582</v>
      </c>
      <c r="C2" s="2864" t="s">
        <v>2583</v>
      </c>
      <c r="D2" s="2864" t="s">
        <v>2584</v>
      </c>
      <c r="E2" s="2864" t="s">
        <v>2585</v>
      </c>
      <c r="F2" s="2864" t="s">
        <v>2586</v>
      </c>
      <c r="G2" s="2864" t="s">
        <v>2587</v>
      </c>
      <c r="H2" s="2865" t="s">
        <v>2588</v>
      </c>
      <c r="I2" s="2865" t="s">
        <v>2589</v>
      </c>
      <c r="J2" s="2866" t="s">
        <v>2590</v>
      </c>
      <c r="K2" s="2866" t="s">
        <v>2591</v>
      </c>
      <c r="L2" s="2866" t="s">
        <v>2592</v>
      </c>
      <c r="M2" s="2867" t="s">
        <v>2593</v>
      </c>
      <c r="Q2" s="2877" t="s">
        <v>2791</v>
      </c>
      <c r="R2" s="2877" t="s">
        <v>2792</v>
      </c>
      <c r="S2" s="2877" t="s">
        <v>2793</v>
      </c>
      <c r="T2" s="2877" t="s">
        <v>2794</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4.2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5" thickBot="1">
      <c r="A93" s="2862" t="s">
        <v>2787</v>
      </c>
      <c r="B93" s="2862"/>
      <c r="C93" s="2862"/>
      <c r="D93" s="2862"/>
      <c r="E93" s="2862"/>
      <c r="F93" s="2862"/>
      <c r="G93" s="2862"/>
      <c r="H93" s="2862"/>
      <c r="I93" s="2862"/>
      <c r="J93" s="2862"/>
      <c r="K93" s="2862"/>
      <c r="L93" s="2862"/>
      <c r="M93" s="2862"/>
    </row>
    <row r="94" spans="1:20">
      <c r="A94" s="2863" t="s">
        <v>2786</v>
      </c>
      <c r="B94" s="2864" t="s">
        <v>2582</v>
      </c>
      <c r="C94" s="2864" t="s">
        <v>2583</v>
      </c>
      <c r="D94" s="2864" t="s">
        <v>2584</v>
      </c>
      <c r="E94" s="2864" t="s">
        <v>2585</v>
      </c>
      <c r="F94" s="2864" t="s">
        <v>2586</v>
      </c>
      <c r="G94" s="2864" t="s">
        <v>2587</v>
      </c>
      <c r="H94" s="2865" t="s">
        <v>2588</v>
      </c>
      <c r="I94" s="2865" t="s">
        <v>2589</v>
      </c>
      <c r="J94" s="2866" t="s">
        <v>2590</v>
      </c>
      <c r="K94" s="2866" t="s">
        <v>2591</v>
      </c>
      <c r="L94" s="2866" t="s">
        <v>2592</v>
      </c>
      <c r="M94" s="2867" t="s">
        <v>2593</v>
      </c>
      <c r="N94">
        <f>SUMPRODUCT((A95:A184=ROUNDDOWN(基准地价修正!G3,1))*(B94:M94=基准地价修正!G2)*(B95:M184))</f>
        <v>0.98670000000000002</v>
      </c>
      <c r="Q94" s="2877" t="s">
        <v>2791</v>
      </c>
      <c r="R94" s="2877" t="s">
        <v>2792</v>
      </c>
      <c r="S94" s="2877" t="s">
        <v>2793</v>
      </c>
      <c r="T94" s="2877" t="s">
        <v>2794</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4.25">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6"/>
    </row>
    <row r="104" spans="1:14" ht="14.25">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6"/>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4.2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5" thickBot="1">
      <c r="A185" s="2862" t="s">
        <v>2788</v>
      </c>
      <c r="B185" s="2862"/>
      <c r="C185" s="2862"/>
      <c r="D185" s="2862"/>
      <c r="E185" s="2862"/>
      <c r="F185" s="2862"/>
      <c r="G185" s="2862"/>
      <c r="H185" s="2862"/>
      <c r="I185" s="2862"/>
      <c r="J185" s="2862"/>
      <c r="K185" s="2862"/>
      <c r="L185" s="2862"/>
      <c r="M185" s="2862"/>
    </row>
    <row r="186" spans="1:20">
      <c r="A186" s="2863" t="s">
        <v>2786</v>
      </c>
      <c r="B186" s="2864" t="s">
        <v>2582</v>
      </c>
      <c r="C186" s="2864" t="s">
        <v>2583</v>
      </c>
      <c r="D186" s="2864" t="s">
        <v>2584</v>
      </c>
      <c r="E186" s="2864" t="s">
        <v>2585</v>
      </c>
      <c r="F186" s="2864" t="s">
        <v>2586</v>
      </c>
      <c r="G186" s="2864" t="s">
        <v>2587</v>
      </c>
      <c r="H186" s="2865" t="s">
        <v>2588</v>
      </c>
      <c r="I186" s="2865" t="s">
        <v>2589</v>
      </c>
      <c r="J186" s="2866" t="s">
        <v>2590</v>
      </c>
      <c r="K186" s="2866" t="s">
        <v>2591</v>
      </c>
      <c r="L186" s="2866" t="s">
        <v>2592</v>
      </c>
      <c r="M186" s="2867" t="s">
        <v>2593</v>
      </c>
      <c r="Q186" s="2877" t="s">
        <v>2791</v>
      </c>
      <c r="R186" s="2877" t="s">
        <v>2792</v>
      </c>
      <c r="S186" s="2877" t="s">
        <v>2793</v>
      </c>
      <c r="T186" s="2877" t="s">
        <v>2794</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4.2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5" thickBot="1">
      <c r="A277" s="2862" t="s">
        <v>2789</v>
      </c>
      <c r="B277" s="2862"/>
      <c r="C277" s="2862"/>
      <c r="D277" s="2862"/>
      <c r="E277" s="2862"/>
      <c r="F277" s="2862"/>
      <c r="G277" s="2862"/>
      <c r="H277" s="2862"/>
      <c r="I277" s="2862"/>
      <c r="J277" s="2862"/>
      <c r="K277" s="2862"/>
      <c r="L277" s="2862"/>
      <c r="M277" s="2862"/>
    </row>
    <row r="278" spans="1:21">
      <c r="A278" s="2863" t="s">
        <v>2786</v>
      </c>
      <c r="B278" s="2864" t="s">
        <v>2582</v>
      </c>
      <c r="C278" s="2864" t="s">
        <v>2583</v>
      </c>
      <c r="D278" s="2864" t="s">
        <v>2584</v>
      </c>
      <c r="E278" s="2864" t="s">
        <v>2585</v>
      </c>
      <c r="F278" s="2864" t="s">
        <v>2586</v>
      </c>
      <c r="G278" s="2864" t="s">
        <v>2587</v>
      </c>
      <c r="H278" s="2865" t="s">
        <v>2588</v>
      </c>
      <c r="I278" s="2865" t="s">
        <v>2589</v>
      </c>
      <c r="J278" s="2866" t="s">
        <v>2590</v>
      </c>
      <c r="K278" s="2866" t="s">
        <v>2591</v>
      </c>
      <c r="L278" s="2866" t="s">
        <v>2592</v>
      </c>
      <c r="M278" s="2867" t="s">
        <v>2593</v>
      </c>
      <c r="Q278" s="2877" t="s">
        <v>2791</v>
      </c>
      <c r="R278" s="2877" t="s">
        <v>2792</v>
      </c>
      <c r="S278" s="2877" t="s">
        <v>2795</v>
      </c>
      <c r="T278" s="2877" t="s">
        <v>2796</v>
      </c>
      <c r="U278" s="2877" t="s">
        <v>2794</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4.2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5" thickBot="1">
      <c r="A369" s="2862" t="s">
        <v>2790</v>
      </c>
      <c r="B369" s="2875"/>
      <c r="C369" s="2875"/>
      <c r="D369" s="2875"/>
      <c r="E369" s="2875"/>
      <c r="F369" s="2875"/>
      <c r="G369" s="2875"/>
      <c r="H369" s="2875"/>
      <c r="I369" s="2875"/>
      <c r="J369" s="2875"/>
      <c r="K369" s="2875"/>
      <c r="L369" s="2875"/>
      <c r="M369" s="2875"/>
    </row>
    <row r="370" spans="1:20">
      <c r="A370" s="2863" t="s">
        <v>2786</v>
      </c>
      <c r="B370" s="2864" t="s">
        <v>2582</v>
      </c>
      <c r="C370" s="2864" t="s">
        <v>2583</v>
      </c>
      <c r="D370" s="2864" t="s">
        <v>2584</v>
      </c>
      <c r="E370" s="2864" t="s">
        <v>2585</v>
      </c>
      <c r="F370" s="2864" t="s">
        <v>2586</v>
      </c>
      <c r="G370" s="2864" t="s">
        <v>2587</v>
      </c>
      <c r="H370" s="2865" t="s">
        <v>2588</v>
      </c>
      <c r="I370" s="2865" t="s">
        <v>2589</v>
      </c>
      <c r="J370" s="2866" t="s">
        <v>2590</v>
      </c>
      <c r="K370" s="2866" t="s">
        <v>2591</v>
      </c>
      <c r="L370" s="2866" t="s">
        <v>2592</v>
      </c>
      <c r="M370" s="2867" t="s">
        <v>2593</v>
      </c>
      <c r="N370">
        <f>SUMPRODUCT((A371:A460=ROUNDDOWN(基准地价修正!G3,1))*(B370:M370=基准地价修正!G2)*(B371:M460))</f>
        <v>0.93459999999999999</v>
      </c>
      <c r="Q370" s="2877" t="s">
        <v>2791</v>
      </c>
      <c r="R370" s="2877" t="s">
        <v>2792</v>
      </c>
      <c r="S370" s="2877" t="s">
        <v>2793</v>
      </c>
      <c r="T370" s="2877" t="s">
        <v>2794</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4.2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29636</v>
      </c>
      <c r="C2" s="2" t="s">
        <v>106</v>
      </c>
      <c r="D2" s="190"/>
      <c r="E2" s="190"/>
      <c r="F2" s="190"/>
      <c r="G2" s="190"/>
    </row>
    <row r="3" spans="1:7" s="191" customFormat="1" ht="18" customHeight="1" thickBot="1">
      <c r="A3" s="194" t="s">
        <v>58</v>
      </c>
      <c r="B3" s="195">
        <f ca="1">ROUND(B2*10000/'数据-汇总表'!E3,0)</f>
        <v>46620</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160</v>
      </c>
      <c r="F9" s="212"/>
      <c r="G9" s="217"/>
    </row>
    <row r="10" spans="1:7" s="205" customFormat="1" ht="13.5" customHeight="1">
      <c r="A10" s="732" t="s">
        <v>356</v>
      </c>
      <c r="B10" s="215" t="s">
        <v>67</v>
      </c>
      <c r="C10" s="216">
        <f>ROUND(D10*E10/10000,0)</f>
        <v>127</v>
      </c>
      <c r="D10" s="794">
        <f>'数据-汇总表'!E6</f>
        <v>6356.88</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127</v>
      </c>
      <c r="D19" s="203">
        <f>'数据-汇总表'!E3</f>
        <v>6356.88</v>
      </c>
      <c r="E19" s="202">
        <f>'数据-取费表'!B31</f>
        <v>200</v>
      </c>
      <c r="F19" s="222"/>
      <c r="G19" s="1" t="s">
        <v>436</v>
      </c>
    </row>
    <row r="20" spans="1:7" s="205" customFormat="1" ht="13.5" customHeight="1">
      <c r="A20" s="730" t="s">
        <v>419</v>
      </c>
      <c r="B20" s="201" t="s">
        <v>77</v>
      </c>
      <c r="C20" s="223">
        <f>ROUND((C5+C19)*F20,0)</f>
        <v>415</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1774</v>
      </c>
      <c r="D22" s="226">
        <f ca="1">C26</f>
        <v>8.0000000000000004E-4</v>
      </c>
      <c r="E22" s="227" t="s">
        <v>99</v>
      </c>
      <c r="F22" s="228">
        <f ca="1">'数据-取费表'!B40</f>
        <v>4.1499999999999995E-2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1746</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11</v>
      </c>
      <c r="D24" s="229"/>
      <c r="E24" s="229"/>
      <c r="F24" s="230"/>
      <c r="G24" s="231" t="s">
        <v>82</v>
      </c>
    </row>
    <row r="25" spans="1:7" s="205" customFormat="1" ht="24">
      <c r="A25" s="733" t="s">
        <v>348</v>
      </c>
      <c r="B25" s="206" t="s">
        <v>420</v>
      </c>
      <c r="C25" s="1041">
        <f ca="1">ROUND(IF('数据-取费表'!B22&lt;=1,C20*F22*'数据-取费表'!B23/2,C20*(POWER((1+F22),'数据-取费表'!B23/2)-1)),0)</f>
        <v>17</v>
      </c>
      <c r="D25" s="229"/>
      <c r="E25" s="232"/>
      <c r="F25" s="230"/>
      <c r="G25" s="233" t="s">
        <v>83</v>
      </c>
    </row>
    <row r="26" spans="1:7" s="205" customFormat="1">
      <c r="A26" s="733" t="s">
        <v>350</v>
      </c>
      <c r="B26" s="206" t="s">
        <v>422</v>
      </c>
      <c r="C26" s="229">
        <f ca="1">ROUND(IF('数据-取费表'!B22&lt;=1,F21*F22*'数据-取费表'!B23/2,F21*(POWER((1+F22),'数据-取费表'!B23/2)-1)),4)</f>
        <v>8.0000000000000004E-4</v>
      </c>
      <c r="D26" s="229"/>
      <c r="E26" s="232"/>
      <c r="F26" s="230"/>
      <c r="G26" s="234"/>
    </row>
    <row r="27" spans="1:7" s="205" customFormat="1" ht="24.75">
      <c r="A27" s="730" t="s">
        <v>342</v>
      </c>
      <c r="B27" s="235" t="s">
        <v>85</v>
      </c>
      <c r="C27" s="236">
        <f>C28</f>
        <v>4230</v>
      </c>
      <c r="D27" s="226">
        <f>C29</f>
        <v>4.0000000000000001E-3</v>
      </c>
      <c r="E27" s="227" t="s">
        <v>99</v>
      </c>
      <c r="F27" s="237">
        <f>'数据-取费表'!Q16</f>
        <v>0.2</v>
      </c>
      <c r="G27" s="238" t="s">
        <v>431</v>
      </c>
    </row>
    <row r="28" spans="1:7" s="205" customFormat="1" ht="13.5" customHeight="1">
      <c r="A28" s="733" t="s">
        <v>349</v>
      </c>
      <c r="B28" s="239" t="s">
        <v>424</v>
      </c>
      <c r="C28" s="240">
        <f>ROUND((C5+C19+C20)*F27*'数据-取费表'!B21/'数据-取费表'!B20,0)</f>
        <v>4230</v>
      </c>
      <c r="D28" s="226"/>
      <c r="E28" s="227"/>
      <c r="F28" s="237"/>
      <c r="G28" s="238"/>
    </row>
    <row r="29" spans="1:7" s="205" customFormat="1" ht="13.5" customHeight="1">
      <c r="A29" s="733" t="s">
        <v>347</v>
      </c>
      <c r="B29" s="239" t="s">
        <v>425</v>
      </c>
      <c r="C29" s="229">
        <f>ROUND(C21*F27*'数据-取费表'!B21/'数据-取费表'!B20,4)</f>
        <v>4.0000000000000001E-3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29458</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163</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34</v>
      </c>
      <c r="D34" s="208"/>
      <c r="E34" s="211"/>
      <c r="F34" s="248">
        <f>IF('数据-取费表'!B24=0,1,'数据-取费表'!N16)</f>
        <v>1</v>
      </c>
      <c r="G34" s="210" t="s">
        <v>89</v>
      </c>
    </row>
    <row r="35" spans="1:7" ht="13.5" customHeight="1">
      <c r="A35" s="733" t="s">
        <v>351</v>
      </c>
      <c r="B35" s="206" t="s">
        <v>33</v>
      </c>
      <c r="C35" s="211">
        <f>ROUND(C34*F35,0)</f>
        <v>1</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127</v>
      </c>
      <c r="D37" s="208">
        <f>'数据-汇总表'!E3</f>
        <v>6356.88</v>
      </c>
      <c r="E37" s="240">
        <f>'数据-取费表'!B35</f>
        <v>200</v>
      </c>
      <c r="F37" s="250"/>
      <c r="G37" s="252" t="s">
        <v>92</v>
      </c>
    </row>
    <row r="38" spans="1:7" ht="13.5" customHeight="1">
      <c r="A38" s="733" t="s">
        <v>354</v>
      </c>
      <c r="B38" s="206" t="s">
        <v>36</v>
      </c>
      <c r="C38" s="211">
        <f>ROUND(C34*F38,0)</f>
        <v>1</v>
      </c>
      <c r="D38" s="211"/>
      <c r="E38" s="211"/>
      <c r="F38" s="250">
        <f>'数据-取费表'!B36</f>
        <v>1.4999999999999999E-2</v>
      </c>
      <c r="G38" s="210" t="s">
        <v>90</v>
      </c>
    </row>
    <row r="39" spans="1:7" s="205" customFormat="1" ht="13.5" customHeight="1">
      <c r="A39" s="730" t="s">
        <v>338</v>
      </c>
      <c r="B39" s="201" t="s">
        <v>77</v>
      </c>
      <c r="C39" s="223">
        <f>ROUND(C33*F20,0)</f>
        <v>3</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7</v>
      </c>
      <c r="D41" s="226">
        <f ca="1">C44</f>
        <v>8.0000000000000004E-4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7</v>
      </c>
      <c r="D42" s="229"/>
      <c r="E42" s="229"/>
      <c r="F42" s="230"/>
      <c r="G42" s="3420" t="s">
        <v>94</v>
      </c>
    </row>
    <row r="43" spans="1:7" ht="13.5" customHeight="1">
      <c r="A43" s="733" t="s">
        <v>347</v>
      </c>
      <c r="B43" s="206" t="s">
        <v>426</v>
      </c>
      <c r="C43" s="229">
        <f ca="1">ROUND(IF('数据-取费表'!B22&lt;=1,C39*F22*'数据-取费表'!B21/2,C39*(POWER((1+F22),'数据-取费表'!B21/2)-1)),0)</f>
        <v>0</v>
      </c>
      <c r="D43" s="229"/>
      <c r="E43" s="229"/>
      <c r="F43" s="230"/>
      <c r="G43" s="3421"/>
    </row>
    <row r="44" spans="1:7" ht="13.5" customHeight="1">
      <c r="A44" s="733" t="s">
        <v>348</v>
      </c>
      <c r="B44" s="206" t="s">
        <v>428</v>
      </c>
      <c r="C44" s="229">
        <f ca="1">ROUND(IF('数据-取费表'!B22&lt;=1,C40*F22*'数据-取费表'!B21/2,C40*(POWER((1+F22),'数据-取费表'!B21/2)-1)),4)</f>
        <v>8.0000000000000004E-4</v>
      </c>
      <c r="D44" s="229"/>
      <c r="E44" s="229"/>
      <c r="F44" s="230"/>
      <c r="G44" s="3422"/>
    </row>
    <row r="45" spans="1:7" s="205" customFormat="1" ht="13.5" customHeight="1">
      <c r="A45" s="730" t="s">
        <v>341</v>
      </c>
      <c r="B45" s="235" t="s">
        <v>85</v>
      </c>
      <c r="C45" s="236">
        <f>C46</f>
        <v>33</v>
      </c>
      <c r="D45" s="226">
        <f>C47</f>
        <v>4.0000000000000001E-3</v>
      </c>
      <c r="E45" s="227" t="s">
        <v>102</v>
      </c>
      <c r="F45" s="237"/>
      <c r="G45" s="238" t="s">
        <v>434</v>
      </c>
    </row>
    <row r="46" spans="1:7" s="205" customFormat="1" ht="13.5" customHeight="1">
      <c r="A46" s="733" t="s">
        <v>349</v>
      </c>
      <c r="B46" s="239" t="s">
        <v>427</v>
      </c>
      <c r="C46" s="240">
        <f>ROUND((C33+C39)*F27,0)</f>
        <v>33</v>
      </c>
      <c r="D46" s="254"/>
      <c r="E46" s="227"/>
      <c r="F46" s="237"/>
      <c r="G46" s="238"/>
    </row>
    <row r="47" spans="1:7" s="205" customFormat="1" ht="13.5" customHeight="1">
      <c r="A47" s="733" t="s">
        <v>347</v>
      </c>
      <c r="B47" s="239" t="s">
        <v>429</v>
      </c>
      <c r="C47" s="229">
        <f>ROUND(C40*F27,4)</f>
        <v>4.0000000000000001E-3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223</v>
      </c>
      <c r="D49" s="223"/>
      <c r="E49" s="223"/>
      <c r="F49" s="255"/>
      <c r="G49" s="225" t="s">
        <v>435</v>
      </c>
    </row>
    <row r="50" spans="1:7" s="249" customFormat="1" ht="24">
      <c r="A50" s="730" t="s">
        <v>344</v>
      </c>
      <c r="B50" s="201" t="s">
        <v>97</v>
      </c>
      <c r="C50" s="223"/>
      <c r="D50" s="223"/>
      <c r="E50" s="223"/>
      <c r="F50" s="255">
        <f>IF('数据-取费表'!B24=0,'数据-取费表'!N16,1)</f>
        <v>0.8</v>
      </c>
      <c r="G50" s="238" t="s">
        <v>98</v>
      </c>
    </row>
    <row r="51" spans="1:7" ht="16.5" customHeight="1">
      <c r="A51" s="730" t="s">
        <v>345</v>
      </c>
      <c r="B51" s="201" t="s">
        <v>105</v>
      </c>
      <c r="C51" s="223">
        <f ca="1">ROUND(C49*F50,0)</f>
        <v>178</v>
      </c>
      <c r="D51" s="223"/>
      <c r="E51" s="223"/>
      <c r="F51" s="255"/>
      <c r="G51" s="225" t="s">
        <v>37</v>
      </c>
    </row>
    <row r="52" spans="1:7" s="199" customFormat="1" ht="16.5" thickBot="1">
      <c r="A52" s="256" t="s">
        <v>38</v>
      </c>
      <c r="B52" s="257"/>
      <c r="C52" s="258">
        <f ca="1">C31+C51</f>
        <v>29636</v>
      </c>
      <c r="D52" s="257"/>
      <c r="E52" s="257"/>
      <c r="F52" s="257"/>
      <c r="G52" s="259"/>
    </row>
    <row r="55" spans="1:7" ht="15">
      <c r="B55" s="261" t="s">
        <v>39</v>
      </c>
      <c r="C55" s="262"/>
    </row>
    <row r="56" spans="1:7">
      <c r="B56" s="264" t="s">
        <v>40</v>
      </c>
      <c r="C56" s="265">
        <f ca="1">ROUND(C51/C52,3)</f>
        <v>6.0000000000000001E-3</v>
      </c>
    </row>
    <row r="57" spans="1:7">
      <c r="B57" s="264" t="s">
        <v>41</v>
      </c>
      <c r="C57" s="266">
        <f ca="1">1-C56</f>
        <v>0.99399999999999999</v>
      </c>
    </row>
  </sheetData>
  <mergeCells count="1">
    <mergeCell ref="G42:G44"/>
  </mergeCells>
  <phoneticPr fontId="19"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topLeftCell="A16" zoomScale="80" zoomScaleNormal="80" workbookViewId="0">
      <selection activeCell="A3" sqref="A3:G29"/>
    </sheetView>
  </sheetViews>
  <sheetFormatPr defaultColWidth="8.875" defaultRowHeight="11.25"/>
  <cols>
    <col min="1" max="1" width="9.625" style="2779" customWidth="1"/>
    <col min="2" max="2" width="18.625" style="2779" customWidth="1"/>
    <col min="3" max="6" width="10.25" style="2779" customWidth="1"/>
    <col min="7" max="7" width="10.5" style="2779" bestFit="1" customWidth="1"/>
    <col min="8" max="8" width="8.875" style="2778"/>
    <col min="9" max="9" width="13.375" style="2778" customWidth="1"/>
    <col min="10" max="13" width="13.375" style="2779" customWidth="1"/>
    <col min="14" max="14" width="18.25" style="2779" customWidth="1"/>
    <col min="15" max="17" width="15.125" style="2779" customWidth="1"/>
    <col min="18" max="20" width="11.5" style="2779" customWidth="1"/>
    <col min="21" max="16384" width="8.875" style="2779"/>
  </cols>
  <sheetData>
    <row r="1" spans="1:20" ht="12" thickBot="1">
      <c r="A1" s="3513" t="s">
        <v>2830</v>
      </c>
      <c r="B1" s="3513"/>
      <c r="C1" s="3513"/>
      <c r="D1" s="3513"/>
      <c r="E1" s="3513"/>
      <c r="F1" s="3513"/>
      <c r="G1" s="3514"/>
      <c r="I1" s="2935" t="s">
        <v>2831</v>
      </c>
      <c r="J1" s="2936" t="s">
        <v>2832</v>
      </c>
      <c r="K1" s="2936" t="s">
        <v>2833</v>
      </c>
      <c r="L1" s="2936" t="s">
        <v>2834</v>
      </c>
      <c r="M1" s="2936" t="s">
        <v>2835</v>
      </c>
      <c r="N1" s="2936" t="s">
        <v>2836</v>
      </c>
      <c r="O1" s="2936" t="s">
        <v>2837</v>
      </c>
      <c r="P1" s="2936" t="s">
        <v>2838</v>
      </c>
      <c r="Q1" s="2936" t="s">
        <v>2839</v>
      </c>
      <c r="R1" s="2936" t="s">
        <v>2840</v>
      </c>
      <c r="S1" s="2936" t="s">
        <v>2841</v>
      </c>
      <c r="T1" s="2937" t="s">
        <v>2842</v>
      </c>
    </row>
    <row r="2" spans="1:20" ht="12" thickBot="1">
      <c r="A2" s="2938" t="s">
        <v>2843</v>
      </c>
      <c r="B2" s="2938"/>
      <c r="C2" s="2938"/>
      <c r="D2" s="2938"/>
      <c r="E2" s="2938"/>
      <c r="F2" s="2938"/>
      <c r="G2" s="2939" t="s">
        <v>2844</v>
      </c>
      <c r="I2" s="2940" t="s">
        <v>2845</v>
      </c>
      <c r="J2" s="2940" t="s">
        <v>2846</v>
      </c>
      <c r="K2" s="2940" t="s">
        <v>2847</v>
      </c>
      <c r="L2" s="2940" t="s">
        <v>2848</v>
      </c>
      <c r="M2" s="2940" t="s">
        <v>2849</v>
      </c>
      <c r="N2" s="2940" t="s">
        <v>2850</v>
      </c>
      <c r="O2" s="2940" t="s">
        <v>2851</v>
      </c>
      <c r="P2" s="2940" t="s">
        <v>2852</v>
      </c>
      <c r="Q2" s="2940" t="s">
        <v>2853</v>
      </c>
      <c r="R2" s="2940" t="s">
        <v>2854</v>
      </c>
      <c r="S2" s="2940" t="s">
        <v>2855</v>
      </c>
      <c r="T2" s="2940" t="s">
        <v>2856</v>
      </c>
    </row>
    <row r="3" spans="1:20" s="2946" customFormat="1">
      <c r="A3" s="3511" t="s">
        <v>2857</v>
      </c>
      <c r="B3" s="2941"/>
      <c r="C3" s="2942" t="s">
        <v>2798</v>
      </c>
      <c r="D3" s="2942" t="s">
        <v>2858</v>
      </c>
      <c r="E3" s="2942" t="s">
        <v>2800</v>
      </c>
      <c r="F3" s="2942" t="s">
        <v>2859</v>
      </c>
      <c r="G3" s="2942" t="s">
        <v>2618</v>
      </c>
      <c r="H3" s="2943"/>
      <c r="I3" s="2944" t="s">
        <v>2860</v>
      </c>
      <c r="J3" s="2945" t="s">
        <v>128</v>
      </c>
      <c r="K3" s="2945" t="s">
        <v>129</v>
      </c>
      <c r="L3" s="2944" t="s">
        <v>130</v>
      </c>
      <c r="M3" s="2944" t="s">
        <v>131</v>
      </c>
      <c r="N3" s="2944" t="s">
        <v>132</v>
      </c>
      <c r="O3" s="2944" t="s">
        <v>133</v>
      </c>
      <c r="P3" s="2944" t="s">
        <v>134</v>
      </c>
      <c r="Q3" s="2944" t="s">
        <v>135</v>
      </c>
      <c r="R3" s="2944" t="s">
        <v>136</v>
      </c>
      <c r="S3" s="2944" t="s">
        <v>2861</v>
      </c>
      <c r="T3" s="2944" t="s">
        <v>2862</v>
      </c>
    </row>
    <row r="4" spans="1:20" s="2946" customFormat="1" ht="12" thickBot="1">
      <c r="A4" s="3512"/>
      <c r="B4" s="2947" t="s">
        <v>2863</v>
      </c>
      <c r="C4" s="2947" t="s">
        <v>2864</v>
      </c>
      <c r="D4" s="2947" t="s">
        <v>2864</v>
      </c>
      <c r="E4" s="2947" t="s">
        <v>2864</v>
      </c>
      <c r="F4" s="2948" t="s">
        <v>2864</v>
      </c>
      <c r="G4" s="2948" t="s">
        <v>2864</v>
      </c>
      <c r="H4" s="2943"/>
      <c r="I4" s="2945" t="s">
        <v>137</v>
      </c>
      <c r="J4" s="2945" t="s">
        <v>111</v>
      </c>
      <c r="K4" s="2945" t="s">
        <v>138</v>
      </c>
      <c r="L4" s="2944" t="s">
        <v>139</v>
      </c>
      <c r="M4" s="2944" t="s">
        <v>140</v>
      </c>
      <c r="N4" s="2944" t="s">
        <v>141</v>
      </c>
      <c r="O4" s="2944" t="s">
        <v>142</v>
      </c>
      <c r="P4" s="2944" t="s">
        <v>143</v>
      </c>
      <c r="Q4" s="2944" t="s">
        <v>2865</v>
      </c>
      <c r="R4" s="2944" t="s">
        <v>2866</v>
      </c>
      <c r="S4" s="2944" t="s">
        <v>2867</v>
      </c>
      <c r="T4" s="2944" t="s">
        <v>2868</v>
      </c>
    </row>
    <row r="5" spans="1:20">
      <c r="A5" s="2949" t="s">
        <v>2831</v>
      </c>
      <c r="B5" s="2940" t="s">
        <v>2845</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2869</v>
      </c>
      <c r="R5" s="2944" t="s">
        <v>2870</v>
      </c>
      <c r="S5" s="2944" t="s">
        <v>153</v>
      </c>
      <c r="T5" s="2944" t="s">
        <v>2871</v>
      </c>
    </row>
    <row r="6" spans="1:20" ht="12" thickBot="1">
      <c r="A6" s="2944" t="s">
        <v>144</v>
      </c>
      <c r="B6" s="2944" t="s">
        <v>2860</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2872</v>
      </c>
      <c r="Q6" s="2944" t="s">
        <v>2873</v>
      </c>
      <c r="R6" s="2944" t="s">
        <v>161</v>
      </c>
      <c r="S6" s="2944" t="s">
        <v>2874</v>
      </c>
      <c r="T6" s="2944" t="s">
        <v>2875</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2876</v>
      </c>
      <c r="Q7" s="2944" t="s">
        <v>2877</v>
      </c>
      <c r="R7" s="2944" t="s">
        <v>2878</v>
      </c>
      <c r="S7" s="2944" t="s">
        <v>2879</v>
      </c>
      <c r="T7" s="2944" t="s">
        <v>2880</v>
      </c>
    </row>
    <row r="8" spans="1:20" ht="12"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2881</v>
      </c>
      <c r="Q8" s="2944" t="s">
        <v>174</v>
      </c>
      <c r="R8" s="2944" t="s">
        <v>2882</v>
      </c>
      <c r="S8" s="2944" t="s">
        <v>2883</v>
      </c>
      <c r="T8" s="2951" t="s">
        <v>2884</v>
      </c>
    </row>
    <row r="9" spans="1:20" ht="12"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2885</v>
      </c>
      <c r="Q9" s="2944" t="s">
        <v>182</v>
      </c>
      <c r="R9" s="2944" t="s">
        <v>183</v>
      </c>
      <c r="S9" s="2944" t="s">
        <v>200</v>
      </c>
    </row>
    <row r="10" spans="1:20">
      <c r="A10" s="2949" t="s">
        <v>184</v>
      </c>
      <c r="B10" s="2940" t="s">
        <v>2846</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2886</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2887</v>
      </c>
      <c r="P11" s="2944" t="s">
        <v>191</v>
      </c>
      <c r="Q11" s="2944" t="s">
        <v>199</v>
      </c>
      <c r="R11" s="2944" t="s">
        <v>2888</v>
      </c>
      <c r="S11" s="2944" t="s">
        <v>2889</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2890</v>
      </c>
      <c r="P12" s="2944" t="s">
        <v>2891</v>
      </c>
      <c r="Q12" s="2944" t="s">
        <v>2892</v>
      </c>
      <c r="R12" s="2944" t="s">
        <v>2893</v>
      </c>
      <c r="S12" s="2944" t="s">
        <v>2894</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2895</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2896</v>
      </c>
      <c r="K14" s="2945" t="s">
        <v>215</v>
      </c>
      <c r="L14" s="2944" t="s">
        <v>216</v>
      </c>
      <c r="M14" s="2944" t="s">
        <v>217</v>
      </c>
      <c r="N14" s="2944" t="s">
        <v>218</v>
      </c>
      <c r="O14" s="2944" t="s">
        <v>240</v>
      </c>
      <c r="P14" s="2944" t="s">
        <v>213</v>
      </c>
      <c r="Q14" s="2944" t="s">
        <v>2897</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2898</v>
      </c>
      <c r="P15" s="2944" t="s">
        <v>2899</v>
      </c>
      <c r="Q15" s="2944" t="s">
        <v>242</v>
      </c>
      <c r="R15" s="2944" t="s">
        <v>2900</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2901</v>
      </c>
      <c r="P16" s="2944" t="s">
        <v>227</v>
      </c>
      <c r="Q16" s="2944" t="s">
        <v>250</v>
      </c>
      <c r="R16" s="2944" t="s">
        <v>207</v>
      </c>
      <c r="S16" s="2944" t="s">
        <v>2902</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2903</v>
      </c>
      <c r="P17" s="2944" t="s">
        <v>2904</v>
      </c>
      <c r="Q17" s="2944" t="s">
        <v>256</v>
      </c>
      <c r="R17" s="2944" t="s">
        <v>2905</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2906</v>
      </c>
      <c r="P18" s="2944" t="s">
        <v>241</v>
      </c>
      <c r="Q18" s="2944" t="s">
        <v>2907</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2908</v>
      </c>
      <c r="P19" s="2944" t="s">
        <v>249</v>
      </c>
      <c r="Q19" s="2944" t="s">
        <v>2909</v>
      </c>
      <c r="R19" s="2944" t="s">
        <v>265</v>
      </c>
      <c r="S19" s="2944" t="s">
        <v>2910</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2911</v>
      </c>
      <c r="P20" s="2944" t="s">
        <v>2912</v>
      </c>
      <c r="Q20" s="2944" t="s">
        <v>290</v>
      </c>
      <c r="R20" s="2944" t="s">
        <v>2913</v>
      </c>
      <c r="S20" s="2944" t="s">
        <v>277</v>
      </c>
    </row>
    <row r="21" spans="1:19" ht="14.25" customHeight="1" thickBot="1">
      <c r="A21" s="2944" t="s">
        <v>184</v>
      </c>
      <c r="B21" s="2945" t="s">
        <v>208</v>
      </c>
      <c r="C21" s="2944">
        <v>32370</v>
      </c>
      <c r="D21" s="2944">
        <v>26730</v>
      </c>
      <c r="E21" s="2944">
        <v>26640</v>
      </c>
      <c r="F21" s="2944"/>
      <c r="G21" s="2944">
        <v>19440</v>
      </c>
      <c r="J21" s="2951" t="s">
        <v>2914</v>
      </c>
      <c r="K21" s="2945" t="s">
        <v>267</v>
      </c>
      <c r="L21" s="2944" t="s">
        <v>268</v>
      </c>
      <c r="M21" s="2944" t="s">
        <v>269</v>
      </c>
      <c r="N21" s="2944" t="s">
        <v>270</v>
      </c>
      <c r="O21" s="2944" t="s">
        <v>264</v>
      </c>
      <c r="P21" s="2944" t="s">
        <v>283</v>
      </c>
      <c r="Q21" s="2944" t="s">
        <v>293</v>
      </c>
      <c r="R21" s="2944" t="s">
        <v>2915</v>
      </c>
      <c r="S21" s="2951" t="s">
        <v>2916</v>
      </c>
    </row>
    <row r="22" spans="1:19" ht="14.25" customHeight="1">
      <c r="A22" s="2944" t="s">
        <v>184</v>
      </c>
      <c r="B22" s="2945" t="s">
        <v>2896</v>
      </c>
      <c r="C22" s="2944">
        <v>29830</v>
      </c>
      <c r="D22" s="2944">
        <v>27600</v>
      </c>
      <c r="E22" s="2944">
        <v>28150</v>
      </c>
      <c r="F22" s="2944"/>
      <c r="G22" s="2944">
        <v>20080</v>
      </c>
      <c r="K22" s="2945" t="s">
        <v>2917</v>
      </c>
      <c r="L22" s="2944" t="s">
        <v>272</v>
      </c>
      <c r="M22" s="2944" t="s">
        <v>273</v>
      </c>
      <c r="N22" s="2944" t="s">
        <v>274</v>
      </c>
      <c r="O22" s="2944" t="s">
        <v>2918</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2919</v>
      </c>
      <c r="L23" s="2944" t="s">
        <v>278</v>
      </c>
      <c r="M23" s="2944" t="s">
        <v>279</v>
      </c>
      <c r="N23" s="2944" t="s">
        <v>2920</v>
      </c>
      <c r="O23" s="2944" t="s">
        <v>2921</v>
      </c>
      <c r="P23" s="2944" t="s">
        <v>289</v>
      </c>
      <c r="Q23" s="2944" t="s">
        <v>298</v>
      </c>
      <c r="R23" s="2944" t="s">
        <v>2922</v>
      </c>
    </row>
    <row r="24" spans="1:19" ht="14.25" customHeight="1">
      <c r="A24" s="2944" t="s">
        <v>184</v>
      </c>
      <c r="B24" s="2945" t="s">
        <v>230</v>
      </c>
      <c r="C24" s="2944">
        <v>27930</v>
      </c>
      <c r="D24" s="2944">
        <v>32260</v>
      </c>
      <c r="E24" s="2944">
        <v>32120</v>
      </c>
      <c r="F24" s="2944"/>
      <c r="G24" s="2944">
        <v>23470</v>
      </c>
      <c r="K24" s="2945" t="s">
        <v>2923</v>
      </c>
      <c r="L24" s="2944" t="s">
        <v>281</v>
      </c>
      <c r="M24" s="2944" t="s">
        <v>282</v>
      </c>
      <c r="N24" s="2944" t="s">
        <v>2924</v>
      </c>
      <c r="O24" s="2944" t="s">
        <v>285</v>
      </c>
      <c r="P24" s="2944" t="s">
        <v>2925</v>
      </c>
      <c r="Q24" s="2953" t="s">
        <v>2926</v>
      </c>
      <c r="R24" s="2944" t="s">
        <v>2927</v>
      </c>
    </row>
    <row r="25" spans="1:19" ht="14.25" customHeight="1">
      <c r="A25" s="2944" t="s">
        <v>184</v>
      </c>
      <c r="B25" s="2945" t="s">
        <v>235</v>
      </c>
      <c r="C25" s="2944">
        <v>32230</v>
      </c>
      <c r="D25" s="2944">
        <v>29640</v>
      </c>
      <c r="E25" s="2944">
        <v>29510</v>
      </c>
      <c r="F25" s="2944"/>
      <c r="G25" s="2944">
        <v>21560</v>
      </c>
      <c r="K25" s="2945" t="s">
        <v>2928</v>
      </c>
      <c r="L25" s="2944" t="s">
        <v>2929</v>
      </c>
      <c r="M25" s="2944" t="s">
        <v>284</v>
      </c>
      <c r="N25" s="2944" t="s">
        <v>292</v>
      </c>
      <c r="O25" s="2944" t="s">
        <v>288</v>
      </c>
      <c r="P25" s="2944" t="s">
        <v>275</v>
      </c>
      <c r="Q25" s="2953" t="s">
        <v>271</v>
      </c>
      <c r="R25" s="2944" t="s">
        <v>2930</v>
      </c>
    </row>
    <row r="26" spans="1:19" ht="14.25" customHeight="1" thickBot="1">
      <c r="A26" s="2944" t="s">
        <v>184</v>
      </c>
      <c r="B26" s="2945" t="s">
        <v>244</v>
      </c>
      <c r="C26" s="2944">
        <v>31690</v>
      </c>
      <c r="D26" s="2944">
        <v>27650</v>
      </c>
      <c r="E26" s="2944">
        <v>28200</v>
      </c>
      <c r="F26" s="2944"/>
      <c r="G26" s="2944">
        <v>20110</v>
      </c>
      <c r="K26" s="2950" t="s">
        <v>2931</v>
      </c>
      <c r="L26" s="2944" t="s">
        <v>2932</v>
      </c>
      <c r="M26" s="2944" t="s">
        <v>287</v>
      </c>
      <c r="N26" s="2944" t="s">
        <v>294</v>
      </c>
      <c r="O26" s="2944" t="s">
        <v>2933</v>
      </c>
      <c r="P26" s="2944" t="s">
        <v>2934</v>
      </c>
      <c r="Q26" s="2953" t="s">
        <v>276</v>
      </c>
      <c r="R26" s="2944" t="s">
        <v>2935</v>
      </c>
    </row>
    <row r="27" spans="1:19" ht="14.25" customHeight="1">
      <c r="A27" s="2944" t="s">
        <v>184</v>
      </c>
      <c r="B27" s="2945" t="s">
        <v>251</v>
      </c>
      <c r="C27" s="2944">
        <v>29610</v>
      </c>
      <c r="D27" s="2944">
        <v>27770</v>
      </c>
      <c r="E27" s="2944">
        <v>28300</v>
      </c>
      <c r="F27" s="2944"/>
      <c r="G27" s="2944">
        <v>20210</v>
      </c>
      <c r="L27" s="2944" t="s">
        <v>2936</v>
      </c>
      <c r="M27" s="2944" t="s">
        <v>291</v>
      </c>
      <c r="N27" s="2944" t="s">
        <v>297</v>
      </c>
      <c r="O27" s="2944" t="s">
        <v>2937</v>
      </c>
      <c r="P27" s="2944" t="s">
        <v>2938</v>
      </c>
      <c r="Q27" s="2944" t="s">
        <v>2939</v>
      </c>
      <c r="R27" s="2944" t="s">
        <v>2940</v>
      </c>
    </row>
    <row r="28" spans="1:19" ht="14.25" customHeight="1">
      <c r="A28" s="2944" t="s">
        <v>184</v>
      </c>
      <c r="B28" s="2945" t="s">
        <v>259</v>
      </c>
      <c r="C28" s="2944"/>
      <c r="D28" s="2944">
        <v>31520</v>
      </c>
      <c r="E28" s="2944">
        <v>31410</v>
      </c>
      <c r="F28" s="2944"/>
      <c r="G28" s="2944">
        <v>22940</v>
      </c>
      <c r="L28" s="2944" t="s">
        <v>2941</v>
      </c>
      <c r="M28" s="2944" t="s">
        <v>2942</v>
      </c>
      <c r="N28" s="2944" t="s">
        <v>2943</v>
      </c>
      <c r="O28" s="2944" t="s">
        <v>2944</v>
      </c>
      <c r="P28" s="2944" t="s">
        <v>2945</v>
      </c>
      <c r="Q28" s="2944" t="s">
        <v>2946</v>
      </c>
      <c r="R28" s="2944" t="s">
        <v>2947</v>
      </c>
    </row>
    <row r="29" spans="1:19" ht="14.25" customHeight="1" thickBot="1">
      <c r="A29" s="2952" t="s">
        <v>184</v>
      </c>
      <c r="B29" s="2954" t="s">
        <v>2914</v>
      </c>
      <c r="C29" s="2955"/>
      <c r="D29" s="2955">
        <v>29460</v>
      </c>
      <c r="E29" s="2955">
        <v>28640</v>
      </c>
      <c r="F29" s="2955"/>
      <c r="G29" s="2955">
        <v>21430</v>
      </c>
      <c r="L29" s="2944" t="s">
        <v>2948</v>
      </c>
      <c r="M29" s="2944" t="s">
        <v>2949</v>
      </c>
      <c r="N29" s="2944" t="s">
        <v>2950</v>
      </c>
      <c r="O29" s="2944" t="s">
        <v>2951</v>
      </c>
      <c r="P29" s="2944" t="s">
        <v>2952</v>
      </c>
      <c r="Q29" s="2944" t="s">
        <v>2953</v>
      </c>
      <c r="R29" s="2944" t="s">
        <v>280</v>
      </c>
    </row>
    <row r="30" spans="1:19" ht="14.25" customHeight="1">
      <c r="A30" s="2949" t="s">
        <v>296</v>
      </c>
      <c r="B30" s="2940" t="s">
        <v>2847</v>
      </c>
      <c r="C30" s="2940">
        <v>26890</v>
      </c>
      <c r="D30" s="2940">
        <v>26770</v>
      </c>
      <c r="E30" s="2940">
        <v>25700</v>
      </c>
      <c r="F30" s="2940">
        <v>8180</v>
      </c>
      <c r="G30" s="2956">
        <v>18740</v>
      </c>
      <c r="L30" s="2944" t="s">
        <v>2954</v>
      </c>
      <c r="M30" s="2944" t="s">
        <v>2955</v>
      </c>
      <c r="N30" s="2944" t="s">
        <v>2956</v>
      </c>
      <c r="O30" s="2944" t="s">
        <v>2957</v>
      </c>
      <c r="P30" s="2944" t="s">
        <v>2958</v>
      </c>
      <c r="Q30" s="2944" t="s">
        <v>2959</v>
      </c>
      <c r="R30" s="2944" t="s">
        <v>2960</v>
      </c>
    </row>
    <row r="31" spans="1:19" ht="14.25" customHeight="1">
      <c r="A31" s="2944" t="s">
        <v>296</v>
      </c>
      <c r="B31" s="2945" t="s">
        <v>129</v>
      </c>
      <c r="C31" s="2944">
        <v>24550</v>
      </c>
      <c r="D31" s="2944">
        <v>23990</v>
      </c>
      <c r="E31" s="2944">
        <v>22930</v>
      </c>
      <c r="F31" s="2944">
        <v>7470</v>
      </c>
      <c r="G31" s="2957">
        <v>16790</v>
      </c>
      <c r="L31" s="2944" t="s">
        <v>2961</v>
      </c>
      <c r="M31" s="2944" t="s">
        <v>2962</v>
      </c>
      <c r="N31" s="2944" t="s">
        <v>2963</v>
      </c>
      <c r="O31" s="2944" t="s">
        <v>2964</v>
      </c>
      <c r="P31" s="2944" t="s">
        <v>2965</v>
      </c>
      <c r="Q31" s="2944" t="s">
        <v>2966</v>
      </c>
      <c r="R31" s="2944" t="s">
        <v>2967</v>
      </c>
    </row>
    <row r="32" spans="1:19" ht="14.25" customHeight="1" thickBot="1">
      <c r="A32" s="2944" t="s">
        <v>296</v>
      </c>
      <c r="B32" s="2945" t="s">
        <v>138</v>
      </c>
      <c r="C32" s="2944">
        <v>27210</v>
      </c>
      <c r="D32" s="2944">
        <v>23240</v>
      </c>
      <c r="E32" s="2944">
        <v>23260</v>
      </c>
      <c r="F32" s="2944">
        <v>7130</v>
      </c>
      <c r="G32" s="2957">
        <v>16270</v>
      </c>
      <c r="L32" s="2944" t="s">
        <v>2968</v>
      </c>
      <c r="M32" s="2944" t="s">
        <v>2969</v>
      </c>
      <c r="N32" s="2944" t="s">
        <v>300</v>
      </c>
      <c r="O32" s="2944" t="s">
        <v>2970</v>
      </c>
      <c r="P32" s="2944" t="s">
        <v>299</v>
      </c>
      <c r="Q32" s="2944" t="s">
        <v>2971</v>
      </c>
      <c r="R32" s="2951" t="s">
        <v>2972</v>
      </c>
    </row>
    <row r="33" spans="1:17" ht="14.25" customHeight="1" thickBot="1">
      <c r="A33" s="2944" t="s">
        <v>296</v>
      </c>
      <c r="B33" s="2945" t="s">
        <v>147</v>
      </c>
      <c r="C33" s="2944">
        <v>27300</v>
      </c>
      <c r="D33" s="2944">
        <v>22980</v>
      </c>
      <c r="E33" s="2944">
        <v>24260</v>
      </c>
      <c r="F33" s="2944">
        <v>5860</v>
      </c>
      <c r="G33" s="2957">
        <v>16090</v>
      </c>
      <c r="L33" s="2951" t="s">
        <v>2973</v>
      </c>
      <c r="M33" s="2944" t="s">
        <v>2974</v>
      </c>
      <c r="N33" s="2944" t="s">
        <v>301</v>
      </c>
      <c r="O33" s="2944" t="s">
        <v>2975</v>
      </c>
      <c r="P33" s="2944" t="s">
        <v>2976</v>
      </c>
      <c r="Q33" s="2944" t="s">
        <v>2977</v>
      </c>
    </row>
    <row r="34" spans="1:17" ht="14.25" customHeight="1">
      <c r="A34" s="2944" t="s">
        <v>296</v>
      </c>
      <c r="B34" s="2945" t="s">
        <v>156</v>
      </c>
      <c r="C34" s="2944">
        <v>23090</v>
      </c>
      <c r="D34" s="2944">
        <v>23390</v>
      </c>
      <c r="E34" s="2944">
        <v>23510</v>
      </c>
      <c r="F34" s="2944">
        <v>6700</v>
      </c>
      <c r="G34" s="2957">
        <v>16370</v>
      </c>
      <c r="M34" s="2944" t="s">
        <v>2978</v>
      </c>
      <c r="N34" s="2944" t="s">
        <v>302</v>
      </c>
      <c r="O34" s="2944" t="s">
        <v>2979</v>
      </c>
      <c r="P34" s="2944" t="s">
        <v>2980</v>
      </c>
      <c r="Q34" s="2944" t="s">
        <v>2981</v>
      </c>
    </row>
    <row r="35" spans="1:17" ht="14.25" customHeight="1">
      <c r="A35" s="2944" t="s">
        <v>296</v>
      </c>
      <c r="B35" s="2945" t="s">
        <v>163</v>
      </c>
      <c r="C35" s="2944">
        <v>27270</v>
      </c>
      <c r="D35" s="2944">
        <v>24270</v>
      </c>
      <c r="E35" s="2944">
        <v>24950</v>
      </c>
      <c r="F35" s="2944">
        <v>6600</v>
      </c>
      <c r="G35" s="2957">
        <v>16990</v>
      </c>
      <c r="M35" s="2944" t="s">
        <v>2982</v>
      </c>
      <c r="N35" s="2944" t="s">
        <v>2983</v>
      </c>
      <c r="O35" s="2944" t="s">
        <v>2984</v>
      </c>
      <c r="P35" s="2944" t="s">
        <v>2985</v>
      </c>
      <c r="Q35" s="2944" t="s">
        <v>2986</v>
      </c>
    </row>
    <row r="36" spans="1:17" ht="14.25" customHeight="1">
      <c r="A36" s="2944" t="s">
        <v>296</v>
      </c>
      <c r="B36" s="2945" t="s">
        <v>169</v>
      </c>
      <c r="C36" s="2944">
        <v>23490</v>
      </c>
      <c r="D36" s="2944">
        <v>23020</v>
      </c>
      <c r="E36" s="2944">
        <v>25230</v>
      </c>
      <c r="F36" s="2944">
        <v>6780</v>
      </c>
      <c r="G36" s="2957">
        <v>16120</v>
      </c>
      <c r="M36" s="2944" t="s">
        <v>2987</v>
      </c>
      <c r="N36" s="2944" t="s">
        <v>2988</v>
      </c>
      <c r="O36" s="2944" t="s">
        <v>2989</v>
      </c>
      <c r="P36" s="2944" t="s">
        <v>2990</v>
      </c>
      <c r="Q36" s="2944" t="s">
        <v>2991</v>
      </c>
    </row>
    <row r="37" spans="1:17" ht="14.25" customHeight="1">
      <c r="A37" s="2944" t="s">
        <v>296</v>
      </c>
      <c r="B37" s="2945" t="s">
        <v>176</v>
      </c>
      <c r="C37" s="2944">
        <v>24380</v>
      </c>
      <c r="D37" s="2944">
        <v>22240</v>
      </c>
      <c r="E37" s="2944">
        <v>25980</v>
      </c>
      <c r="F37" s="2944">
        <v>8160</v>
      </c>
      <c r="G37" s="2957">
        <v>15570</v>
      </c>
      <c r="M37" s="2944" t="s">
        <v>2992</v>
      </c>
      <c r="N37" s="2944" t="s">
        <v>2993</v>
      </c>
      <c r="O37" s="2944" t="s">
        <v>2994</v>
      </c>
      <c r="P37" s="2944" t="s">
        <v>2995</v>
      </c>
      <c r="Q37" s="2944" t="s">
        <v>2996</v>
      </c>
    </row>
    <row r="38" spans="1:17" ht="14.25" customHeight="1">
      <c r="A38" s="2944" t="s">
        <v>296</v>
      </c>
      <c r="B38" s="2945" t="s">
        <v>186</v>
      </c>
      <c r="C38" s="2944">
        <v>23120</v>
      </c>
      <c r="D38" s="2944">
        <v>24630</v>
      </c>
      <c r="E38" s="2944">
        <v>25030</v>
      </c>
      <c r="F38" s="2944">
        <v>7710</v>
      </c>
      <c r="G38" s="2957">
        <v>17240</v>
      </c>
      <c r="M38" s="2944" t="s">
        <v>2997</v>
      </c>
      <c r="N38" s="2944" t="s">
        <v>2998</v>
      </c>
      <c r="O38" s="2944" t="s">
        <v>2999</v>
      </c>
      <c r="P38" s="2944" t="s">
        <v>3000</v>
      </c>
      <c r="Q38" s="2944" t="s">
        <v>3001</v>
      </c>
    </row>
    <row r="39" spans="1:17" ht="14.25" customHeight="1">
      <c r="A39" s="2944" t="s">
        <v>296</v>
      </c>
      <c r="B39" s="2945" t="s">
        <v>195</v>
      </c>
      <c r="C39" s="2944">
        <v>22330</v>
      </c>
      <c r="D39" s="2944">
        <v>21140</v>
      </c>
      <c r="E39" s="2944">
        <v>23970</v>
      </c>
      <c r="F39" s="2944">
        <v>7940</v>
      </c>
      <c r="G39" s="2957">
        <v>14790</v>
      </c>
      <c r="M39" s="2944" t="s">
        <v>3002</v>
      </c>
      <c r="N39" s="2944" t="s">
        <v>3003</v>
      </c>
      <c r="O39" s="2944" t="s">
        <v>3004</v>
      </c>
      <c r="P39" s="2944" t="s">
        <v>3005</v>
      </c>
      <c r="Q39" s="2944" t="s">
        <v>3006</v>
      </c>
    </row>
    <row r="40" spans="1:17" ht="14.25" customHeight="1">
      <c r="A40" s="2944" t="s">
        <v>296</v>
      </c>
      <c r="B40" s="2945" t="s">
        <v>202</v>
      </c>
      <c r="C40" s="2944">
        <v>24740</v>
      </c>
      <c r="D40" s="2944">
        <v>24690</v>
      </c>
      <c r="E40" s="2944">
        <v>22610</v>
      </c>
      <c r="F40" s="2944"/>
      <c r="G40" s="2957">
        <v>17280</v>
      </c>
      <c r="M40" s="2944" t="s">
        <v>3007</v>
      </c>
      <c r="N40" s="2944" t="s">
        <v>3008</v>
      </c>
      <c r="O40" s="2944" t="s">
        <v>3009</v>
      </c>
      <c r="P40" s="2944" t="s">
        <v>3010</v>
      </c>
      <c r="Q40" s="2944" t="s">
        <v>3011</v>
      </c>
    </row>
    <row r="41" spans="1:17" ht="14.25" customHeight="1" thickBot="1">
      <c r="A41" s="2944" t="s">
        <v>296</v>
      </c>
      <c r="B41" s="2945" t="s">
        <v>209</v>
      </c>
      <c r="C41" s="2944">
        <v>21220</v>
      </c>
      <c r="D41" s="2944">
        <v>21120</v>
      </c>
      <c r="E41" s="2944">
        <v>22590</v>
      </c>
      <c r="F41" s="2944"/>
      <c r="G41" s="2957">
        <v>14780</v>
      </c>
      <c r="M41" s="2951" t="s">
        <v>3012</v>
      </c>
      <c r="N41" s="2944" t="s">
        <v>3013</v>
      </c>
      <c r="O41" s="2944" t="s">
        <v>3014</v>
      </c>
      <c r="P41" s="2944" t="s">
        <v>3015</v>
      </c>
      <c r="Q41" s="2944" t="s">
        <v>3016</v>
      </c>
    </row>
    <row r="42" spans="1:17" ht="14.25" customHeight="1">
      <c r="A42" s="2944" t="s">
        <v>296</v>
      </c>
      <c r="B42" s="2945" t="s">
        <v>215</v>
      </c>
      <c r="C42" s="2944">
        <v>24800</v>
      </c>
      <c r="D42" s="2944">
        <v>22280</v>
      </c>
      <c r="E42" s="2944">
        <v>24350</v>
      </c>
      <c r="F42" s="2944"/>
      <c r="G42" s="2957">
        <v>15590</v>
      </c>
      <c r="N42" s="2944" t="s">
        <v>3017</v>
      </c>
      <c r="O42" s="2944" t="s">
        <v>3018</v>
      </c>
      <c r="P42" s="2944" t="s">
        <v>3019</v>
      </c>
      <c r="Q42" s="2944" t="s">
        <v>3020</v>
      </c>
    </row>
    <row r="43" spans="1:17" ht="14.25" customHeight="1">
      <c r="A43" s="2944" t="s">
        <v>3021</v>
      </c>
      <c r="B43" s="2945" t="s">
        <v>223</v>
      </c>
      <c r="C43" s="2944">
        <v>21210</v>
      </c>
      <c r="D43" s="2944">
        <v>21160</v>
      </c>
      <c r="E43" s="2944">
        <v>22650</v>
      </c>
      <c r="F43" s="2944"/>
      <c r="G43" s="2957">
        <v>14800</v>
      </c>
      <c r="N43" s="2944" t="s">
        <v>3022</v>
      </c>
      <c r="O43" s="2944" t="s">
        <v>3023</v>
      </c>
      <c r="P43" s="2944" t="s">
        <v>3024</v>
      </c>
      <c r="Q43" s="2944" t="s">
        <v>3025</v>
      </c>
    </row>
    <row r="44" spans="1:17" ht="14.25" customHeight="1" thickBot="1">
      <c r="A44" s="2944" t="s">
        <v>296</v>
      </c>
      <c r="B44" s="2945" t="s">
        <v>231</v>
      </c>
      <c r="C44" s="2944">
        <v>22370</v>
      </c>
      <c r="D44" s="2944">
        <v>23140</v>
      </c>
      <c r="E44" s="2944">
        <v>25090</v>
      </c>
      <c r="F44" s="2944"/>
      <c r="G44" s="2957">
        <v>16190</v>
      </c>
      <c r="N44" s="2944" t="s">
        <v>3026</v>
      </c>
      <c r="O44" s="2944" t="s">
        <v>3027</v>
      </c>
      <c r="P44" s="2951" t="s">
        <v>3028</v>
      </c>
      <c r="Q44" s="2944" t="s">
        <v>3029</v>
      </c>
    </row>
    <row r="45" spans="1:17" ht="14.25" customHeight="1" thickBot="1">
      <c r="A45" s="2944" t="s">
        <v>296</v>
      </c>
      <c r="B45" s="2945" t="s">
        <v>236</v>
      </c>
      <c r="C45" s="2944">
        <v>21240</v>
      </c>
      <c r="D45" s="2944">
        <v>27050</v>
      </c>
      <c r="E45" s="2944">
        <v>28000</v>
      </c>
      <c r="F45" s="2944"/>
      <c r="G45" s="2957">
        <v>18940</v>
      </c>
      <c r="N45" s="2944" t="s">
        <v>3030</v>
      </c>
      <c r="O45" s="2951" t="s">
        <v>3031</v>
      </c>
      <c r="Q45" s="2944" t="s">
        <v>3032</v>
      </c>
    </row>
    <row r="46" spans="1:17" ht="14.25" customHeight="1">
      <c r="A46" s="2944" t="s">
        <v>296</v>
      </c>
      <c r="B46" s="2945" t="s">
        <v>245</v>
      </c>
      <c r="C46" s="2944">
        <v>23240</v>
      </c>
      <c r="D46" s="2944">
        <v>23000</v>
      </c>
      <c r="E46" s="2944">
        <v>24980</v>
      </c>
      <c r="F46" s="2944"/>
      <c r="G46" s="2957">
        <v>16100</v>
      </c>
      <c r="N46" s="2944" t="s">
        <v>3033</v>
      </c>
      <c r="Q46" s="2944" t="s">
        <v>3034</v>
      </c>
    </row>
    <row r="47" spans="1:17" ht="14.25" customHeight="1">
      <c r="A47" s="2944" t="s">
        <v>296</v>
      </c>
      <c r="B47" s="2945" t="s">
        <v>252</v>
      </c>
      <c r="C47" s="2944">
        <v>27150</v>
      </c>
      <c r="D47" s="2944">
        <v>23310</v>
      </c>
      <c r="E47" s="2944">
        <v>25150</v>
      </c>
      <c r="F47" s="2944"/>
      <c r="G47" s="2957">
        <v>16310</v>
      </c>
      <c r="N47" s="2944" t="s">
        <v>3035</v>
      </c>
      <c r="Q47" s="2944" t="s">
        <v>3036</v>
      </c>
    </row>
    <row r="48" spans="1:17" ht="14.25" customHeight="1">
      <c r="A48" s="2944" t="s">
        <v>296</v>
      </c>
      <c r="B48" s="2945" t="s">
        <v>260</v>
      </c>
      <c r="C48" s="2944">
        <v>23100</v>
      </c>
      <c r="D48" s="2944">
        <v>21110</v>
      </c>
      <c r="E48" s="2944">
        <v>23080</v>
      </c>
      <c r="F48" s="2944"/>
      <c r="G48" s="2957">
        <v>14780</v>
      </c>
      <c r="N48" s="2944" t="s">
        <v>3037</v>
      </c>
      <c r="Q48" s="2944" t="s">
        <v>3038</v>
      </c>
    </row>
    <row r="49" spans="1:17" ht="14.25" customHeight="1">
      <c r="A49" s="2944" t="s">
        <v>296</v>
      </c>
      <c r="B49" s="2945" t="s">
        <v>267</v>
      </c>
      <c r="C49" s="2944">
        <v>23400</v>
      </c>
      <c r="D49" s="2944">
        <v>22920</v>
      </c>
      <c r="E49" s="2944">
        <v>24900</v>
      </c>
      <c r="F49" s="2944"/>
      <c r="G49" s="2957">
        <v>16040</v>
      </c>
      <c r="N49" s="2944" t="s">
        <v>3039</v>
      </c>
      <c r="Q49" s="2944" t="s">
        <v>3040</v>
      </c>
    </row>
    <row r="50" spans="1:17" ht="14.25" customHeight="1">
      <c r="A50" s="2944" t="s">
        <v>296</v>
      </c>
      <c r="B50" s="2945" t="s">
        <v>2917</v>
      </c>
      <c r="C50" s="2944">
        <v>21200</v>
      </c>
      <c r="D50" s="2944">
        <v>26540</v>
      </c>
      <c r="E50" s="2944">
        <v>23200</v>
      </c>
      <c r="F50" s="2944"/>
      <c r="G50" s="2957">
        <v>18580</v>
      </c>
      <c r="N50" s="2944" t="s">
        <v>3041</v>
      </c>
      <c r="Q50" s="2945" t="s">
        <v>3042</v>
      </c>
    </row>
    <row r="51" spans="1:17" ht="14.25" customHeight="1" thickBot="1">
      <c r="A51" s="2944" t="s">
        <v>296</v>
      </c>
      <c r="B51" s="2945" t="s">
        <v>2919</v>
      </c>
      <c r="C51" s="2944">
        <v>23000</v>
      </c>
      <c r="D51" s="2944">
        <v>23460</v>
      </c>
      <c r="E51" s="2944">
        <v>25290</v>
      </c>
      <c r="F51" s="2944"/>
      <c r="G51" s="2957">
        <v>16420</v>
      </c>
      <c r="N51" s="2944" t="s">
        <v>3043</v>
      </c>
      <c r="Q51" s="2951" t="s">
        <v>3044</v>
      </c>
    </row>
    <row r="52" spans="1:17" ht="14.25" customHeight="1">
      <c r="A52" s="2944" t="s">
        <v>296</v>
      </c>
      <c r="B52" s="2945" t="s">
        <v>2923</v>
      </c>
      <c r="C52" s="2944">
        <v>26660</v>
      </c>
      <c r="D52" s="2944">
        <v>22350</v>
      </c>
      <c r="E52" s="2944">
        <v>22920</v>
      </c>
      <c r="F52" s="2944"/>
      <c r="G52" s="2957">
        <v>15640</v>
      </c>
      <c r="N52" s="2944" t="s">
        <v>3045</v>
      </c>
    </row>
    <row r="53" spans="1:17" ht="14.25" customHeight="1">
      <c r="A53" s="2944" t="s">
        <v>296</v>
      </c>
      <c r="B53" s="2945" t="s">
        <v>2928</v>
      </c>
      <c r="C53" s="2944">
        <v>23580</v>
      </c>
      <c r="D53" s="2944"/>
      <c r="E53" s="2944">
        <v>24280</v>
      </c>
      <c r="F53" s="2944"/>
      <c r="G53" s="2957"/>
      <c r="N53" s="2944" t="s">
        <v>3046</v>
      </c>
    </row>
    <row r="54" spans="1:17" ht="14.25" customHeight="1" thickBot="1">
      <c r="A54" s="2958" t="s">
        <v>296</v>
      </c>
      <c r="B54" s="2950" t="s">
        <v>2931</v>
      </c>
      <c r="C54" s="2951">
        <v>22460</v>
      </c>
      <c r="D54" s="2951"/>
      <c r="E54" s="2951"/>
      <c r="F54" s="2951"/>
      <c r="G54" s="2959"/>
      <c r="N54" s="2944" t="s">
        <v>3047</v>
      </c>
    </row>
    <row r="55" spans="1:17" ht="14.25" customHeight="1">
      <c r="A55" s="2949" t="s">
        <v>110</v>
      </c>
      <c r="B55" s="2940" t="s">
        <v>3048</v>
      </c>
      <c r="C55" s="2944">
        <v>21970</v>
      </c>
      <c r="D55" s="2944">
        <v>20370</v>
      </c>
      <c r="E55" s="2944">
        <v>20180</v>
      </c>
      <c r="F55" s="2944">
        <v>5730</v>
      </c>
      <c r="G55" s="2944">
        <v>13820</v>
      </c>
      <c r="N55" s="2944" t="s">
        <v>3049</v>
      </c>
    </row>
    <row r="56" spans="1:17" ht="14.25" customHeight="1">
      <c r="A56" s="2944" t="s">
        <v>110</v>
      </c>
      <c r="B56" s="2944" t="s">
        <v>130</v>
      </c>
      <c r="C56" s="2944">
        <v>20470</v>
      </c>
      <c r="D56" s="2944">
        <v>20700</v>
      </c>
      <c r="E56" s="2944">
        <v>20380</v>
      </c>
      <c r="F56" s="2944">
        <v>4760</v>
      </c>
      <c r="G56" s="2944">
        <v>14050</v>
      </c>
      <c r="N56" s="2944" t="s">
        <v>3050</v>
      </c>
    </row>
    <row r="57" spans="1:17" ht="14.25" customHeight="1">
      <c r="A57" s="2944" t="s">
        <v>110</v>
      </c>
      <c r="B57" s="2944" t="s">
        <v>139</v>
      </c>
      <c r="C57" s="2944">
        <v>20790</v>
      </c>
      <c r="D57" s="2944">
        <v>21370</v>
      </c>
      <c r="E57" s="2944">
        <v>20890</v>
      </c>
      <c r="F57" s="2944">
        <v>4910</v>
      </c>
      <c r="G57" s="2944">
        <v>14510</v>
      </c>
      <c r="N57" s="2944" t="s">
        <v>3051</v>
      </c>
    </row>
    <row r="58" spans="1:17" ht="14.25" customHeight="1">
      <c r="A58" s="2944" t="s">
        <v>110</v>
      </c>
      <c r="B58" s="2944" t="s">
        <v>148</v>
      </c>
      <c r="C58" s="2944">
        <v>21460</v>
      </c>
      <c r="D58" s="2944">
        <v>20920</v>
      </c>
      <c r="E58" s="2944">
        <v>23410</v>
      </c>
      <c r="F58" s="2944">
        <v>5100</v>
      </c>
      <c r="G58" s="2944">
        <v>14200</v>
      </c>
      <c r="N58" s="2944" t="s">
        <v>3052</v>
      </c>
    </row>
    <row r="59" spans="1:17" ht="14.25" customHeight="1">
      <c r="A59" s="2944" t="s">
        <v>110</v>
      </c>
      <c r="B59" s="2944" t="s">
        <v>157</v>
      </c>
      <c r="C59" s="2944">
        <v>21000</v>
      </c>
      <c r="D59" s="2944">
        <v>21550</v>
      </c>
      <c r="E59" s="2944">
        <v>21150</v>
      </c>
      <c r="F59" s="2944">
        <v>5250</v>
      </c>
      <c r="G59" s="2944">
        <v>14630</v>
      </c>
      <c r="N59" s="2944" t="s">
        <v>3053</v>
      </c>
    </row>
    <row r="60" spans="1:17" ht="14.25" customHeight="1">
      <c r="A60" s="2944" t="s">
        <v>110</v>
      </c>
      <c r="B60" s="2944" t="s">
        <v>164</v>
      </c>
      <c r="C60" s="2944">
        <v>21640</v>
      </c>
      <c r="D60" s="2944">
        <v>21260</v>
      </c>
      <c r="E60" s="2944">
        <v>24040</v>
      </c>
      <c r="F60" s="2944">
        <v>4470</v>
      </c>
      <c r="G60" s="2944">
        <v>14430</v>
      </c>
      <c r="N60" s="2944" t="s">
        <v>3054</v>
      </c>
    </row>
    <row r="61" spans="1:17" ht="14.25" customHeight="1">
      <c r="A61" s="2944" t="s">
        <v>110</v>
      </c>
      <c r="B61" s="2944" t="s">
        <v>170</v>
      </c>
      <c r="C61" s="2944">
        <v>21330</v>
      </c>
      <c r="D61" s="2944">
        <v>18640</v>
      </c>
      <c r="E61" s="2944">
        <v>21190</v>
      </c>
      <c r="F61" s="2944">
        <v>4180</v>
      </c>
      <c r="G61" s="2944">
        <v>12650</v>
      </c>
      <c r="N61" s="2944" t="s">
        <v>3055</v>
      </c>
    </row>
    <row r="62" spans="1:17" ht="14.25" customHeight="1">
      <c r="A62" s="2944" t="s">
        <v>110</v>
      </c>
      <c r="B62" s="2944" t="s">
        <v>177</v>
      </c>
      <c r="C62" s="2944">
        <v>18710</v>
      </c>
      <c r="D62" s="2944">
        <v>19400</v>
      </c>
      <c r="E62" s="2944">
        <v>23750</v>
      </c>
      <c r="F62" s="2944">
        <v>4860</v>
      </c>
      <c r="G62" s="2944">
        <v>13170</v>
      </c>
      <c r="N62" s="2944" t="s">
        <v>3056</v>
      </c>
    </row>
    <row r="63" spans="1:17" ht="14.25" customHeight="1">
      <c r="A63" s="2944" t="s">
        <v>110</v>
      </c>
      <c r="B63" s="2944" t="s">
        <v>187</v>
      </c>
      <c r="C63" s="2944">
        <v>19480</v>
      </c>
      <c r="D63" s="2944">
        <v>16830</v>
      </c>
      <c r="E63" s="2944">
        <v>21590</v>
      </c>
      <c r="F63" s="2944">
        <v>4560</v>
      </c>
      <c r="G63" s="2944">
        <v>11420</v>
      </c>
      <c r="N63" s="2944" t="s">
        <v>3057</v>
      </c>
    </row>
    <row r="64" spans="1:17" ht="14.25" customHeight="1" thickBot="1">
      <c r="A64" s="2944" t="s">
        <v>110</v>
      </c>
      <c r="B64" s="2944" t="s">
        <v>196</v>
      </c>
      <c r="C64" s="2944">
        <v>16920</v>
      </c>
      <c r="D64" s="2944">
        <v>19190</v>
      </c>
      <c r="E64" s="2944">
        <v>22200</v>
      </c>
      <c r="F64" s="2944">
        <v>4390</v>
      </c>
      <c r="G64" s="2944">
        <v>13030</v>
      </c>
      <c r="N64" s="2951" t="s">
        <v>3058</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2929</v>
      </c>
      <c r="C78" s="2944">
        <v>19820</v>
      </c>
      <c r="D78" s="2944">
        <v>19780</v>
      </c>
      <c r="E78" s="2944">
        <v>18560</v>
      </c>
      <c r="F78" s="2944"/>
      <c r="G78" s="2944">
        <v>13430</v>
      </c>
    </row>
    <row r="79" spans="1:7" s="2778" customFormat="1" ht="14.25" customHeight="1">
      <c r="A79" s="2944" t="s">
        <v>110</v>
      </c>
      <c r="B79" s="2944" t="s">
        <v>2932</v>
      </c>
      <c r="C79" s="2944">
        <v>21660</v>
      </c>
      <c r="D79" s="2944">
        <v>18000</v>
      </c>
      <c r="E79" s="2944">
        <v>22570</v>
      </c>
      <c r="F79" s="2944"/>
      <c r="G79" s="2944">
        <v>12220</v>
      </c>
    </row>
    <row r="80" spans="1:7" s="2778" customFormat="1" ht="14.25" customHeight="1">
      <c r="A80" s="2944" t="s">
        <v>110</v>
      </c>
      <c r="B80" s="2944" t="s">
        <v>2936</v>
      </c>
      <c r="C80" s="2944">
        <v>19850</v>
      </c>
      <c r="D80" s="2944"/>
      <c r="E80" s="2944">
        <v>21700</v>
      </c>
      <c r="F80" s="2944"/>
      <c r="G80" s="2944"/>
    </row>
    <row r="81" spans="1:7" s="2778" customFormat="1" ht="14.25" customHeight="1">
      <c r="A81" s="2944" t="s">
        <v>110</v>
      </c>
      <c r="B81" s="2944" t="s">
        <v>2941</v>
      </c>
      <c r="C81" s="2944">
        <v>18080</v>
      </c>
      <c r="D81" s="2944"/>
      <c r="E81" s="2944">
        <v>20900</v>
      </c>
      <c r="F81" s="2944"/>
      <c r="G81" s="2944"/>
    </row>
    <row r="82" spans="1:7" s="2778" customFormat="1" ht="14.25" customHeight="1">
      <c r="A82" s="2944" t="s">
        <v>110</v>
      </c>
      <c r="B82" s="2944" t="s">
        <v>2948</v>
      </c>
      <c r="C82" s="2944"/>
      <c r="D82" s="2944"/>
      <c r="E82" s="2944">
        <v>20840</v>
      </c>
      <c r="F82" s="2944"/>
      <c r="G82" s="2944"/>
    </row>
    <row r="83" spans="1:7" s="2778" customFormat="1" ht="14.25" customHeight="1">
      <c r="A83" s="2944" t="s">
        <v>110</v>
      </c>
      <c r="B83" s="2944" t="s">
        <v>3059</v>
      </c>
      <c r="C83" s="2944"/>
      <c r="D83" s="2944"/>
      <c r="E83" s="2944"/>
      <c r="F83" s="2944">
        <v>4770</v>
      </c>
      <c r="G83" s="2944"/>
    </row>
    <row r="84" spans="1:7" s="2778" customFormat="1" ht="14.25" customHeight="1">
      <c r="A84" s="2944" t="s">
        <v>110</v>
      </c>
      <c r="B84" s="2944" t="s">
        <v>3060</v>
      </c>
      <c r="C84" s="2944"/>
      <c r="D84" s="2944"/>
      <c r="E84" s="2944"/>
      <c r="F84" s="2944">
        <v>4600</v>
      </c>
      <c r="G84" s="2944"/>
    </row>
    <row r="85" spans="1:7" s="2778" customFormat="1" ht="14.25" customHeight="1">
      <c r="A85" s="2944" t="s">
        <v>110</v>
      </c>
      <c r="B85" s="2944" t="s">
        <v>3061</v>
      </c>
      <c r="C85" s="2944"/>
      <c r="D85" s="2944"/>
      <c r="E85" s="2944"/>
      <c r="F85" s="2944">
        <v>4680</v>
      </c>
      <c r="G85" s="2944"/>
    </row>
    <row r="86" spans="1:7" s="2778" customFormat="1" ht="14.25" customHeight="1" thickBot="1">
      <c r="A86" s="2952" t="s">
        <v>110</v>
      </c>
      <c r="B86" s="2954" t="s">
        <v>3062</v>
      </c>
      <c r="C86" s="2955">
        <v>16610</v>
      </c>
      <c r="D86" s="2955">
        <v>16540</v>
      </c>
      <c r="E86" s="2955">
        <v>18850</v>
      </c>
      <c r="F86" s="2955"/>
      <c r="G86" s="2955">
        <v>11220</v>
      </c>
    </row>
    <row r="87" spans="1:7" s="2778" customFormat="1" ht="14.25" customHeight="1">
      <c r="A87" s="2949" t="s">
        <v>303</v>
      </c>
      <c r="B87" s="2940" t="s">
        <v>3063</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2942</v>
      </c>
      <c r="C113" s="2944">
        <v>15520</v>
      </c>
      <c r="D113" s="2944">
        <v>15450</v>
      </c>
      <c r="E113" s="2944"/>
      <c r="F113" s="2944"/>
      <c r="G113" s="2957">
        <v>10210</v>
      </c>
    </row>
    <row r="114" spans="1:7" s="2778" customFormat="1" ht="14.25" customHeight="1">
      <c r="A114" s="2944" t="s">
        <v>303</v>
      </c>
      <c r="B114" s="2944" t="s">
        <v>2949</v>
      </c>
      <c r="C114" s="2944">
        <v>13110</v>
      </c>
      <c r="D114" s="2944">
        <v>13050</v>
      </c>
      <c r="E114" s="2944"/>
      <c r="F114" s="2944"/>
      <c r="G114" s="2957">
        <v>8620</v>
      </c>
    </row>
    <row r="115" spans="1:7" s="2778" customFormat="1" ht="14.25" customHeight="1">
      <c r="A115" s="2944" t="s">
        <v>303</v>
      </c>
      <c r="B115" s="2944" t="s">
        <v>2955</v>
      </c>
      <c r="C115" s="2944">
        <v>12460</v>
      </c>
      <c r="D115" s="2944">
        <v>12390</v>
      </c>
      <c r="E115" s="2944"/>
      <c r="F115" s="2944"/>
      <c r="G115" s="2957">
        <v>8190</v>
      </c>
    </row>
    <row r="116" spans="1:7" s="2778" customFormat="1" ht="14.25" customHeight="1">
      <c r="A116" s="2944" t="s">
        <v>303</v>
      </c>
      <c r="B116" s="2944" t="s">
        <v>2962</v>
      </c>
      <c r="C116" s="2944">
        <v>13580</v>
      </c>
      <c r="D116" s="2944">
        <v>13520</v>
      </c>
      <c r="E116" s="2944"/>
      <c r="F116" s="2944"/>
      <c r="G116" s="2957">
        <v>8930</v>
      </c>
    </row>
    <row r="117" spans="1:7" s="2778" customFormat="1" ht="14.25" customHeight="1">
      <c r="A117" s="2944" t="s">
        <v>303</v>
      </c>
      <c r="B117" s="2944" t="s">
        <v>2969</v>
      </c>
      <c r="C117" s="2944">
        <v>17120</v>
      </c>
      <c r="D117" s="2944">
        <v>17040</v>
      </c>
      <c r="E117" s="2944"/>
      <c r="F117" s="2944"/>
      <c r="G117" s="2957">
        <v>11260</v>
      </c>
    </row>
    <row r="118" spans="1:7" s="2778" customFormat="1" ht="14.25" customHeight="1">
      <c r="A118" s="2944" t="s">
        <v>303</v>
      </c>
      <c r="B118" s="2944" t="s">
        <v>2974</v>
      </c>
      <c r="C118" s="2944">
        <v>14860</v>
      </c>
      <c r="D118" s="2944">
        <v>14790</v>
      </c>
      <c r="E118" s="2944"/>
      <c r="F118" s="2944"/>
      <c r="G118" s="2957">
        <v>9780</v>
      </c>
    </row>
    <row r="119" spans="1:7" s="2778" customFormat="1" ht="14.25" customHeight="1">
      <c r="A119" s="2944" t="s">
        <v>303</v>
      </c>
      <c r="B119" s="2944" t="s">
        <v>2978</v>
      </c>
      <c r="C119" s="2944">
        <v>16470</v>
      </c>
      <c r="D119" s="2944">
        <v>16400</v>
      </c>
      <c r="E119" s="2944"/>
      <c r="F119" s="2944"/>
      <c r="G119" s="2957">
        <v>10840</v>
      </c>
    </row>
    <row r="120" spans="1:7" s="2778" customFormat="1" ht="14.25" customHeight="1">
      <c r="A120" s="2944" t="s">
        <v>303</v>
      </c>
      <c r="B120" s="2944" t="s">
        <v>3064</v>
      </c>
      <c r="C120" s="2944"/>
      <c r="D120" s="2944"/>
      <c r="E120" s="2944"/>
      <c r="F120" s="2944">
        <v>4160</v>
      </c>
      <c r="G120" s="2957"/>
    </row>
    <row r="121" spans="1:7" s="2778" customFormat="1" ht="14.25" customHeight="1">
      <c r="A121" s="2944" t="s">
        <v>303</v>
      </c>
      <c r="B121" s="2944" t="s">
        <v>3065</v>
      </c>
      <c r="C121" s="2944"/>
      <c r="D121" s="2944"/>
      <c r="E121" s="2944"/>
      <c r="F121" s="2944">
        <v>3880</v>
      </c>
      <c r="G121" s="2957"/>
    </row>
    <row r="122" spans="1:7" s="2778" customFormat="1" ht="14.25" customHeight="1">
      <c r="A122" s="2944" t="s">
        <v>303</v>
      </c>
      <c r="B122" s="2944" t="s">
        <v>3066</v>
      </c>
      <c r="C122" s="2944">
        <v>13750</v>
      </c>
      <c r="D122" s="2944">
        <v>13680</v>
      </c>
      <c r="E122" s="2944">
        <v>16460</v>
      </c>
      <c r="F122" s="2944">
        <v>2880</v>
      </c>
      <c r="G122" s="2957">
        <v>9040</v>
      </c>
    </row>
    <row r="123" spans="1:7" s="2778" customFormat="1" ht="14.25" customHeight="1">
      <c r="A123" s="2944" t="s">
        <v>303</v>
      </c>
      <c r="B123" s="2944" t="s">
        <v>2997</v>
      </c>
      <c r="C123" s="2944">
        <v>13590</v>
      </c>
      <c r="D123" s="2944">
        <v>13520</v>
      </c>
      <c r="E123" s="2944">
        <v>16290</v>
      </c>
      <c r="F123" s="2944">
        <v>2790</v>
      </c>
      <c r="G123" s="2957">
        <v>8930</v>
      </c>
    </row>
    <row r="124" spans="1:7" s="2778" customFormat="1" ht="14.25" customHeight="1">
      <c r="A124" s="2944" t="s">
        <v>303</v>
      </c>
      <c r="B124" s="2944" t="s">
        <v>3002</v>
      </c>
      <c r="C124" s="2944">
        <v>13400</v>
      </c>
      <c r="D124" s="2944">
        <v>13320</v>
      </c>
      <c r="E124" s="2944">
        <v>16100</v>
      </c>
      <c r="F124" s="2944">
        <v>2320</v>
      </c>
      <c r="G124" s="2957">
        <v>8800</v>
      </c>
    </row>
    <row r="125" spans="1:7" s="2778" customFormat="1" ht="14.25" customHeight="1">
      <c r="A125" s="2944" t="s">
        <v>303</v>
      </c>
      <c r="B125" s="2944" t="s">
        <v>3007</v>
      </c>
      <c r="C125" s="2944">
        <v>12860</v>
      </c>
      <c r="D125" s="2944">
        <v>12790</v>
      </c>
      <c r="E125" s="2944">
        <v>15370</v>
      </c>
      <c r="F125" s="2944">
        <v>2280</v>
      </c>
      <c r="G125" s="2957">
        <v>8450</v>
      </c>
    </row>
    <row r="126" spans="1:7" s="2778" customFormat="1" ht="14.25" customHeight="1" thickBot="1">
      <c r="A126" s="2958" t="s">
        <v>303</v>
      </c>
      <c r="B126" s="2951" t="s">
        <v>3012</v>
      </c>
      <c r="C126" s="2951">
        <v>12960</v>
      </c>
      <c r="D126" s="2951">
        <v>12890</v>
      </c>
      <c r="E126" s="2951">
        <v>15530</v>
      </c>
      <c r="F126" s="2951">
        <v>2910</v>
      </c>
      <c r="G126" s="2959">
        <v>8520</v>
      </c>
    </row>
    <row r="127" spans="1:7" s="2778" customFormat="1" ht="14.25" customHeight="1">
      <c r="A127" s="2949" t="s">
        <v>29</v>
      </c>
      <c r="B127" s="2940" t="s">
        <v>3067</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3068</v>
      </c>
      <c r="C148" s="2944">
        <v>10370</v>
      </c>
      <c r="D148" s="2944">
        <v>10310</v>
      </c>
      <c r="E148" s="2944">
        <v>12970</v>
      </c>
      <c r="F148" s="2944"/>
      <c r="G148" s="2944">
        <v>6630</v>
      </c>
    </row>
    <row r="149" spans="1:7" s="2778" customFormat="1" ht="14.25" customHeight="1">
      <c r="A149" s="2944" t="s">
        <v>29</v>
      </c>
      <c r="B149" s="2944" t="s">
        <v>3069</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2943</v>
      </c>
      <c r="C153" s="2944">
        <v>10880</v>
      </c>
      <c r="D153" s="2944">
        <v>10820</v>
      </c>
      <c r="E153" s="2944">
        <v>13660</v>
      </c>
      <c r="F153" s="2944">
        <v>2260</v>
      </c>
      <c r="G153" s="2944">
        <v>6970</v>
      </c>
    </row>
    <row r="154" spans="1:7" s="2778" customFormat="1" ht="14.25" customHeight="1">
      <c r="A154" s="2944" t="s">
        <v>29</v>
      </c>
      <c r="B154" s="2944" t="s">
        <v>3070</v>
      </c>
      <c r="C154" s="2944">
        <v>11220</v>
      </c>
      <c r="D154" s="2944">
        <v>11160</v>
      </c>
      <c r="E154" s="2944">
        <v>14130</v>
      </c>
      <c r="F154" s="2944">
        <v>2230</v>
      </c>
      <c r="G154" s="2944">
        <v>7180</v>
      </c>
    </row>
    <row r="155" spans="1:7" s="2778" customFormat="1" ht="14.25" customHeight="1">
      <c r="A155" s="2944" t="s">
        <v>29</v>
      </c>
      <c r="B155" s="2944" t="s">
        <v>2956</v>
      </c>
      <c r="C155" s="2944">
        <v>10430</v>
      </c>
      <c r="D155" s="2944">
        <v>10380</v>
      </c>
      <c r="E155" s="2944">
        <v>13140</v>
      </c>
      <c r="F155" s="2944">
        <v>2080</v>
      </c>
      <c r="G155" s="2944">
        <v>6650</v>
      </c>
    </row>
    <row r="156" spans="1:7" s="2778" customFormat="1" ht="14.25" customHeight="1">
      <c r="A156" s="2944" t="s">
        <v>29</v>
      </c>
      <c r="B156" s="2944" t="s">
        <v>3071</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3072</v>
      </c>
      <c r="C160" s="2944">
        <v>11180</v>
      </c>
      <c r="D160" s="2944">
        <v>11140</v>
      </c>
      <c r="E160" s="2944">
        <v>14050</v>
      </c>
      <c r="F160" s="2944">
        <v>2270</v>
      </c>
      <c r="G160" s="2944">
        <v>7170</v>
      </c>
    </row>
    <row r="161" spans="1:7" s="2778" customFormat="1" ht="14.25" customHeight="1">
      <c r="A161" s="2944" t="s">
        <v>29</v>
      </c>
      <c r="B161" s="2944" t="s">
        <v>2988</v>
      </c>
      <c r="C161" s="2944">
        <v>11160</v>
      </c>
      <c r="D161" s="2944">
        <v>11120</v>
      </c>
      <c r="E161" s="2944">
        <v>14020</v>
      </c>
      <c r="F161" s="2944">
        <v>2150</v>
      </c>
      <c r="G161" s="2944">
        <v>7160</v>
      </c>
    </row>
    <row r="162" spans="1:7" s="2778" customFormat="1" ht="14.25" customHeight="1">
      <c r="A162" s="2944" t="s">
        <v>29</v>
      </c>
      <c r="B162" s="2944" t="s">
        <v>2993</v>
      </c>
      <c r="C162" s="2944">
        <v>9620</v>
      </c>
      <c r="D162" s="2944">
        <v>9570</v>
      </c>
      <c r="E162" s="2944">
        <v>12320</v>
      </c>
      <c r="F162" s="2944">
        <v>2010</v>
      </c>
      <c r="G162" s="2944">
        <v>6160</v>
      </c>
    </row>
    <row r="163" spans="1:7" s="2778" customFormat="1" ht="14.25" customHeight="1">
      <c r="A163" s="2944" t="s">
        <v>29</v>
      </c>
      <c r="B163" s="2944" t="s">
        <v>2998</v>
      </c>
      <c r="C163" s="2944">
        <v>9320</v>
      </c>
      <c r="D163" s="2944">
        <v>9270</v>
      </c>
      <c r="E163" s="2944">
        <v>11790</v>
      </c>
      <c r="F163" s="2944">
        <v>1920</v>
      </c>
      <c r="G163" s="2944">
        <v>5960</v>
      </c>
    </row>
    <row r="164" spans="1:7" s="2778" customFormat="1" ht="14.25" customHeight="1">
      <c r="A164" s="2944" t="s">
        <v>29</v>
      </c>
      <c r="B164" s="2944" t="s">
        <v>3003</v>
      </c>
      <c r="C164" s="2944"/>
      <c r="D164" s="2944"/>
      <c r="E164" s="2944"/>
      <c r="F164" s="2944">
        <v>1980</v>
      </c>
      <c r="G164" s="2944"/>
    </row>
    <row r="165" spans="1:7" s="2778" customFormat="1" ht="14.25" customHeight="1">
      <c r="A165" s="2944" t="s">
        <v>29</v>
      </c>
      <c r="B165" s="2944" t="s">
        <v>3073</v>
      </c>
      <c r="C165" s="2944">
        <v>11060</v>
      </c>
      <c r="D165" s="2944">
        <v>11030</v>
      </c>
      <c r="E165" s="2944">
        <v>13850</v>
      </c>
      <c r="F165" s="2944">
        <v>2170</v>
      </c>
      <c r="G165" s="2944">
        <v>7090</v>
      </c>
    </row>
    <row r="166" spans="1:7" s="2778" customFormat="1" ht="14.25" customHeight="1">
      <c r="A166" s="2944" t="s">
        <v>29</v>
      </c>
      <c r="B166" s="2944" t="s">
        <v>3013</v>
      </c>
      <c r="C166" s="2944">
        <v>11050</v>
      </c>
      <c r="D166" s="2944">
        <v>11010</v>
      </c>
      <c r="E166" s="2944">
        <v>13920</v>
      </c>
      <c r="F166" s="2944">
        <v>2140</v>
      </c>
      <c r="G166" s="2944">
        <v>7080</v>
      </c>
    </row>
    <row r="167" spans="1:7" s="2778" customFormat="1" ht="14.25" customHeight="1">
      <c r="A167" s="2944" t="s">
        <v>29</v>
      </c>
      <c r="B167" s="2944" t="s">
        <v>3017</v>
      </c>
      <c r="C167" s="2944">
        <v>10930</v>
      </c>
      <c r="D167" s="2944">
        <v>10890</v>
      </c>
      <c r="E167" s="2944">
        <v>13790</v>
      </c>
      <c r="F167" s="2944">
        <v>2010</v>
      </c>
      <c r="G167" s="2944">
        <v>7000</v>
      </c>
    </row>
    <row r="168" spans="1:7" s="2778" customFormat="1" ht="14.25" customHeight="1">
      <c r="A168" s="2944" t="s">
        <v>29</v>
      </c>
      <c r="B168" s="2944" t="s">
        <v>3022</v>
      </c>
      <c r="C168" s="2944">
        <v>9420</v>
      </c>
      <c r="D168" s="2944">
        <v>9380</v>
      </c>
      <c r="E168" s="2944">
        <v>11970</v>
      </c>
      <c r="F168" s="2944"/>
      <c r="G168" s="2944">
        <v>6040</v>
      </c>
    </row>
    <row r="169" spans="1:7" s="2778" customFormat="1" ht="14.25" customHeight="1">
      <c r="A169" s="2944" t="s">
        <v>29</v>
      </c>
      <c r="B169" s="2944" t="s">
        <v>3074</v>
      </c>
      <c r="C169" s="2944"/>
      <c r="D169" s="2944"/>
      <c r="E169" s="2944"/>
      <c r="F169" s="2944">
        <v>2880</v>
      </c>
      <c r="G169" s="2944"/>
    </row>
    <row r="170" spans="1:7" s="2778" customFormat="1" ht="14.25" customHeight="1">
      <c r="A170" s="2944" t="s">
        <v>29</v>
      </c>
      <c r="B170" s="2944" t="s">
        <v>3030</v>
      </c>
      <c r="C170" s="2944"/>
      <c r="D170" s="2944"/>
      <c r="E170" s="2944"/>
      <c r="F170" s="2944">
        <v>2880</v>
      </c>
      <c r="G170" s="2944"/>
    </row>
    <row r="171" spans="1:7" s="2778" customFormat="1" ht="14.25" customHeight="1">
      <c r="A171" s="2944" t="s">
        <v>29</v>
      </c>
      <c r="B171" s="2944" t="s">
        <v>3033</v>
      </c>
      <c r="C171" s="2944"/>
      <c r="D171" s="2944"/>
      <c r="E171" s="2944"/>
      <c r="F171" s="2944">
        <v>2880</v>
      </c>
      <c r="G171" s="2944"/>
    </row>
    <row r="172" spans="1:7" s="2778" customFormat="1" ht="14.25" customHeight="1">
      <c r="A172" s="2944" t="s">
        <v>29</v>
      </c>
      <c r="B172" s="2944" t="s">
        <v>3035</v>
      </c>
      <c r="C172" s="2944"/>
      <c r="D172" s="2944"/>
      <c r="E172" s="2944"/>
      <c r="F172" s="2944">
        <v>2880</v>
      </c>
      <c r="G172" s="2944"/>
    </row>
    <row r="173" spans="1:7" s="2778" customFormat="1" ht="14.25" customHeight="1">
      <c r="A173" s="2944" t="s">
        <v>29</v>
      </c>
      <c r="B173" s="2944" t="s">
        <v>3037</v>
      </c>
      <c r="C173" s="2944"/>
      <c r="D173" s="2944"/>
      <c r="E173" s="2944"/>
      <c r="F173" s="2944">
        <v>2150</v>
      </c>
      <c r="G173" s="2944"/>
    </row>
    <row r="174" spans="1:7" s="2778" customFormat="1" ht="14.25" customHeight="1">
      <c r="A174" s="2944" t="s">
        <v>29</v>
      </c>
      <c r="B174" s="2944" t="s">
        <v>3039</v>
      </c>
      <c r="C174" s="2944"/>
      <c r="D174" s="2944"/>
      <c r="E174" s="2944"/>
      <c r="F174" s="2944">
        <v>2030</v>
      </c>
      <c r="G174" s="2944"/>
    </row>
    <row r="175" spans="1:7" s="2778" customFormat="1" ht="14.25" customHeight="1">
      <c r="A175" s="2944" t="s">
        <v>29</v>
      </c>
      <c r="B175" s="2944" t="s">
        <v>3041</v>
      </c>
      <c r="C175" s="2944"/>
      <c r="D175" s="2944"/>
      <c r="E175" s="2944"/>
      <c r="F175" s="2944">
        <v>2780</v>
      </c>
      <c r="G175" s="2944"/>
    </row>
    <row r="176" spans="1:7" s="2778" customFormat="1" ht="14.25" customHeight="1">
      <c r="A176" s="2944" t="s">
        <v>29</v>
      </c>
      <c r="B176" s="2944" t="s">
        <v>3043</v>
      </c>
      <c r="C176" s="2944"/>
      <c r="D176" s="2944"/>
      <c r="E176" s="2944"/>
      <c r="F176" s="2944">
        <v>2780</v>
      </c>
      <c r="G176" s="2944"/>
    </row>
    <row r="177" spans="1:7" s="2778" customFormat="1" ht="14.25" customHeight="1">
      <c r="A177" s="2944" t="s">
        <v>29</v>
      </c>
      <c r="B177" s="2944" t="s">
        <v>3075</v>
      </c>
      <c r="C177" s="2944"/>
      <c r="D177" s="2944"/>
      <c r="E177" s="2944"/>
      <c r="F177" s="2944">
        <v>2780</v>
      </c>
      <c r="G177" s="2944"/>
    </row>
    <row r="178" spans="1:7" s="2778" customFormat="1" ht="14.25" customHeight="1">
      <c r="A178" s="2944" t="s">
        <v>29</v>
      </c>
      <c r="B178" s="2944" t="s">
        <v>3076</v>
      </c>
      <c r="C178" s="2944"/>
      <c r="D178" s="2944"/>
      <c r="E178" s="2944"/>
      <c r="F178" s="2944">
        <v>2060</v>
      </c>
      <c r="G178" s="2944"/>
    </row>
    <row r="179" spans="1:7" s="2778" customFormat="1" ht="14.25" customHeight="1">
      <c r="A179" s="2944" t="s">
        <v>29</v>
      </c>
      <c r="B179" s="2944" t="s">
        <v>3077</v>
      </c>
      <c r="C179" s="2944"/>
      <c r="D179" s="2944"/>
      <c r="E179" s="2944"/>
      <c r="F179" s="2944">
        <v>2120</v>
      </c>
      <c r="G179" s="2944"/>
    </row>
    <row r="180" spans="1:7" s="2778" customFormat="1" ht="14.25" customHeight="1">
      <c r="A180" s="2944" t="s">
        <v>29</v>
      </c>
      <c r="B180" s="2944" t="s">
        <v>3049</v>
      </c>
      <c r="C180" s="2944"/>
      <c r="D180" s="2944"/>
      <c r="E180" s="2944"/>
      <c r="F180" s="2944">
        <v>2340</v>
      </c>
      <c r="G180" s="2944"/>
    </row>
    <row r="181" spans="1:7" s="2778" customFormat="1" ht="14.25" customHeight="1">
      <c r="A181" s="2944" t="s">
        <v>29</v>
      </c>
      <c r="B181" s="2944" t="s">
        <v>3050</v>
      </c>
      <c r="C181" s="2944"/>
      <c r="D181" s="2944"/>
      <c r="E181" s="2944"/>
      <c r="F181" s="2944">
        <v>2340</v>
      </c>
      <c r="G181" s="2944"/>
    </row>
    <row r="182" spans="1:7" s="2778" customFormat="1" ht="14.25" customHeight="1">
      <c r="A182" s="2944" t="s">
        <v>29</v>
      </c>
      <c r="B182" s="2944" t="s">
        <v>3051</v>
      </c>
      <c r="C182" s="2944"/>
      <c r="D182" s="2944"/>
      <c r="E182" s="2944"/>
      <c r="F182" s="2944">
        <v>2340</v>
      </c>
      <c r="G182" s="2944"/>
    </row>
    <row r="183" spans="1:7" s="2778" customFormat="1" ht="14.25" customHeight="1">
      <c r="A183" s="2944" t="s">
        <v>29</v>
      </c>
      <c r="B183" s="2944" t="s">
        <v>3052</v>
      </c>
      <c r="C183" s="2944"/>
      <c r="D183" s="2944"/>
      <c r="E183" s="2944"/>
      <c r="F183" s="2944">
        <v>2340</v>
      </c>
      <c r="G183" s="2944"/>
    </row>
    <row r="184" spans="1:7" s="2778" customFormat="1" ht="14.25" customHeight="1">
      <c r="A184" s="2944" t="s">
        <v>29</v>
      </c>
      <c r="B184" s="2944" t="s">
        <v>3053</v>
      </c>
      <c r="C184" s="2944"/>
      <c r="D184" s="2944"/>
      <c r="E184" s="2944"/>
      <c r="F184" s="2944">
        <v>2340</v>
      </c>
      <c r="G184" s="2944"/>
    </row>
    <row r="185" spans="1:7" s="2778" customFormat="1" ht="14.25" customHeight="1">
      <c r="A185" s="2944" t="s">
        <v>29</v>
      </c>
      <c r="B185" s="2944" t="s">
        <v>3054</v>
      </c>
      <c r="C185" s="2944"/>
      <c r="D185" s="2944"/>
      <c r="E185" s="2944"/>
      <c r="F185" s="2944">
        <v>2530</v>
      </c>
      <c r="G185" s="2944"/>
    </row>
    <row r="186" spans="1:7" s="2778" customFormat="1" ht="14.25" customHeight="1">
      <c r="A186" s="2944" t="s">
        <v>29</v>
      </c>
      <c r="B186" s="2944" t="s">
        <v>3055</v>
      </c>
      <c r="C186" s="2944"/>
      <c r="D186" s="2944"/>
      <c r="E186" s="2944"/>
      <c r="F186" s="2944">
        <v>2550</v>
      </c>
      <c r="G186" s="2944"/>
    </row>
    <row r="187" spans="1:7" s="2778" customFormat="1" ht="14.25" customHeight="1">
      <c r="A187" s="2944" t="s">
        <v>29</v>
      </c>
      <c r="B187" s="2944" t="s">
        <v>3056</v>
      </c>
      <c r="C187" s="2944"/>
      <c r="D187" s="2944"/>
      <c r="E187" s="2944"/>
      <c r="F187" s="2944">
        <v>2070</v>
      </c>
      <c r="G187" s="2944"/>
    </row>
    <row r="188" spans="1:7" s="2778" customFormat="1" ht="14.25" customHeight="1">
      <c r="A188" s="2944" t="s">
        <v>29</v>
      </c>
      <c r="B188" s="2944" t="s">
        <v>3057</v>
      </c>
      <c r="C188" s="2944"/>
      <c r="D188" s="2944"/>
      <c r="E188" s="2944"/>
      <c r="F188" s="2944">
        <v>2340</v>
      </c>
      <c r="G188" s="2944"/>
    </row>
    <row r="189" spans="1:7" s="2778" customFormat="1" ht="14.25" customHeight="1" thickBot="1">
      <c r="A189" s="2952" t="s">
        <v>29</v>
      </c>
      <c r="B189" s="2955" t="s">
        <v>3058</v>
      </c>
      <c r="C189" s="2955"/>
      <c r="D189" s="2955"/>
      <c r="E189" s="2955"/>
      <c r="F189" s="2955">
        <v>2050</v>
      </c>
      <c r="G189" s="2955"/>
    </row>
    <row r="190" spans="1:7" s="2778" customFormat="1" ht="14.25" customHeight="1">
      <c r="A190" s="2949" t="s">
        <v>304</v>
      </c>
      <c r="B190" s="2940" t="s">
        <v>3078</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3079</v>
      </c>
      <c r="C199" s="2944">
        <v>8690</v>
      </c>
      <c r="D199" s="2944">
        <v>8630</v>
      </c>
      <c r="E199" s="2944">
        <v>11350</v>
      </c>
      <c r="F199" s="2944">
        <v>1600</v>
      </c>
      <c r="G199" s="2957">
        <v>5450</v>
      </c>
    </row>
    <row r="200" spans="1:7" s="2778" customFormat="1" ht="14.25" customHeight="1">
      <c r="A200" s="2944" t="s">
        <v>304</v>
      </c>
      <c r="B200" s="2944" t="s">
        <v>2890</v>
      </c>
      <c r="C200" s="2944"/>
      <c r="D200" s="2944"/>
      <c r="E200" s="2944"/>
      <c r="F200" s="2944">
        <v>1510</v>
      </c>
      <c r="G200" s="2957"/>
    </row>
    <row r="201" spans="1:7" s="2778" customFormat="1" ht="14.25" customHeight="1">
      <c r="A201" s="2944" t="s">
        <v>304</v>
      </c>
      <c r="B201" s="2944" t="s">
        <v>3080</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3081</v>
      </c>
      <c r="C203" s="2944">
        <v>8130</v>
      </c>
      <c r="D203" s="2944">
        <v>8070</v>
      </c>
      <c r="E203" s="2944">
        <v>10820</v>
      </c>
      <c r="F203" s="2944">
        <v>1690</v>
      </c>
      <c r="G203" s="2957">
        <v>5100</v>
      </c>
    </row>
    <row r="204" spans="1:7" s="2778" customFormat="1" ht="14.25" customHeight="1">
      <c r="A204" s="2944" t="s">
        <v>304</v>
      </c>
      <c r="B204" s="2944" t="s">
        <v>2901</v>
      </c>
      <c r="C204" s="2944">
        <v>8350</v>
      </c>
      <c r="D204" s="2944">
        <v>8290</v>
      </c>
      <c r="E204" s="2944">
        <v>11080</v>
      </c>
      <c r="F204" s="2944">
        <v>1450</v>
      </c>
      <c r="G204" s="2957">
        <v>5240</v>
      </c>
    </row>
    <row r="205" spans="1:7" s="2778" customFormat="1" ht="14.25" customHeight="1">
      <c r="A205" s="2944" t="s">
        <v>304</v>
      </c>
      <c r="B205" s="2944" t="s">
        <v>2903</v>
      </c>
      <c r="C205" s="2944">
        <v>7190</v>
      </c>
      <c r="D205" s="2944">
        <v>7130</v>
      </c>
      <c r="E205" s="2944">
        <v>9490</v>
      </c>
      <c r="F205" s="2944">
        <v>1470</v>
      </c>
      <c r="G205" s="2957">
        <v>4510</v>
      </c>
    </row>
    <row r="206" spans="1:7" s="2778" customFormat="1" ht="14.25" customHeight="1">
      <c r="A206" s="2944" t="s">
        <v>304</v>
      </c>
      <c r="B206" s="2944" t="s">
        <v>2906</v>
      </c>
      <c r="C206" s="2944">
        <v>7000</v>
      </c>
      <c r="D206" s="2944">
        <v>6950</v>
      </c>
      <c r="E206" s="2944">
        <v>9170</v>
      </c>
      <c r="F206" s="2944">
        <v>1400</v>
      </c>
      <c r="G206" s="2957">
        <v>4380</v>
      </c>
    </row>
    <row r="207" spans="1:7" s="2778" customFormat="1" ht="14.25" customHeight="1">
      <c r="A207" s="2944" t="s">
        <v>304</v>
      </c>
      <c r="B207" s="2944" t="s">
        <v>2908</v>
      </c>
      <c r="C207" s="2944">
        <v>6950</v>
      </c>
      <c r="D207" s="2944">
        <v>6900</v>
      </c>
      <c r="E207" s="2944">
        <v>9110</v>
      </c>
      <c r="F207" s="2944">
        <v>1790</v>
      </c>
      <c r="G207" s="2957">
        <v>4360</v>
      </c>
    </row>
    <row r="208" spans="1:7" s="2778" customFormat="1" ht="14.25" customHeight="1">
      <c r="A208" s="2944" t="s">
        <v>304</v>
      </c>
      <c r="B208" s="2944" t="s">
        <v>3082</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2918</v>
      </c>
      <c r="C210" s="2944">
        <v>8710</v>
      </c>
      <c r="D210" s="2944">
        <v>8660</v>
      </c>
      <c r="E210" s="2944">
        <v>11440</v>
      </c>
      <c r="F210" s="2944">
        <v>1740</v>
      </c>
      <c r="G210" s="2957">
        <v>5470</v>
      </c>
    </row>
    <row r="211" spans="1:7" s="2778" customFormat="1" ht="14.25" customHeight="1">
      <c r="A211" s="2944" t="s">
        <v>304</v>
      </c>
      <c r="B211" s="2944" t="s">
        <v>3083</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3084</v>
      </c>
      <c r="C214" s="2944">
        <v>8090</v>
      </c>
      <c r="D214" s="2944">
        <v>8030</v>
      </c>
      <c r="E214" s="2944">
        <v>10780</v>
      </c>
      <c r="F214" s="2944">
        <v>1570</v>
      </c>
      <c r="G214" s="2957">
        <v>5070</v>
      </c>
    </row>
    <row r="215" spans="1:7" s="2778" customFormat="1" ht="14.25" customHeight="1">
      <c r="A215" s="2944" t="s">
        <v>304</v>
      </c>
      <c r="B215" s="2944" t="s">
        <v>3085</v>
      </c>
      <c r="C215" s="2944">
        <v>7950</v>
      </c>
      <c r="D215" s="2944">
        <v>7900</v>
      </c>
      <c r="E215" s="2944">
        <v>10560</v>
      </c>
      <c r="F215" s="2944">
        <v>1630</v>
      </c>
      <c r="G215" s="2957">
        <v>4990</v>
      </c>
    </row>
    <row r="216" spans="1:7" s="2778" customFormat="1" ht="14.25" customHeight="1">
      <c r="A216" s="2944" t="s">
        <v>304</v>
      </c>
      <c r="B216" s="2944" t="s">
        <v>3086</v>
      </c>
      <c r="C216" s="2944">
        <v>8490</v>
      </c>
      <c r="D216" s="2944">
        <v>8440</v>
      </c>
      <c r="E216" s="2944">
        <v>11260</v>
      </c>
      <c r="F216" s="2944">
        <v>1690</v>
      </c>
      <c r="G216" s="2957">
        <v>5330</v>
      </c>
    </row>
    <row r="217" spans="1:7" s="2778" customFormat="1" ht="14.25" customHeight="1">
      <c r="A217" s="2944" t="s">
        <v>304</v>
      </c>
      <c r="B217" s="2944" t="s">
        <v>2951</v>
      </c>
      <c r="C217" s="2944">
        <v>8200</v>
      </c>
      <c r="D217" s="2944">
        <v>8150</v>
      </c>
      <c r="E217" s="2944">
        <v>10910</v>
      </c>
      <c r="F217" s="2944">
        <v>1670</v>
      </c>
      <c r="G217" s="2957">
        <v>5150</v>
      </c>
    </row>
    <row r="218" spans="1:7" s="2778" customFormat="1" ht="14.25" customHeight="1">
      <c r="A218" s="2944" t="s">
        <v>304</v>
      </c>
      <c r="B218" s="2944" t="s">
        <v>3087</v>
      </c>
      <c r="C218" s="2944"/>
      <c r="D218" s="2944"/>
      <c r="E218" s="2944"/>
      <c r="F218" s="2944">
        <v>2040</v>
      </c>
      <c r="G218" s="2957"/>
    </row>
    <row r="219" spans="1:7" s="2778" customFormat="1" ht="14.25" customHeight="1">
      <c r="A219" s="2944" t="s">
        <v>304</v>
      </c>
      <c r="B219" s="2944" t="s">
        <v>3088</v>
      </c>
      <c r="C219" s="2944"/>
      <c r="D219" s="2944"/>
      <c r="E219" s="2944"/>
      <c r="F219" s="2944">
        <v>2040</v>
      </c>
      <c r="G219" s="2957"/>
    </row>
    <row r="220" spans="1:7" s="2778" customFormat="1" ht="14.25" customHeight="1">
      <c r="A220" s="2944" t="s">
        <v>304</v>
      </c>
      <c r="B220" s="2944" t="s">
        <v>3089</v>
      </c>
      <c r="C220" s="2944"/>
      <c r="D220" s="2944"/>
      <c r="E220" s="2944"/>
      <c r="F220" s="2944">
        <v>2040</v>
      </c>
      <c r="G220" s="2957"/>
    </row>
    <row r="221" spans="1:7" s="2778" customFormat="1" ht="14.25" customHeight="1">
      <c r="A221" s="2944" t="s">
        <v>304</v>
      </c>
      <c r="B221" s="2944" t="s">
        <v>3090</v>
      </c>
      <c r="C221" s="2944"/>
      <c r="D221" s="2944"/>
      <c r="E221" s="2944"/>
      <c r="F221" s="2944">
        <v>2040</v>
      </c>
      <c r="G221" s="2957"/>
    </row>
    <row r="222" spans="1:7" s="2778" customFormat="1" ht="14.25" customHeight="1">
      <c r="A222" s="2944" t="s">
        <v>304</v>
      </c>
      <c r="B222" s="2944" t="s">
        <v>3091</v>
      </c>
      <c r="C222" s="2944"/>
      <c r="D222" s="2944"/>
      <c r="E222" s="2944"/>
      <c r="F222" s="2944">
        <v>2040</v>
      </c>
      <c r="G222" s="2957"/>
    </row>
    <row r="223" spans="1:7" s="2778" customFormat="1" ht="14.25" customHeight="1">
      <c r="A223" s="2944" t="s">
        <v>304</v>
      </c>
      <c r="B223" s="2944" t="s">
        <v>3092</v>
      </c>
      <c r="C223" s="2944"/>
      <c r="D223" s="2944"/>
      <c r="E223" s="2944"/>
      <c r="F223" s="2944">
        <v>1930</v>
      </c>
      <c r="G223" s="2957"/>
    </row>
    <row r="224" spans="1:7" s="2778" customFormat="1" ht="14.25" customHeight="1">
      <c r="A224" s="2944" t="s">
        <v>304</v>
      </c>
      <c r="B224" s="2944" t="s">
        <v>3093</v>
      </c>
      <c r="C224" s="2944"/>
      <c r="D224" s="2944"/>
      <c r="E224" s="2944"/>
      <c r="F224" s="2944">
        <v>1930</v>
      </c>
      <c r="G224" s="2957"/>
    </row>
    <row r="225" spans="1:7" s="2778" customFormat="1" ht="14.25" customHeight="1">
      <c r="A225" s="2944" t="s">
        <v>304</v>
      </c>
      <c r="B225" s="2944" t="s">
        <v>3094</v>
      </c>
      <c r="C225" s="2944"/>
      <c r="D225" s="2944"/>
      <c r="E225" s="2944"/>
      <c r="F225" s="2944">
        <v>1930</v>
      </c>
      <c r="G225" s="2957"/>
    </row>
    <row r="226" spans="1:7" s="2778" customFormat="1" ht="14.25" customHeight="1">
      <c r="A226" s="2944" t="s">
        <v>304</v>
      </c>
      <c r="B226" s="2944" t="s">
        <v>3095</v>
      </c>
      <c r="C226" s="2944"/>
      <c r="D226" s="2944"/>
      <c r="E226" s="2944"/>
      <c r="F226" s="2944">
        <v>1700</v>
      </c>
      <c r="G226" s="2957"/>
    </row>
    <row r="227" spans="1:7" s="2778" customFormat="1" ht="14.25" customHeight="1">
      <c r="A227" s="2944" t="s">
        <v>304</v>
      </c>
      <c r="B227" s="2944" t="s">
        <v>3096</v>
      </c>
      <c r="C227" s="2944"/>
      <c r="D227" s="2944"/>
      <c r="E227" s="2944"/>
      <c r="F227" s="2944">
        <v>1520</v>
      </c>
      <c r="G227" s="2957"/>
    </row>
    <row r="228" spans="1:7" s="2778" customFormat="1" ht="14.25" customHeight="1">
      <c r="A228" s="2944" t="s">
        <v>304</v>
      </c>
      <c r="B228" s="2944" t="s">
        <v>3097</v>
      </c>
      <c r="C228" s="2944"/>
      <c r="D228" s="2944"/>
      <c r="E228" s="2944"/>
      <c r="F228" s="2944">
        <v>1520</v>
      </c>
      <c r="G228" s="2957"/>
    </row>
    <row r="229" spans="1:7" s="2778" customFormat="1" ht="14.25" customHeight="1">
      <c r="A229" s="2944" t="s">
        <v>304</v>
      </c>
      <c r="B229" s="2944" t="s">
        <v>3014</v>
      </c>
      <c r="C229" s="2944"/>
      <c r="D229" s="2944"/>
      <c r="E229" s="2944"/>
      <c r="F229" s="2944">
        <v>1520</v>
      </c>
      <c r="G229" s="2957"/>
    </row>
    <row r="230" spans="1:7" s="2778" customFormat="1" ht="14.25" customHeight="1">
      <c r="A230" s="2944" t="s">
        <v>304</v>
      </c>
      <c r="B230" s="2944" t="s">
        <v>3098</v>
      </c>
      <c r="C230" s="2944"/>
      <c r="D230" s="2944"/>
      <c r="E230" s="2944"/>
      <c r="F230" s="2944">
        <v>1820</v>
      </c>
      <c r="G230" s="2957"/>
    </row>
    <row r="231" spans="1:7" s="2778" customFormat="1" ht="14.25" customHeight="1">
      <c r="A231" s="2944" t="s">
        <v>304</v>
      </c>
      <c r="B231" s="2944" t="s">
        <v>3099</v>
      </c>
      <c r="C231" s="2944"/>
      <c r="D231" s="2944"/>
      <c r="E231" s="2944"/>
      <c r="F231" s="2944">
        <v>1760</v>
      </c>
      <c r="G231" s="2957"/>
    </row>
    <row r="232" spans="1:7" s="2778" customFormat="1" ht="14.25" customHeight="1">
      <c r="A232" s="2944" t="s">
        <v>304</v>
      </c>
      <c r="B232" s="2944" t="s">
        <v>3100</v>
      </c>
      <c r="C232" s="2944"/>
      <c r="D232" s="2944"/>
      <c r="E232" s="2944"/>
      <c r="F232" s="2944">
        <v>1840</v>
      </c>
      <c r="G232" s="2957"/>
    </row>
    <row r="233" spans="1:7" s="2778" customFormat="1" ht="14.25" customHeight="1" thickBot="1">
      <c r="A233" s="2958" t="s">
        <v>304</v>
      </c>
      <c r="B233" s="2951" t="s">
        <v>3031</v>
      </c>
      <c r="C233" s="2951"/>
      <c r="D233" s="2951"/>
      <c r="E233" s="2951"/>
      <c r="F233" s="2951">
        <v>1770</v>
      </c>
      <c r="G233" s="2959"/>
    </row>
    <row r="234" spans="1:7" s="2778" customFormat="1" ht="14.25" customHeight="1">
      <c r="A234" s="2949" t="s">
        <v>305</v>
      </c>
      <c r="B234" s="2940" t="s">
        <v>3101</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2872</v>
      </c>
      <c r="C238" s="2944">
        <v>6920</v>
      </c>
      <c r="D238" s="2944">
        <v>6890</v>
      </c>
      <c r="E238" s="2944">
        <v>8640</v>
      </c>
      <c r="F238" s="2944">
        <v>1310</v>
      </c>
      <c r="G238" s="2944">
        <v>4230</v>
      </c>
    </row>
    <row r="239" spans="1:7" s="2778" customFormat="1" ht="14.25" customHeight="1">
      <c r="A239" s="2944" t="s">
        <v>305</v>
      </c>
      <c r="B239" s="2944" t="s">
        <v>3102</v>
      </c>
      <c r="C239" s="2944">
        <v>6780</v>
      </c>
      <c r="D239" s="2944">
        <v>6750</v>
      </c>
      <c r="E239" s="2944">
        <v>8440</v>
      </c>
      <c r="F239" s="2944">
        <v>1160</v>
      </c>
      <c r="G239" s="2944">
        <v>4140</v>
      </c>
    </row>
    <row r="240" spans="1:7" s="2778" customFormat="1" ht="14.25" customHeight="1">
      <c r="A240" s="2944" t="s">
        <v>305</v>
      </c>
      <c r="B240" s="2944" t="s">
        <v>3103</v>
      </c>
      <c r="C240" s="2944">
        <v>5420</v>
      </c>
      <c r="D240" s="2944">
        <v>5380</v>
      </c>
      <c r="E240" s="2944">
        <v>6640</v>
      </c>
      <c r="F240" s="2944">
        <v>1020</v>
      </c>
      <c r="G240" s="2944">
        <v>3300</v>
      </c>
    </row>
    <row r="241" spans="1:7" s="2778" customFormat="1" ht="14.25" customHeight="1">
      <c r="A241" s="2944" t="s">
        <v>305</v>
      </c>
      <c r="B241" s="2944" t="s">
        <v>3104</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3105</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3106</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3107</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3108</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3109</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2934</v>
      </c>
      <c r="C258" s="2944">
        <v>6190</v>
      </c>
      <c r="D258" s="2944">
        <v>6160</v>
      </c>
      <c r="E258" s="2944">
        <v>7680</v>
      </c>
      <c r="F258" s="2944">
        <v>1170</v>
      </c>
      <c r="G258" s="2944">
        <v>3780</v>
      </c>
    </row>
    <row r="259" spans="1:7" s="2778" customFormat="1" ht="14.25" customHeight="1">
      <c r="A259" s="2944" t="s">
        <v>305</v>
      </c>
      <c r="B259" s="2944" t="s">
        <v>3110</v>
      </c>
      <c r="C259" s="2944">
        <v>7610</v>
      </c>
      <c r="D259" s="2944">
        <v>7570</v>
      </c>
      <c r="E259" s="2944">
        <v>9350</v>
      </c>
      <c r="F259" s="2944">
        <v>1350</v>
      </c>
      <c r="G259" s="2944">
        <v>4650</v>
      </c>
    </row>
    <row r="260" spans="1:7" s="2778" customFormat="1" ht="14.25" customHeight="1">
      <c r="A260" s="2944" t="s">
        <v>305</v>
      </c>
      <c r="B260" s="2944" t="s">
        <v>3111</v>
      </c>
      <c r="C260" s="2944">
        <v>6920</v>
      </c>
      <c r="D260" s="2944">
        <v>6880</v>
      </c>
      <c r="E260" s="2944">
        <v>8380</v>
      </c>
      <c r="F260" s="2944">
        <v>1160</v>
      </c>
      <c r="G260" s="2944">
        <v>4220</v>
      </c>
    </row>
    <row r="261" spans="1:7" s="2778" customFormat="1" ht="14.25" customHeight="1">
      <c r="A261" s="2944" t="s">
        <v>305</v>
      </c>
      <c r="B261" s="2944" t="s">
        <v>3112</v>
      </c>
      <c r="C261" s="2944">
        <v>6850</v>
      </c>
      <c r="D261" s="2944">
        <v>6810</v>
      </c>
      <c r="E261" s="2944">
        <v>8290</v>
      </c>
      <c r="F261" s="2944">
        <v>1130</v>
      </c>
      <c r="G261" s="2944">
        <v>4180</v>
      </c>
    </row>
    <row r="262" spans="1:7" s="2778" customFormat="1" ht="14.25" customHeight="1">
      <c r="A262" s="2944" t="s">
        <v>305</v>
      </c>
      <c r="B262" s="2944" t="s">
        <v>3113</v>
      </c>
      <c r="C262" s="2944">
        <v>5860</v>
      </c>
      <c r="D262" s="2944">
        <v>5820</v>
      </c>
      <c r="E262" s="2944">
        <v>7640</v>
      </c>
      <c r="F262" s="2944">
        <v>1070</v>
      </c>
      <c r="G262" s="2944">
        <v>3570</v>
      </c>
    </row>
    <row r="263" spans="1:7" s="2778" customFormat="1" ht="14.25" customHeight="1">
      <c r="A263" s="2944" t="s">
        <v>305</v>
      </c>
      <c r="B263" s="2944" t="s">
        <v>3114</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3115</v>
      </c>
      <c r="C265" s="2944"/>
      <c r="D265" s="2944"/>
      <c r="E265" s="2944"/>
      <c r="F265" s="2944">
        <v>1500</v>
      </c>
      <c r="G265" s="2944"/>
    </row>
    <row r="266" spans="1:7" s="2778" customFormat="1" ht="14.25" customHeight="1">
      <c r="A266" s="2944" t="s">
        <v>305</v>
      </c>
      <c r="B266" s="2944" t="s">
        <v>3116</v>
      </c>
      <c r="C266" s="2944"/>
      <c r="D266" s="2944"/>
      <c r="E266" s="2944"/>
      <c r="F266" s="2944">
        <v>1500</v>
      </c>
      <c r="G266" s="2944"/>
    </row>
    <row r="267" spans="1:7" s="2778" customFormat="1" ht="14.25" customHeight="1">
      <c r="A267" s="2944" t="s">
        <v>305</v>
      </c>
      <c r="B267" s="2944" t="s">
        <v>3117</v>
      </c>
      <c r="C267" s="2944"/>
      <c r="D267" s="2944"/>
      <c r="E267" s="2944"/>
      <c r="F267" s="2944">
        <v>1500</v>
      </c>
      <c r="G267" s="2944"/>
    </row>
    <row r="268" spans="1:7" s="2778" customFormat="1" ht="14.25" customHeight="1">
      <c r="A268" s="2944" t="s">
        <v>305</v>
      </c>
      <c r="B268" s="2944" t="s">
        <v>3118</v>
      </c>
      <c r="C268" s="2944"/>
      <c r="D268" s="2944"/>
      <c r="E268" s="2944"/>
      <c r="F268" s="2944">
        <v>1290</v>
      </c>
      <c r="G268" s="2944"/>
    </row>
    <row r="269" spans="1:7" s="2778" customFormat="1" ht="14.25" customHeight="1">
      <c r="A269" s="2944" t="s">
        <v>305</v>
      </c>
      <c r="B269" s="2944" t="s">
        <v>3119</v>
      </c>
      <c r="C269" s="2944"/>
      <c r="D269" s="2944"/>
      <c r="E269" s="2944"/>
      <c r="F269" s="2944">
        <v>1150</v>
      </c>
      <c r="G269" s="2944"/>
    </row>
    <row r="270" spans="1:7" s="2778" customFormat="1" ht="14.25" customHeight="1">
      <c r="A270" s="2944" t="s">
        <v>305</v>
      </c>
      <c r="B270" s="2944" t="s">
        <v>3120</v>
      </c>
      <c r="C270" s="2944"/>
      <c r="D270" s="2944"/>
      <c r="E270" s="2944"/>
      <c r="F270" s="2944">
        <v>1380</v>
      </c>
      <c r="G270" s="2944"/>
    </row>
    <row r="271" spans="1:7" s="2778" customFormat="1" ht="14.25" customHeight="1">
      <c r="A271" s="2944" t="s">
        <v>305</v>
      </c>
      <c r="B271" s="2944" t="s">
        <v>3121</v>
      </c>
      <c r="C271" s="2944"/>
      <c r="D271" s="2944"/>
      <c r="E271" s="2944"/>
      <c r="F271" s="2944">
        <v>1460</v>
      </c>
      <c r="G271" s="2944"/>
    </row>
    <row r="272" spans="1:7" s="2778" customFormat="1" ht="14.25" customHeight="1">
      <c r="A272" s="2944" t="s">
        <v>305</v>
      </c>
      <c r="B272" s="2944" t="s">
        <v>3122</v>
      </c>
      <c r="C272" s="2944"/>
      <c r="D272" s="2944"/>
      <c r="E272" s="2944"/>
      <c r="F272" s="2944">
        <v>1460</v>
      </c>
      <c r="G272" s="2944"/>
    </row>
    <row r="273" spans="1:7" s="2778" customFormat="1" ht="14.25" customHeight="1">
      <c r="A273" s="2944" t="s">
        <v>305</v>
      </c>
      <c r="B273" s="2944" t="s">
        <v>3015</v>
      </c>
      <c r="C273" s="2944"/>
      <c r="D273" s="2944"/>
      <c r="E273" s="2944"/>
      <c r="F273" s="2944">
        <v>1490</v>
      </c>
      <c r="G273" s="2944"/>
    </row>
    <row r="274" spans="1:7" s="2778" customFormat="1" ht="14.25" customHeight="1">
      <c r="A274" s="2944" t="s">
        <v>305</v>
      </c>
      <c r="B274" s="2944" t="s">
        <v>3123</v>
      </c>
      <c r="C274" s="2944"/>
      <c r="D274" s="2944"/>
      <c r="E274" s="2944"/>
      <c r="F274" s="2944">
        <v>1490</v>
      </c>
      <c r="G274" s="2944"/>
    </row>
    <row r="275" spans="1:7" s="2778" customFormat="1" ht="14.25" customHeight="1">
      <c r="A275" s="2944" t="s">
        <v>305</v>
      </c>
      <c r="B275" s="2944" t="s">
        <v>3124</v>
      </c>
      <c r="C275" s="2944"/>
      <c r="D275" s="2944"/>
      <c r="E275" s="2944"/>
      <c r="F275" s="2944">
        <v>1220</v>
      </c>
      <c r="G275" s="2944"/>
    </row>
    <row r="276" spans="1:7" s="2778" customFormat="1" ht="14.25" customHeight="1" thickBot="1">
      <c r="A276" s="2952" t="s">
        <v>305</v>
      </c>
      <c r="B276" s="2954" t="s">
        <v>3125</v>
      </c>
      <c r="C276" s="2955"/>
      <c r="D276" s="2955"/>
      <c r="E276" s="2955"/>
      <c r="F276" s="2955">
        <v>1380</v>
      </c>
      <c r="G276" s="2955"/>
    </row>
    <row r="277" spans="1:7" s="2778" customFormat="1" ht="14.25" customHeight="1">
      <c r="A277" s="2949" t="s">
        <v>306</v>
      </c>
      <c r="B277" s="2940" t="s">
        <v>3126</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3127</v>
      </c>
      <c r="C279" s="2944">
        <v>4760</v>
      </c>
      <c r="D279" s="2944">
        <v>4720</v>
      </c>
      <c r="E279" s="2944">
        <v>5540</v>
      </c>
      <c r="F279" s="2944">
        <v>810</v>
      </c>
      <c r="G279" s="2957">
        <v>2850</v>
      </c>
    </row>
    <row r="280" spans="1:7" s="2778" customFormat="1" ht="14.25" customHeight="1">
      <c r="A280" s="2944" t="s">
        <v>306</v>
      </c>
      <c r="B280" s="2944" t="s">
        <v>3128</v>
      </c>
      <c r="C280" s="2944">
        <v>4010</v>
      </c>
      <c r="D280" s="2944">
        <v>3950</v>
      </c>
      <c r="E280" s="2944">
        <v>4710</v>
      </c>
      <c r="F280" s="2944">
        <v>800</v>
      </c>
      <c r="G280" s="2957">
        <v>2390</v>
      </c>
    </row>
    <row r="281" spans="1:7" s="2778" customFormat="1" ht="14.25" customHeight="1">
      <c r="A281" s="2944" t="s">
        <v>306</v>
      </c>
      <c r="B281" s="2944" t="s">
        <v>3129</v>
      </c>
      <c r="C281" s="2944">
        <v>4480</v>
      </c>
      <c r="D281" s="2944">
        <v>4420</v>
      </c>
      <c r="E281" s="2944">
        <v>5230</v>
      </c>
      <c r="F281" s="2944">
        <v>870</v>
      </c>
      <c r="G281" s="2957">
        <v>2660</v>
      </c>
    </row>
    <row r="282" spans="1:7" s="2778" customFormat="1" ht="14.25" customHeight="1">
      <c r="A282" s="2944" t="s">
        <v>306</v>
      </c>
      <c r="B282" s="2944" t="s">
        <v>3130</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3131</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3132</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2907</v>
      </c>
      <c r="C293" s="2944">
        <v>5320</v>
      </c>
      <c r="D293" s="2944">
        <v>5270</v>
      </c>
      <c r="E293" s="2944">
        <v>6160</v>
      </c>
      <c r="F293" s="2944">
        <v>990</v>
      </c>
      <c r="G293" s="2957">
        <v>3170</v>
      </c>
    </row>
    <row r="294" spans="1:7" s="2778" customFormat="1" ht="14.25" customHeight="1">
      <c r="A294" s="2944" t="s">
        <v>306</v>
      </c>
      <c r="B294" s="2944" t="s">
        <v>3133</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2926</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3134</v>
      </c>
      <c r="C302" s="2944">
        <v>5520</v>
      </c>
      <c r="D302" s="2944">
        <v>5470</v>
      </c>
      <c r="E302" s="2944">
        <v>6410</v>
      </c>
      <c r="F302" s="2944">
        <v>950</v>
      </c>
      <c r="G302" s="2957">
        <v>3300</v>
      </c>
    </row>
    <row r="303" spans="1:7" s="2778" customFormat="1" ht="14.25" customHeight="1">
      <c r="A303" s="2944" t="s">
        <v>306</v>
      </c>
      <c r="B303" s="2944" t="s">
        <v>2946</v>
      </c>
      <c r="C303" s="2944">
        <v>5630</v>
      </c>
      <c r="D303" s="2944">
        <v>5590</v>
      </c>
      <c r="E303" s="2944">
        <v>6550</v>
      </c>
      <c r="F303" s="2944">
        <v>1010</v>
      </c>
      <c r="G303" s="2957">
        <v>3370</v>
      </c>
    </row>
    <row r="304" spans="1:7" s="2778" customFormat="1" ht="14.25" customHeight="1">
      <c r="A304" s="2944" t="s">
        <v>306</v>
      </c>
      <c r="B304" s="2944" t="s">
        <v>2953</v>
      </c>
      <c r="C304" s="2944">
        <v>5680</v>
      </c>
      <c r="D304" s="2944">
        <v>5620</v>
      </c>
      <c r="E304" s="2944">
        <v>6620</v>
      </c>
      <c r="F304" s="2944">
        <v>1050</v>
      </c>
      <c r="G304" s="2957">
        <v>3390</v>
      </c>
    </row>
    <row r="305" spans="1:7" s="2778" customFormat="1" ht="14.25" customHeight="1">
      <c r="A305" s="2944" t="s">
        <v>306</v>
      </c>
      <c r="B305" s="2944" t="s">
        <v>2959</v>
      </c>
      <c r="C305" s="2944">
        <v>5590</v>
      </c>
      <c r="D305" s="2944">
        <v>5530</v>
      </c>
      <c r="E305" s="2944">
        <v>6460</v>
      </c>
      <c r="F305" s="2944">
        <v>900</v>
      </c>
      <c r="G305" s="2957">
        <v>3340</v>
      </c>
    </row>
    <row r="306" spans="1:7" s="2778" customFormat="1" ht="14.25" customHeight="1">
      <c r="A306" s="2944" t="s">
        <v>306</v>
      </c>
      <c r="B306" s="2944" t="s">
        <v>3135</v>
      </c>
      <c r="C306" s="2944">
        <v>5560</v>
      </c>
      <c r="D306" s="2944">
        <v>5510</v>
      </c>
      <c r="E306" s="2944">
        <v>6440</v>
      </c>
      <c r="F306" s="2944">
        <v>900</v>
      </c>
      <c r="G306" s="2957">
        <v>3320</v>
      </c>
    </row>
    <row r="307" spans="1:7" s="2778" customFormat="1" ht="14.25" customHeight="1">
      <c r="A307" s="2944" t="s">
        <v>306</v>
      </c>
      <c r="B307" s="2944" t="s">
        <v>2971</v>
      </c>
      <c r="C307" s="2944">
        <v>5650</v>
      </c>
      <c r="D307" s="2944">
        <v>5600</v>
      </c>
      <c r="E307" s="2944">
        <v>6590</v>
      </c>
      <c r="F307" s="2944">
        <v>930</v>
      </c>
      <c r="G307" s="2957">
        <v>3380</v>
      </c>
    </row>
    <row r="308" spans="1:7" s="2778" customFormat="1" ht="14.25" customHeight="1">
      <c r="A308" s="2944" t="s">
        <v>306</v>
      </c>
      <c r="B308" s="2944" t="s">
        <v>3136</v>
      </c>
      <c r="C308" s="2944">
        <v>5620</v>
      </c>
      <c r="D308" s="2944">
        <v>5580</v>
      </c>
      <c r="E308" s="2944">
        <v>6540</v>
      </c>
      <c r="F308" s="2944">
        <v>910</v>
      </c>
      <c r="G308" s="2957">
        <v>3370</v>
      </c>
    </row>
    <row r="309" spans="1:7" s="2778" customFormat="1" ht="14.25" customHeight="1">
      <c r="A309" s="2944" t="s">
        <v>306</v>
      </c>
      <c r="B309" s="2944" t="s">
        <v>3137</v>
      </c>
      <c r="C309" s="2944">
        <v>5060</v>
      </c>
      <c r="D309" s="2944">
        <v>5020</v>
      </c>
      <c r="E309" s="2944">
        <v>6370</v>
      </c>
      <c r="F309" s="2944">
        <v>800</v>
      </c>
      <c r="G309" s="2957">
        <v>3020</v>
      </c>
    </row>
    <row r="310" spans="1:7" s="2778" customFormat="1" ht="14.25" customHeight="1">
      <c r="A310" s="2944" t="s">
        <v>306</v>
      </c>
      <c r="B310" s="2944" t="s">
        <v>2986</v>
      </c>
      <c r="C310" s="2944">
        <v>5150</v>
      </c>
      <c r="D310" s="2944">
        <v>5110</v>
      </c>
      <c r="E310" s="2944">
        <v>6500</v>
      </c>
      <c r="F310" s="2944">
        <v>880</v>
      </c>
      <c r="G310" s="2957">
        <v>3080</v>
      </c>
    </row>
    <row r="311" spans="1:7" s="2778" customFormat="1" ht="14.25" customHeight="1">
      <c r="A311" s="2944" t="s">
        <v>306</v>
      </c>
      <c r="B311" s="2944" t="s">
        <v>3138</v>
      </c>
      <c r="C311" s="2944">
        <v>4750</v>
      </c>
      <c r="D311" s="2944">
        <v>4710</v>
      </c>
      <c r="E311" s="2944">
        <v>5510</v>
      </c>
      <c r="F311" s="2944">
        <v>880</v>
      </c>
      <c r="G311" s="2957">
        <v>2840</v>
      </c>
    </row>
    <row r="312" spans="1:7" s="2778" customFormat="1" ht="14.25" customHeight="1">
      <c r="A312" s="2944" t="s">
        <v>306</v>
      </c>
      <c r="B312" s="2944" t="s">
        <v>2996</v>
      </c>
      <c r="C312" s="2944">
        <v>4690</v>
      </c>
      <c r="D312" s="2944">
        <v>4640</v>
      </c>
      <c r="E312" s="2944">
        <v>5420</v>
      </c>
      <c r="F312" s="2944">
        <v>800</v>
      </c>
      <c r="G312" s="2957">
        <v>2800</v>
      </c>
    </row>
    <row r="313" spans="1:7" s="2778" customFormat="1" ht="14.25" customHeight="1">
      <c r="A313" s="2944" t="s">
        <v>306</v>
      </c>
      <c r="B313" s="2944" t="s">
        <v>3001</v>
      </c>
      <c r="C313" s="2944">
        <v>4810</v>
      </c>
      <c r="D313" s="2944">
        <v>4760</v>
      </c>
      <c r="E313" s="2944">
        <v>5550</v>
      </c>
      <c r="F313" s="2944">
        <v>920</v>
      </c>
      <c r="G313" s="2957">
        <v>2870</v>
      </c>
    </row>
    <row r="314" spans="1:7" s="2778" customFormat="1" ht="14.25" customHeight="1">
      <c r="A314" s="2944" t="s">
        <v>306</v>
      </c>
      <c r="B314" s="2944" t="s">
        <v>3139</v>
      </c>
      <c r="C314" s="2944"/>
      <c r="D314" s="2944"/>
      <c r="E314" s="2944"/>
      <c r="F314" s="2944">
        <v>1020</v>
      </c>
      <c r="G314" s="2957"/>
    </row>
    <row r="315" spans="1:7" s="2778" customFormat="1" ht="14.25" customHeight="1">
      <c r="A315" s="2944" t="s">
        <v>306</v>
      </c>
      <c r="B315" s="2944" t="s">
        <v>3140</v>
      </c>
      <c r="C315" s="2944"/>
      <c r="D315" s="2944"/>
      <c r="E315" s="2944"/>
      <c r="F315" s="2944">
        <v>1050</v>
      </c>
      <c r="G315" s="2957"/>
    </row>
    <row r="316" spans="1:7" s="2778" customFormat="1" ht="14.25" customHeight="1">
      <c r="A316" s="2944" t="s">
        <v>306</v>
      </c>
      <c r="B316" s="2944" t="s">
        <v>3016</v>
      </c>
      <c r="C316" s="2944"/>
      <c r="D316" s="2944"/>
      <c r="E316" s="2944"/>
      <c r="F316" s="2944">
        <v>900</v>
      </c>
      <c r="G316" s="2957"/>
    </row>
    <row r="317" spans="1:7" s="2778" customFormat="1" ht="14.25" customHeight="1">
      <c r="A317" s="2944" t="s">
        <v>306</v>
      </c>
      <c r="B317" s="2944" t="s">
        <v>3141</v>
      </c>
      <c r="C317" s="2944"/>
      <c r="D317" s="2944"/>
      <c r="E317" s="2944"/>
      <c r="F317" s="2944">
        <v>920</v>
      </c>
      <c r="G317" s="2957"/>
    </row>
    <row r="318" spans="1:7" s="2778" customFormat="1" ht="14.25" customHeight="1">
      <c r="A318" s="2944" t="s">
        <v>306</v>
      </c>
      <c r="B318" s="2944" t="s">
        <v>3142</v>
      </c>
      <c r="C318" s="2944"/>
      <c r="D318" s="2944"/>
      <c r="E318" s="2944"/>
      <c r="F318" s="2944">
        <v>1080</v>
      </c>
      <c r="G318" s="2957"/>
    </row>
    <row r="319" spans="1:7" s="2778" customFormat="1" ht="14.25" customHeight="1">
      <c r="A319" s="2944" t="s">
        <v>306</v>
      </c>
      <c r="B319" s="2944" t="s">
        <v>3029</v>
      </c>
      <c r="C319" s="2944"/>
      <c r="D319" s="2944"/>
      <c r="E319" s="2944"/>
      <c r="F319" s="2944">
        <v>1020</v>
      </c>
      <c r="G319" s="2957"/>
    </row>
    <row r="320" spans="1:7" s="2778" customFormat="1" ht="14.25" customHeight="1">
      <c r="A320" s="2944" t="s">
        <v>306</v>
      </c>
      <c r="B320" s="2944" t="s">
        <v>3032</v>
      </c>
      <c r="C320" s="2944"/>
      <c r="D320" s="2944"/>
      <c r="E320" s="2944"/>
      <c r="F320" s="2944">
        <v>1050</v>
      </c>
      <c r="G320" s="2957"/>
    </row>
    <row r="321" spans="1:7" s="2778" customFormat="1" ht="14.25" customHeight="1">
      <c r="A321" s="2944" t="s">
        <v>306</v>
      </c>
      <c r="B321" s="2944" t="s">
        <v>3034</v>
      </c>
      <c r="C321" s="2944"/>
      <c r="D321" s="2944"/>
      <c r="E321" s="2944"/>
      <c r="F321" s="2944">
        <v>960</v>
      </c>
      <c r="G321" s="2957"/>
    </row>
    <row r="322" spans="1:7" s="2778" customFormat="1" ht="14.25" customHeight="1">
      <c r="A322" s="2944" t="s">
        <v>306</v>
      </c>
      <c r="B322" s="2944" t="s">
        <v>3036</v>
      </c>
      <c r="C322" s="2944"/>
      <c r="D322" s="2944"/>
      <c r="E322" s="2944"/>
      <c r="F322" s="2944">
        <v>960</v>
      </c>
      <c r="G322" s="2957"/>
    </row>
    <row r="323" spans="1:7" s="2778" customFormat="1" ht="14.25" customHeight="1">
      <c r="A323" s="2944" t="s">
        <v>306</v>
      </c>
      <c r="B323" s="2944" t="s">
        <v>3038</v>
      </c>
      <c r="C323" s="2944"/>
      <c r="D323" s="2944"/>
      <c r="E323" s="2944"/>
      <c r="F323" s="2944">
        <v>880</v>
      </c>
      <c r="G323" s="2957"/>
    </row>
    <row r="324" spans="1:7" s="2778" customFormat="1" ht="14.25" customHeight="1">
      <c r="A324" s="2944" t="s">
        <v>306</v>
      </c>
      <c r="B324" s="2944" t="s">
        <v>3040</v>
      </c>
      <c r="C324" s="2944"/>
      <c r="D324" s="2944"/>
      <c r="E324" s="2944"/>
      <c r="F324" s="2944">
        <v>930</v>
      </c>
      <c r="G324" s="2957"/>
    </row>
    <row r="325" spans="1:7" s="2778" customFormat="1" ht="14.25" customHeight="1">
      <c r="A325" s="2944" t="s">
        <v>306</v>
      </c>
      <c r="B325" s="2945" t="s">
        <v>3042</v>
      </c>
      <c r="C325" s="2944"/>
      <c r="D325" s="2944"/>
      <c r="E325" s="2944"/>
      <c r="F325" s="2944">
        <v>900</v>
      </c>
      <c r="G325" s="2957"/>
    </row>
    <row r="326" spans="1:7" s="2778" customFormat="1" ht="14.25" customHeight="1" thickBot="1">
      <c r="A326" s="2958" t="s">
        <v>306</v>
      </c>
      <c r="B326" s="2951" t="s">
        <v>3044</v>
      </c>
      <c r="C326" s="2951"/>
      <c r="D326" s="2951"/>
      <c r="E326" s="2951"/>
      <c r="F326" s="2951">
        <v>790</v>
      </c>
      <c r="G326" s="2959"/>
    </row>
    <row r="327" spans="1:7" s="2778" customFormat="1" ht="14.25" customHeight="1">
      <c r="A327" s="2949" t="s">
        <v>307</v>
      </c>
      <c r="B327" s="2940" t="s">
        <v>3143</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3144</v>
      </c>
      <c r="C329" s="2944">
        <v>2730</v>
      </c>
      <c r="D329" s="2944">
        <v>2690</v>
      </c>
      <c r="E329" s="2944">
        <v>3100</v>
      </c>
      <c r="F329" s="2944">
        <v>660</v>
      </c>
      <c r="G329" s="2944">
        <v>1610</v>
      </c>
    </row>
    <row r="330" spans="1:7" s="2778" customFormat="1" ht="14.25" customHeight="1">
      <c r="A330" s="2944" t="s">
        <v>307</v>
      </c>
      <c r="B330" s="2944" t="s">
        <v>3145</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2878</v>
      </c>
      <c r="C332" s="2944">
        <v>3520</v>
      </c>
      <c r="D332" s="2944">
        <v>3480</v>
      </c>
      <c r="E332" s="2944">
        <v>3830</v>
      </c>
      <c r="F332" s="2944">
        <v>720</v>
      </c>
      <c r="G332" s="2944">
        <v>2090</v>
      </c>
    </row>
    <row r="333" spans="1:7" s="2778" customFormat="1" ht="14.25" customHeight="1">
      <c r="A333" s="2944" t="s">
        <v>307</v>
      </c>
      <c r="B333" s="2944" t="s">
        <v>3146</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2888</v>
      </c>
      <c r="C336" s="2944">
        <v>3570</v>
      </c>
      <c r="D336" s="2944">
        <v>3530</v>
      </c>
      <c r="E336" s="2944">
        <v>3880</v>
      </c>
      <c r="F336" s="2944">
        <v>770</v>
      </c>
      <c r="G336" s="2944">
        <v>2110</v>
      </c>
    </row>
    <row r="337" spans="1:10" s="2778" customFormat="1" ht="14.25" customHeight="1">
      <c r="A337" s="2944" t="s">
        <v>307</v>
      </c>
      <c r="B337" s="2944" t="s">
        <v>3147</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3148</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3149</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2913</v>
      </c>
      <c r="C345" s="2944">
        <v>3190</v>
      </c>
      <c r="D345" s="2944">
        <v>3140</v>
      </c>
      <c r="E345" s="2944">
        <v>3450</v>
      </c>
      <c r="F345" s="2944">
        <v>720</v>
      </c>
      <c r="G345" s="2944">
        <v>1880</v>
      </c>
      <c r="J345" s="2778"/>
    </row>
    <row r="346" spans="1:10">
      <c r="A346" s="2944" t="s">
        <v>307</v>
      </c>
      <c r="B346" s="2944" t="s">
        <v>3150</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2922</v>
      </c>
      <c r="C348" s="2944">
        <v>4000</v>
      </c>
      <c r="D348" s="2944">
        <v>3950</v>
      </c>
      <c r="E348" s="2944">
        <v>4430</v>
      </c>
      <c r="F348" s="2944">
        <v>760</v>
      </c>
      <c r="G348" s="2944">
        <v>2360</v>
      </c>
      <c r="J348" s="2778"/>
    </row>
    <row r="349" spans="1:10">
      <c r="A349" s="2944" t="s">
        <v>307</v>
      </c>
      <c r="B349" s="2944" t="s">
        <v>2927</v>
      </c>
      <c r="C349" s="2944">
        <v>3820</v>
      </c>
      <c r="D349" s="2944">
        <v>3780</v>
      </c>
      <c r="E349" s="2944">
        <v>4170</v>
      </c>
      <c r="F349" s="2944">
        <v>710</v>
      </c>
      <c r="G349" s="2944">
        <v>2260</v>
      </c>
      <c r="J349" s="2778"/>
    </row>
    <row r="350" spans="1:10">
      <c r="A350" s="2944" t="s">
        <v>307</v>
      </c>
      <c r="B350" s="2944" t="s">
        <v>3151</v>
      </c>
      <c r="C350" s="2944">
        <v>3760</v>
      </c>
      <c r="D350" s="2944">
        <v>3730</v>
      </c>
      <c r="E350" s="2944">
        <v>4100</v>
      </c>
      <c r="F350" s="2944">
        <v>800</v>
      </c>
      <c r="G350" s="2944">
        <v>2230</v>
      </c>
      <c r="J350" s="2778"/>
    </row>
    <row r="351" spans="1:10">
      <c r="A351" s="2944" t="s">
        <v>307</v>
      </c>
      <c r="B351" s="2944" t="s">
        <v>2935</v>
      </c>
      <c r="C351" s="2944">
        <v>3610</v>
      </c>
      <c r="D351" s="2944">
        <v>3580</v>
      </c>
      <c r="E351" s="2944">
        <v>3930</v>
      </c>
      <c r="F351" s="2944">
        <v>700</v>
      </c>
      <c r="G351" s="2944">
        <v>2140</v>
      </c>
      <c r="J351" s="2778"/>
    </row>
    <row r="352" spans="1:10">
      <c r="A352" s="2944" t="s">
        <v>307</v>
      </c>
      <c r="B352" s="2944" t="s">
        <v>2940</v>
      </c>
      <c r="C352" s="2944">
        <v>3670</v>
      </c>
      <c r="D352" s="2944">
        <v>3630</v>
      </c>
      <c r="E352" s="2944">
        <v>4000</v>
      </c>
      <c r="F352" s="2944">
        <v>750</v>
      </c>
      <c r="G352" s="2944">
        <v>2180</v>
      </c>
    </row>
    <row r="353" spans="1:7" s="2779" customFormat="1">
      <c r="A353" s="2944" t="s">
        <v>307</v>
      </c>
      <c r="B353" s="2944" t="s">
        <v>3152</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2960</v>
      </c>
      <c r="C355" s="2944">
        <v>3650</v>
      </c>
      <c r="D355" s="2944">
        <v>3610</v>
      </c>
      <c r="E355" s="2944">
        <v>4200</v>
      </c>
      <c r="F355" s="2944">
        <v>640</v>
      </c>
      <c r="G355" s="2944">
        <v>2160</v>
      </c>
    </row>
    <row r="356" spans="1:7" s="2779" customFormat="1">
      <c r="A356" s="2944" t="s">
        <v>307</v>
      </c>
      <c r="B356" s="2944" t="s">
        <v>2967</v>
      </c>
      <c r="C356" s="2944">
        <v>3260</v>
      </c>
      <c r="D356" s="2944">
        <v>3230</v>
      </c>
      <c r="E356" s="2944">
        <v>3740</v>
      </c>
      <c r="F356" s="2944">
        <v>600</v>
      </c>
      <c r="G356" s="2944">
        <v>1930</v>
      </c>
    </row>
    <row r="357" spans="1:7" s="2779" customFormat="1" ht="12" thickBot="1">
      <c r="A357" s="2952" t="s">
        <v>307</v>
      </c>
      <c r="B357" s="2955" t="s">
        <v>3153</v>
      </c>
      <c r="C357" s="2955">
        <v>3690</v>
      </c>
      <c r="D357" s="2955">
        <v>3650</v>
      </c>
      <c r="E357" s="2955">
        <v>4020</v>
      </c>
      <c r="F357" s="2955">
        <v>700</v>
      </c>
      <c r="G357" s="2955">
        <v>2190</v>
      </c>
    </row>
    <row r="358" spans="1:7" s="2779" customFormat="1">
      <c r="A358" s="2949" t="s">
        <v>3154</v>
      </c>
      <c r="B358" s="2940" t="s">
        <v>3155</v>
      </c>
      <c r="C358" s="2940">
        <v>2080</v>
      </c>
      <c r="D358" s="2940">
        <v>2040</v>
      </c>
      <c r="E358" s="2940">
        <v>2010</v>
      </c>
      <c r="F358" s="2940">
        <v>530</v>
      </c>
      <c r="G358" s="2956">
        <v>1230</v>
      </c>
    </row>
    <row r="359" spans="1:7" s="2779" customFormat="1">
      <c r="A359" s="2944" t="s">
        <v>3154</v>
      </c>
      <c r="B359" s="2944" t="s">
        <v>3156</v>
      </c>
      <c r="C359" s="2944">
        <v>1850</v>
      </c>
      <c r="D359" s="2944">
        <v>1820</v>
      </c>
      <c r="E359" s="2944">
        <v>1780</v>
      </c>
      <c r="F359" s="2944">
        <v>520</v>
      </c>
      <c r="G359" s="2957">
        <v>1100</v>
      </c>
    </row>
    <row r="360" spans="1:7" s="2779" customFormat="1">
      <c r="A360" s="2944" t="s">
        <v>3154</v>
      </c>
      <c r="B360" s="2944" t="s">
        <v>3157</v>
      </c>
      <c r="C360" s="2944">
        <v>2020</v>
      </c>
      <c r="D360" s="2944">
        <v>1990</v>
      </c>
      <c r="E360" s="2944">
        <v>1950</v>
      </c>
      <c r="F360" s="2944">
        <v>500</v>
      </c>
      <c r="G360" s="2957">
        <v>1200</v>
      </c>
    </row>
    <row r="361" spans="1:7" s="2779" customFormat="1">
      <c r="A361" s="2944" t="s">
        <v>3154</v>
      </c>
      <c r="B361" s="2944" t="s">
        <v>153</v>
      </c>
      <c r="C361" s="2944">
        <v>2260</v>
      </c>
      <c r="D361" s="2944">
        <v>2220</v>
      </c>
      <c r="E361" s="2944">
        <v>2180</v>
      </c>
      <c r="F361" s="2944">
        <v>580</v>
      </c>
      <c r="G361" s="2957">
        <v>1340</v>
      </c>
    </row>
    <row r="362" spans="1:7" s="2779" customFormat="1">
      <c r="A362" s="2944" t="s">
        <v>3154</v>
      </c>
      <c r="B362" s="2944" t="s">
        <v>3158</v>
      </c>
      <c r="C362" s="2944">
        <v>2650</v>
      </c>
      <c r="D362" s="2944">
        <v>2610</v>
      </c>
      <c r="E362" s="2944">
        <v>2570</v>
      </c>
      <c r="F362" s="2944">
        <v>630</v>
      </c>
      <c r="G362" s="2957">
        <v>1570</v>
      </c>
    </row>
    <row r="363" spans="1:7" s="2779" customFormat="1">
      <c r="A363" s="2944" t="s">
        <v>3154</v>
      </c>
      <c r="B363" s="2944" t="s">
        <v>2879</v>
      </c>
      <c r="C363" s="2944">
        <v>2390</v>
      </c>
      <c r="D363" s="2944">
        <v>2360</v>
      </c>
      <c r="E363" s="2944">
        <v>2320</v>
      </c>
      <c r="F363" s="2944">
        <v>600</v>
      </c>
      <c r="G363" s="2957">
        <v>1420</v>
      </c>
    </row>
    <row r="364" spans="1:7" s="2779" customFormat="1">
      <c r="A364" s="2944" t="s">
        <v>3154</v>
      </c>
      <c r="B364" s="2944" t="s">
        <v>3159</v>
      </c>
      <c r="C364" s="2944">
        <v>2050</v>
      </c>
      <c r="D364" s="2944">
        <v>2030</v>
      </c>
      <c r="E364" s="2944">
        <v>1990</v>
      </c>
      <c r="F364" s="2944">
        <v>550</v>
      </c>
      <c r="G364" s="2957">
        <v>1220</v>
      </c>
    </row>
    <row r="365" spans="1:7" s="2779" customFormat="1">
      <c r="A365" s="2944" t="s">
        <v>3154</v>
      </c>
      <c r="B365" s="2944" t="s">
        <v>200</v>
      </c>
      <c r="C365" s="2944">
        <v>2140</v>
      </c>
      <c r="D365" s="2944">
        <v>2100</v>
      </c>
      <c r="E365" s="2944">
        <v>2060</v>
      </c>
      <c r="F365" s="2944">
        <v>540</v>
      </c>
      <c r="G365" s="2957">
        <v>1270</v>
      </c>
    </row>
    <row r="366" spans="1:7" s="2779" customFormat="1">
      <c r="A366" s="2944" t="s">
        <v>3154</v>
      </c>
      <c r="B366" s="2944" t="s">
        <v>2886</v>
      </c>
      <c r="C366" s="2944">
        <v>2410</v>
      </c>
      <c r="D366" s="2944">
        <v>2370</v>
      </c>
      <c r="E366" s="2944">
        <v>2330</v>
      </c>
      <c r="F366" s="2944">
        <v>570</v>
      </c>
      <c r="G366" s="2957">
        <v>1440</v>
      </c>
    </row>
    <row r="367" spans="1:7" s="2779" customFormat="1">
      <c r="A367" s="2944" t="s">
        <v>3154</v>
      </c>
      <c r="B367" s="2944" t="s">
        <v>3160</v>
      </c>
      <c r="C367" s="2944">
        <v>2300</v>
      </c>
      <c r="D367" s="2944">
        <v>2260</v>
      </c>
      <c r="E367" s="2944">
        <v>2220</v>
      </c>
      <c r="F367" s="2944">
        <v>560</v>
      </c>
      <c r="G367" s="2957">
        <v>1370</v>
      </c>
    </row>
    <row r="368" spans="1:7" s="2779" customFormat="1">
      <c r="A368" s="2944" t="s">
        <v>3154</v>
      </c>
      <c r="B368" s="2944" t="s">
        <v>3161</v>
      </c>
      <c r="C368" s="2944">
        <v>2430</v>
      </c>
      <c r="D368" s="2944">
        <v>2390</v>
      </c>
      <c r="E368" s="2944">
        <v>2350</v>
      </c>
      <c r="F368" s="2944">
        <v>570</v>
      </c>
      <c r="G368" s="2957">
        <v>1450</v>
      </c>
    </row>
    <row r="369" spans="1:7" s="2779" customFormat="1">
      <c r="A369" s="2944" t="s">
        <v>3154</v>
      </c>
      <c r="B369" s="2944" t="s">
        <v>214</v>
      </c>
      <c r="C369" s="2944">
        <v>2320</v>
      </c>
      <c r="D369" s="2944">
        <v>2290</v>
      </c>
      <c r="E369" s="2944">
        <v>2250</v>
      </c>
      <c r="F369" s="2944">
        <v>550</v>
      </c>
      <c r="G369" s="2957">
        <v>1380</v>
      </c>
    </row>
    <row r="370" spans="1:7" s="2779" customFormat="1">
      <c r="A370" s="2944" t="s">
        <v>3154</v>
      </c>
      <c r="B370" s="2944" t="s">
        <v>221</v>
      </c>
      <c r="C370" s="2944">
        <v>2190</v>
      </c>
      <c r="D370" s="2944">
        <v>2170</v>
      </c>
      <c r="E370" s="2944">
        <v>2130</v>
      </c>
      <c r="F370" s="2944">
        <v>530</v>
      </c>
      <c r="G370" s="2957">
        <v>1310</v>
      </c>
    </row>
    <row r="371" spans="1:7" s="2779" customFormat="1">
      <c r="A371" s="2944" t="s">
        <v>3154</v>
      </c>
      <c r="B371" s="2944" t="s">
        <v>229</v>
      </c>
      <c r="C371" s="2944">
        <v>2460</v>
      </c>
      <c r="D371" s="2944">
        <v>2420</v>
      </c>
      <c r="E371" s="2944">
        <v>2370</v>
      </c>
      <c r="F371" s="2944">
        <v>560</v>
      </c>
      <c r="G371" s="2957">
        <v>1470</v>
      </c>
    </row>
    <row r="372" spans="1:7" s="2779" customFormat="1">
      <c r="A372" s="2944" t="s">
        <v>3154</v>
      </c>
      <c r="B372" s="2944" t="s">
        <v>3162</v>
      </c>
      <c r="C372" s="2944">
        <v>2250</v>
      </c>
      <c r="D372" s="2944">
        <v>2210</v>
      </c>
      <c r="E372" s="2944">
        <v>2180</v>
      </c>
      <c r="F372" s="2944">
        <v>550</v>
      </c>
      <c r="G372" s="2957">
        <v>1340</v>
      </c>
    </row>
    <row r="373" spans="1:7" s="2779" customFormat="1">
      <c r="A373" s="2944" t="s">
        <v>3154</v>
      </c>
      <c r="B373" s="2944" t="s">
        <v>258</v>
      </c>
      <c r="C373" s="2944">
        <v>2210</v>
      </c>
      <c r="D373" s="2944">
        <v>2190</v>
      </c>
      <c r="E373" s="2944">
        <v>2150</v>
      </c>
      <c r="F373" s="2944">
        <v>530</v>
      </c>
      <c r="G373" s="2957">
        <v>1320</v>
      </c>
    </row>
    <row r="374" spans="1:7" s="2779" customFormat="1">
      <c r="A374" s="2944" t="s">
        <v>3154</v>
      </c>
      <c r="B374" s="2944" t="s">
        <v>266</v>
      </c>
      <c r="C374" s="2944">
        <v>2320</v>
      </c>
      <c r="D374" s="2944">
        <v>2280</v>
      </c>
      <c r="E374" s="2944">
        <v>2230</v>
      </c>
      <c r="F374" s="2944">
        <v>580</v>
      </c>
      <c r="G374" s="2957">
        <v>1380</v>
      </c>
    </row>
    <row r="375" spans="1:7" s="2779" customFormat="1">
      <c r="A375" s="2944" t="s">
        <v>3154</v>
      </c>
      <c r="B375" s="2944" t="s">
        <v>3163</v>
      </c>
      <c r="C375" s="2944">
        <v>2090</v>
      </c>
      <c r="D375" s="2944">
        <v>2050</v>
      </c>
      <c r="E375" s="2944">
        <v>2020</v>
      </c>
      <c r="F375" s="2944">
        <v>520</v>
      </c>
      <c r="G375" s="2957">
        <v>1240</v>
      </c>
    </row>
    <row r="376" spans="1:7" s="2779" customFormat="1">
      <c r="A376" s="2944" t="s">
        <v>3154</v>
      </c>
      <c r="B376" s="2944" t="s">
        <v>277</v>
      </c>
      <c r="C376" s="2944">
        <v>2010</v>
      </c>
      <c r="D376" s="2944">
        <v>1980</v>
      </c>
      <c r="E376" s="2944">
        <v>1940</v>
      </c>
      <c r="F376" s="2944">
        <v>540</v>
      </c>
      <c r="G376" s="2957">
        <v>1190</v>
      </c>
    </row>
    <row r="377" spans="1:7" s="2779" customFormat="1" ht="12" thickBot="1">
      <c r="A377" s="2952" t="s">
        <v>3154</v>
      </c>
      <c r="B377" s="2955" t="s">
        <v>2916</v>
      </c>
      <c r="C377" s="2955">
        <v>1930</v>
      </c>
      <c r="D377" s="2955">
        <v>1890</v>
      </c>
      <c r="E377" s="2955">
        <v>1860</v>
      </c>
      <c r="F377" s="2955">
        <v>530</v>
      </c>
      <c r="G377" s="2960">
        <v>1150</v>
      </c>
    </row>
    <row r="378" spans="1:7" s="2779" customFormat="1">
      <c r="A378" s="2961" t="s">
        <v>3164</v>
      </c>
      <c r="B378" s="2940" t="s">
        <v>3165</v>
      </c>
      <c r="C378" s="2940">
        <v>1520</v>
      </c>
      <c r="D378" s="2940">
        <v>1490</v>
      </c>
      <c r="E378" s="2940">
        <v>1460</v>
      </c>
      <c r="F378" s="2940">
        <v>460</v>
      </c>
      <c r="G378" s="2956">
        <v>940</v>
      </c>
    </row>
    <row r="379" spans="1:7" s="2779" customFormat="1">
      <c r="A379" s="2962" t="s">
        <v>3164</v>
      </c>
      <c r="B379" s="2944" t="s">
        <v>3166</v>
      </c>
      <c r="C379" s="2944">
        <v>1500</v>
      </c>
      <c r="D379" s="2944">
        <v>1470</v>
      </c>
      <c r="E379" s="2944">
        <v>1430</v>
      </c>
      <c r="F379" s="2944">
        <v>460</v>
      </c>
      <c r="G379" s="2957">
        <v>920</v>
      </c>
    </row>
    <row r="380" spans="1:7" s="2779" customFormat="1">
      <c r="A380" s="2962" t="s">
        <v>3164</v>
      </c>
      <c r="B380" s="2944" t="s">
        <v>3167</v>
      </c>
      <c r="C380" s="2944">
        <v>1620</v>
      </c>
      <c r="D380" s="2944">
        <v>1590</v>
      </c>
      <c r="E380" s="2944">
        <v>1560</v>
      </c>
      <c r="F380" s="2944">
        <v>480</v>
      </c>
      <c r="G380" s="2957">
        <v>1000</v>
      </c>
    </row>
    <row r="381" spans="1:7" s="2779" customFormat="1">
      <c r="A381" s="2962" t="s">
        <v>3164</v>
      </c>
      <c r="B381" s="2944" t="s">
        <v>3168</v>
      </c>
      <c r="C381" s="2944">
        <v>1460</v>
      </c>
      <c r="D381" s="2944">
        <v>1430</v>
      </c>
      <c r="E381" s="2944">
        <v>1390</v>
      </c>
      <c r="F381" s="2944">
        <v>450</v>
      </c>
      <c r="G381" s="2957">
        <v>900</v>
      </c>
    </row>
    <row r="382" spans="1:7" s="2779" customFormat="1">
      <c r="A382" s="2962" t="s">
        <v>3164</v>
      </c>
      <c r="B382" s="2944" t="s">
        <v>3169</v>
      </c>
      <c r="C382" s="2944">
        <v>1310</v>
      </c>
      <c r="D382" s="2944">
        <v>1280</v>
      </c>
      <c r="E382" s="2944">
        <v>1250</v>
      </c>
      <c r="F382" s="2944">
        <v>440</v>
      </c>
      <c r="G382" s="2957">
        <v>800</v>
      </c>
    </row>
    <row r="383" spans="1:7" s="2779" customFormat="1">
      <c r="A383" s="2962" t="s">
        <v>3164</v>
      </c>
      <c r="B383" s="2944" t="s">
        <v>3170</v>
      </c>
      <c r="C383" s="2944">
        <v>1260</v>
      </c>
      <c r="D383" s="2944">
        <v>1230</v>
      </c>
      <c r="E383" s="2944">
        <v>1200</v>
      </c>
      <c r="F383" s="2944">
        <v>420</v>
      </c>
      <c r="G383" s="2957">
        <v>770</v>
      </c>
    </row>
    <row r="384" spans="1:7" s="2779" customFormat="1" ht="12" thickBot="1">
      <c r="A384" s="2963" t="s">
        <v>3164</v>
      </c>
      <c r="B384" s="2951" t="s">
        <v>3171</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384"/>
  <sheetViews>
    <sheetView topLeftCell="A7" workbookViewId="0">
      <selection activeCell="A3" sqref="A3:G29"/>
    </sheetView>
  </sheetViews>
  <sheetFormatPr defaultColWidth="8.875" defaultRowHeight="13.5"/>
  <cols>
    <col min="1" max="1" width="12.625" style="2964" customWidth="1"/>
    <col min="2" max="2" width="20" style="2964" customWidth="1"/>
    <col min="3" max="7" width="8.875" style="2964"/>
    <col min="8" max="16384" width="8.875" style="2810"/>
  </cols>
  <sheetData>
    <row r="1" spans="1:7">
      <c r="A1" s="3515" t="s">
        <v>3172</v>
      </c>
      <c r="B1" s="3515"/>
    </row>
    <row r="2" spans="1:7" ht="14.25" thickBot="1">
      <c r="A2" s="2965"/>
      <c r="B2" s="2965"/>
    </row>
    <row r="3" spans="1:7" ht="14.25" thickBot="1">
      <c r="A3" s="2965"/>
      <c r="B3" s="2965"/>
      <c r="C3" s="2966" t="s">
        <v>2798</v>
      </c>
      <c r="D3" s="2966" t="s">
        <v>2858</v>
      </c>
      <c r="E3" s="2966" t="s">
        <v>2800</v>
      </c>
      <c r="F3" s="2966" t="s">
        <v>2859</v>
      </c>
      <c r="G3" s="2966" t="s">
        <v>2618</v>
      </c>
    </row>
    <row r="4" spans="1:7" ht="14.25" thickBot="1">
      <c r="A4" s="2967" t="s">
        <v>2857</v>
      </c>
      <c r="B4" s="2968" t="s">
        <v>2863</v>
      </c>
      <c r="C4" s="2966"/>
      <c r="D4" s="2966"/>
      <c r="E4" s="2966"/>
      <c r="F4" s="2966"/>
      <c r="G4" s="2966"/>
    </row>
    <row r="5" spans="1:7">
      <c r="A5" s="2969" t="s">
        <v>2831</v>
      </c>
      <c r="B5" s="2970" t="s">
        <v>2845</v>
      </c>
      <c r="C5" s="2971">
        <v>9.8000000000000004E-2</v>
      </c>
      <c r="D5" s="2971">
        <v>8.6999999999999994E-2</v>
      </c>
      <c r="E5" s="2971">
        <v>8.6999999999999994E-2</v>
      </c>
      <c r="F5" s="2971">
        <v>9.8000000000000004E-2</v>
      </c>
      <c r="G5" s="2972">
        <v>9.5000000000000001E-2</v>
      </c>
    </row>
    <row r="6" spans="1:7">
      <c r="A6" s="2973" t="s">
        <v>144</v>
      </c>
      <c r="B6" s="2974" t="s">
        <v>2860</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4.25" thickBot="1">
      <c r="A9" s="2977" t="s">
        <v>144</v>
      </c>
      <c r="B9" s="2978" t="s">
        <v>154</v>
      </c>
      <c r="C9" s="2979">
        <v>0.1</v>
      </c>
      <c r="D9" s="2979">
        <v>0.1</v>
      </c>
      <c r="E9" s="2979">
        <v>0.1</v>
      </c>
      <c r="F9" s="2980"/>
      <c r="G9" s="2981">
        <v>0.1</v>
      </c>
    </row>
    <row r="10" spans="1:7">
      <c r="A10" s="2969" t="s">
        <v>184</v>
      </c>
      <c r="B10" s="2970" t="s">
        <v>2846</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2896</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4.25" thickBot="1">
      <c r="A29" s="2977" t="s">
        <v>184</v>
      </c>
      <c r="B29" s="2978" t="s">
        <v>2914</v>
      </c>
      <c r="C29" s="2983"/>
      <c r="D29" s="2979">
        <v>5.1999999999999998E-2</v>
      </c>
      <c r="E29" s="2979">
        <v>7.0000000000000007E-2</v>
      </c>
      <c r="F29" s="2983"/>
      <c r="G29" s="2981">
        <v>7.0999999999999994E-2</v>
      </c>
    </row>
    <row r="30" spans="1:7">
      <c r="A30" s="2984" t="s">
        <v>296</v>
      </c>
      <c r="B30" s="2970" t="s">
        <v>2847</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2833</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2917</v>
      </c>
      <c r="C50" s="2975">
        <v>9.8000000000000004E-2</v>
      </c>
      <c r="D50" s="2975">
        <v>7.2999999999999995E-2</v>
      </c>
      <c r="E50" s="2975">
        <v>7.0999999999999994E-2</v>
      </c>
      <c r="F50" s="2986"/>
      <c r="G50" s="2976">
        <v>7.2999999999999995E-2</v>
      </c>
    </row>
    <row r="51" spans="1:7">
      <c r="A51" s="2985" t="s">
        <v>296</v>
      </c>
      <c r="B51" s="2974" t="s">
        <v>2919</v>
      </c>
      <c r="C51" s="2975">
        <v>9.9000000000000005E-2</v>
      </c>
      <c r="D51" s="2975">
        <v>8.5000000000000006E-2</v>
      </c>
      <c r="E51" s="2975">
        <v>6.3E-2</v>
      </c>
      <c r="F51" s="2986"/>
      <c r="G51" s="2976">
        <v>9.6000000000000002E-2</v>
      </c>
    </row>
    <row r="52" spans="1:7">
      <c r="A52" s="2985" t="s">
        <v>296</v>
      </c>
      <c r="B52" s="2974" t="s">
        <v>2923</v>
      </c>
      <c r="C52" s="2975">
        <v>7.3999999999999996E-2</v>
      </c>
      <c r="D52" s="2975">
        <v>9.6000000000000002E-2</v>
      </c>
      <c r="E52" s="2975">
        <v>0.05</v>
      </c>
      <c r="F52" s="2986"/>
      <c r="G52" s="2976">
        <v>9.8000000000000004E-2</v>
      </c>
    </row>
    <row r="53" spans="1:7">
      <c r="A53" s="2985" t="s">
        <v>296</v>
      </c>
      <c r="B53" s="2974" t="s">
        <v>2928</v>
      </c>
      <c r="C53" s="2975">
        <v>8.5999999999999993E-2</v>
      </c>
      <c r="D53" s="2986"/>
      <c r="E53" s="2975">
        <v>9.1999999999999998E-2</v>
      </c>
      <c r="F53" s="2986"/>
      <c r="G53" s="2987"/>
    </row>
    <row r="54" spans="1:7" ht="14.25" thickBot="1">
      <c r="A54" s="2988" t="s">
        <v>296</v>
      </c>
      <c r="B54" s="2978" t="s">
        <v>2931</v>
      </c>
      <c r="C54" s="2979">
        <v>9.6000000000000002E-2</v>
      </c>
      <c r="D54" s="2980"/>
      <c r="E54" s="2989"/>
      <c r="F54" s="2980"/>
      <c r="G54" s="2990"/>
    </row>
    <row r="55" spans="1:7">
      <c r="A55" s="2984" t="s">
        <v>110</v>
      </c>
      <c r="B55" s="2970" t="s">
        <v>2848</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2929</v>
      </c>
      <c r="C78" s="2975">
        <v>0.1</v>
      </c>
      <c r="D78" s="2975">
        <v>8.5000000000000006E-2</v>
      </c>
      <c r="E78" s="2975">
        <v>9.6000000000000002E-2</v>
      </c>
      <c r="F78" s="2986"/>
      <c r="G78" s="2976">
        <v>9.6000000000000002E-2</v>
      </c>
    </row>
    <row r="79" spans="1:7">
      <c r="A79" s="2985" t="s">
        <v>110</v>
      </c>
      <c r="B79" s="2974" t="s">
        <v>2932</v>
      </c>
      <c r="C79" s="2975">
        <v>0.05</v>
      </c>
      <c r="D79" s="2975">
        <v>9.6000000000000002E-2</v>
      </c>
      <c r="E79" s="2975">
        <v>9.5000000000000001E-2</v>
      </c>
      <c r="F79" s="2986"/>
      <c r="G79" s="2976">
        <v>9.8000000000000004E-2</v>
      </c>
    </row>
    <row r="80" spans="1:7">
      <c r="A80" s="2985" t="s">
        <v>110</v>
      </c>
      <c r="B80" s="2974" t="s">
        <v>2936</v>
      </c>
      <c r="C80" s="2975">
        <v>8.5999999999999993E-2</v>
      </c>
      <c r="D80" s="2991"/>
      <c r="E80" s="2975">
        <v>0.1</v>
      </c>
      <c r="F80" s="2986"/>
      <c r="G80" s="2987"/>
    </row>
    <row r="81" spans="1:7">
      <c r="A81" s="2985" t="s">
        <v>110</v>
      </c>
      <c r="B81" s="2974" t="s">
        <v>2941</v>
      </c>
      <c r="C81" s="2975">
        <v>9.6000000000000002E-2</v>
      </c>
      <c r="D81" s="2986"/>
      <c r="E81" s="2975">
        <v>9.8000000000000004E-2</v>
      </c>
      <c r="F81" s="2986"/>
      <c r="G81" s="2987"/>
    </row>
    <row r="82" spans="1:7">
      <c r="A82" s="2985" t="s">
        <v>110</v>
      </c>
      <c r="B82" s="2974" t="s">
        <v>2948</v>
      </c>
      <c r="C82" s="2991"/>
      <c r="D82" s="2986"/>
      <c r="E82" s="2975">
        <v>7.6999999999999999E-2</v>
      </c>
      <c r="F82" s="2986"/>
      <c r="G82" s="2987"/>
    </row>
    <row r="83" spans="1:7">
      <c r="A83" s="2985" t="s">
        <v>110</v>
      </c>
      <c r="B83" s="2974" t="s">
        <v>2954</v>
      </c>
      <c r="C83" s="2986"/>
      <c r="D83" s="2986"/>
      <c r="E83" s="2986"/>
      <c r="F83" s="2975">
        <v>0.1</v>
      </c>
      <c r="G83" s="2992"/>
    </row>
    <row r="84" spans="1:7">
      <c r="A84" s="2985" t="s">
        <v>110</v>
      </c>
      <c r="B84" s="2974" t="s">
        <v>2961</v>
      </c>
      <c r="C84" s="2986"/>
      <c r="D84" s="2986"/>
      <c r="E84" s="2986"/>
      <c r="F84" s="2975">
        <v>0.1</v>
      </c>
      <c r="G84" s="2992"/>
    </row>
    <row r="85" spans="1:7">
      <c r="A85" s="2985" t="s">
        <v>110</v>
      </c>
      <c r="B85" s="2974" t="s">
        <v>2968</v>
      </c>
      <c r="C85" s="2986"/>
      <c r="D85" s="2986"/>
      <c r="E85" s="2986"/>
      <c r="F85" s="2975">
        <v>0.1</v>
      </c>
      <c r="G85" s="2992"/>
    </row>
    <row r="86" spans="1:7" ht="14.25" thickBot="1">
      <c r="A86" s="2988" t="s">
        <v>110</v>
      </c>
      <c r="B86" s="2978" t="s">
        <v>2973</v>
      </c>
      <c r="C86" s="2979">
        <v>9.8000000000000004E-2</v>
      </c>
      <c r="D86" s="2979">
        <v>9.8000000000000004E-2</v>
      </c>
      <c r="E86" s="2979">
        <v>9.6000000000000002E-2</v>
      </c>
      <c r="F86" s="2989"/>
      <c r="G86" s="2981">
        <v>0.1</v>
      </c>
    </row>
    <row r="87" spans="1:7">
      <c r="A87" s="2984" t="s">
        <v>303</v>
      </c>
      <c r="B87" s="2970" t="s">
        <v>2849</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2942</v>
      </c>
      <c r="C113" s="2975">
        <v>0.1</v>
      </c>
      <c r="D113" s="2975">
        <v>0.1</v>
      </c>
      <c r="E113" s="2986"/>
      <c r="F113" s="2986"/>
      <c r="G113" s="2976">
        <v>0.1</v>
      </c>
    </row>
    <row r="114" spans="1:7">
      <c r="A114" s="2985" t="s">
        <v>303</v>
      </c>
      <c r="B114" s="2974" t="s">
        <v>2949</v>
      </c>
      <c r="C114" s="2975">
        <v>9.7000000000000003E-2</v>
      </c>
      <c r="D114" s="2975">
        <v>9.7000000000000003E-2</v>
      </c>
      <c r="E114" s="2986"/>
      <c r="F114" s="2986"/>
      <c r="G114" s="2976">
        <v>9.9000000000000005E-2</v>
      </c>
    </row>
    <row r="115" spans="1:7">
      <c r="A115" s="2985" t="s">
        <v>303</v>
      </c>
      <c r="B115" s="2974" t="s">
        <v>2955</v>
      </c>
      <c r="C115" s="2975">
        <v>0.1</v>
      </c>
      <c r="D115" s="2975">
        <v>0.1</v>
      </c>
      <c r="E115" s="2986"/>
      <c r="F115" s="2986"/>
      <c r="G115" s="2976">
        <v>0.1</v>
      </c>
    </row>
    <row r="116" spans="1:7">
      <c r="A116" s="2985" t="s">
        <v>303</v>
      </c>
      <c r="B116" s="2974" t="s">
        <v>2962</v>
      </c>
      <c r="C116" s="2975">
        <v>0.1</v>
      </c>
      <c r="D116" s="2975">
        <v>0.1</v>
      </c>
      <c r="E116" s="2986"/>
      <c r="F116" s="2986"/>
      <c r="G116" s="2976">
        <v>0.1</v>
      </c>
    </row>
    <row r="117" spans="1:7">
      <c r="A117" s="2985" t="s">
        <v>303</v>
      </c>
      <c r="B117" s="2974" t="s">
        <v>2969</v>
      </c>
      <c r="C117" s="2975">
        <v>9.7000000000000003E-2</v>
      </c>
      <c r="D117" s="2975">
        <v>9.7000000000000003E-2</v>
      </c>
      <c r="E117" s="2986"/>
      <c r="F117" s="2986"/>
      <c r="G117" s="2976">
        <v>9.7000000000000003E-2</v>
      </c>
    </row>
    <row r="118" spans="1:7">
      <c r="A118" s="2985" t="s">
        <v>303</v>
      </c>
      <c r="B118" s="2974" t="s">
        <v>2974</v>
      </c>
      <c r="C118" s="2975">
        <v>0.1</v>
      </c>
      <c r="D118" s="2975">
        <v>0.1</v>
      </c>
      <c r="E118" s="2986"/>
      <c r="F118" s="2986"/>
      <c r="G118" s="2976">
        <v>0.1</v>
      </c>
    </row>
    <row r="119" spans="1:7">
      <c r="A119" s="2985" t="s">
        <v>303</v>
      </c>
      <c r="B119" s="2974" t="s">
        <v>2978</v>
      </c>
      <c r="C119" s="2975">
        <v>5.0999999999999997E-2</v>
      </c>
      <c r="D119" s="2975">
        <v>5.1999999999999998E-2</v>
      </c>
      <c r="E119" s="2986"/>
      <c r="F119" s="2991"/>
      <c r="G119" s="2976">
        <v>0.06</v>
      </c>
    </row>
    <row r="120" spans="1:7">
      <c r="A120" s="2985" t="s">
        <v>303</v>
      </c>
      <c r="B120" s="2974" t="s">
        <v>2982</v>
      </c>
      <c r="C120" s="2986"/>
      <c r="D120" s="2986"/>
      <c r="E120" s="2986"/>
      <c r="F120" s="2975">
        <v>0.1</v>
      </c>
      <c r="G120" s="2992"/>
    </row>
    <row r="121" spans="1:7">
      <c r="A121" s="2985" t="s">
        <v>303</v>
      </c>
      <c r="B121" s="2974" t="s">
        <v>2987</v>
      </c>
      <c r="C121" s="2986"/>
      <c r="D121" s="2986"/>
      <c r="E121" s="2986"/>
      <c r="F121" s="2975">
        <v>0.1</v>
      </c>
      <c r="G121" s="2992"/>
    </row>
    <row r="122" spans="1:7">
      <c r="A122" s="2985" t="s">
        <v>303</v>
      </c>
      <c r="B122" s="2974" t="s">
        <v>2992</v>
      </c>
      <c r="C122" s="2975">
        <v>0.1</v>
      </c>
      <c r="D122" s="2975">
        <v>0.1</v>
      </c>
      <c r="E122" s="2975">
        <v>9.8000000000000004E-2</v>
      </c>
      <c r="F122" s="2975">
        <v>0.1</v>
      </c>
      <c r="G122" s="2976">
        <v>0.1</v>
      </c>
    </row>
    <row r="123" spans="1:7">
      <c r="A123" s="2985" t="s">
        <v>303</v>
      </c>
      <c r="B123" s="2974" t="s">
        <v>2997</v>
      </c>
      <c r="C123" s="2975">
        <v>0.1</v>
      </c>
      <c r="D123" s="2975">
        <v>0.1</v>
      </c>
      <c r="E123" s="2975">
        <v>9.8000000000000004E-2</v>
      </c>
      <c r="F123" s="2975">
        <v>0.1</v>
      </c>
      <c r="G123" s="2976">
        <v>0.1</v>
      </c>
    </row>
    <row r="124" spans="1:7">
      <c r="A124" s="2985" t="s">
        <v>303</v>
      </c>
      <c r="B124" s="2974" t="s">
        <v>3002</v>
      </c>
      <c r="C124" s="2975">
        <v>0.1</v>
      </c>
      <c r="D124" s="2975">
        <v>0.1</v>
      </c>
      <c r="E124" s="2975">
        <v>9.8000000000000004E-2</v>
      </c>
      <c r="F124" s="2991"/>
      <c r="G124" s="2976">
        <v>0.1</v>
      </c>
    </row>
    <row r="125" spans="1:7">
      <c r="A125" s="2985" t="s">
        <v>303</v>
      </c>
      <c r="B125" s="2974" t="s">
        <v>3007</v>
      </c>
      <c r="C125" s="2975">
        <v>9.8000000000000004E-2</v>
      </c>
      <c r="D125" s="2975">
        <v>9.8000000000000004E-2</v>
      </c>
      <c r="E125" s="2975">
        <v>9.6000000000000002E-2</v>
      </c>
      <c r="F125" s="2991"/>
      <c r="G125" s="2976">
        <v>0.1</v>
      </c>
    </row>
    <row r="126" spans="1:7" ht="14.25" thickBot="1">
      <c r="A126" s="2988" t="s">
        <v>303</v>
      </c>
      <c r="B126" s="2978" t="s">
        <v>3173</v>
      </c>
      <c r="C126" s="2979">
        <v>0.1</v>
      </c>
      <c r="D126" s="2979">
        <v>0.1</v>
      </c>
      <c r="E126" s="2979">
        <v>9.8000000000000004E-2</v>
      </c>
      <c r="F126" s="2979">
        <v>0.1</v>
      </c>
      <c r="G126" s="2981">
        <v>0.1</v>
      </c>
    </row>
    <row r="127" spans="1:7">
      <c r="A127" s="2984" t="s">
        <v>29</v>
      </c>
      <c r="B127" s="2970" t="s">
        <v>2850</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2920</v>
      </c>
      <c r="C148" s="2975">
        <v>0.13</v>
      </c>
      <c r="D148" s="2975">
        <v>0.13</v>
      </c>
      <c r="E148" s="2975">
        <v>0.13</v>
      </c>
      <c r="F148" s="2986"/>
      <c r="G148" s="2976">
        <v>0.13</v>
      </c>
    </row>
    <row r="149" spans="1:7">
      <c r="A149" s="2985" t="s">
        <v>29</v>
      </c>
      <c r="B149" s="2974" t="s">
        <v>2924</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2943</v>
      </c>
      <c r="C153" s="2975">
        <v>0.13</v>
      </c>
      <c r="D153" s="2975">
        <v>0.13</v>
      </c>
      <c r="E153" s="2975">
        <v>0.13</v>
      </c>
      <c r="F153" s="2975">
        <v>0.13</v>
      </c>
      <c r="G153" s="2976">
        <v>0.13</v>
      </c>
    </row>
    <row r="154" spans="1:7">
      <c r="A154" s="2985" t="s">
        <v>29</v>
      </c>
      <c r="B154" s="2974" t="s">
        <v>2950</v>
      </c>
      <c r="C154" s="2975">
        <v>0.121</v>
      </c>
      <c r="D154" s="2975">
        <v>0.121</v>
      </c>
      <c r="E154" s="2975">
        <v>0.105</v>
      </c>
      <c r="F154" s="2975">
        <v>0.121</v>
      </c>
      <c r="G154" s="2976">
        <v>0.123</v>
      </c>
    </row>
    <row r="155" spans="1:7">
      <c r="A155" s="2985" t="s">
        <v>29</v>
      </c>
      <c r="B155" s="2974" t="s">
        <v>2956</v>
      </c>
      <c r="C155" s="2975">
        <v>0.1</v>
      </c>
      <c r="D155" s="2975">
        <v>0.1</v>
      </c>
      <c r="E155" s="2975">
        <v>0.1</v>
      </c>
      <c r="F155" s="2975">
        <v>0.1</v>
      </c>
      <c r="G155" s="2976">
        <v>0.1</v>
      </c>
    </row>
    <row r="156" spans="1:7">
      <c r="A156" s="2985" t="s">
        <v>29</v>
      </c>
      <c r="B156" s="2974" t="s">
        <v>2963</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2983</v>
      </c>
      <c r="C160" s="2975">
        <v>0.13</v>
      </c>
      <c r="D160" s="2975">
        <v>0.13</v>
      </c>
      <c r="E160" s="2975">
        <v>0.124</v>
      </c>
      <c r="F160" s="2975">
        <v>0.126</v>
      </c>
      <c r="G160" s="2976">
        <v>0.13</v>
      </c>
    </row>
    <row r="161" spans="1:7">
      <c r="A161" s="2985" t="s">
        <v>29</v>
      </c>
      <c r="B161" s="2974" t="s">
        <v>2988</v>
      </c>
      <c r="C161" s="2975">
        <v>0.13</v>
      </c>
      <c r="D161" s="2975">
        <v>0.13</v>
      </c>
      <c r="E161" s="2975">
        <v>0.124</v>
      </c>
      <c r="F161" s="2975">
        <v>0.127</v>
      </c>
      <c r="G161" s="2976">
        <v>0.13</v>
      </c>
    </row>
    <row r="162" spans="1:7">
      <c r="A162" s="2985" t="s">
        <v>29</v>
      </c>
      <c r="B162" s="2974" t="s">
        <v>2993</v>
      </c>
      <c r="C162" s="2975">
        <v>0.1</v>
      </c>
      <c r="D162" s="2975">
        <v>0.1</v>
      </c>
      <c r="E162" s="2975">
        <v>0.1</v>
      </c>
      <c r="F162" s="2975">
        <v>0.121</v>
      </c>
      <c r="G162" s="2976">
        <v>0.105</v>
      </c>
    </row>
    <row r="163" spans="1:7">
      <c r="A163" s="2985" t="s">
        <v>29</v>
      </c>
      <c r="B163" s="2974" t="s">
        <v>2998</v>
      </c>
      <c r="C163" s="2975">
        <v>0.1</v>
      </c>
      <c r="D163" s="2975">
        <v>0.1</v>
      </c>
      <c r="E163" s="2975">
        <v>0.1</v>
      </c>
      <c r="F163" s="2975">
        <v>0.1</v>
      </c>
      <c r="G163" s="2976">
        <v>0.1</v>
      </c>
    </row>
    <row r="164" spans="1:7">
      <c r="A164" s="2985" t="s">
        <v>29</v>
      </c>
      <c r="B164" s="2974" t="s">
        <v>3003</v>
      </c>
      <c r="C164" s="2991"/>
      <c r="D164" s="2991"/>
      <c r="E164" s="2991"/>
      <c r="F164" s="2975">
        <v>0.1</v>
      </c>
      <c r="G164" s="2987"/>
    </row>
    <row r="165" spans="1:7">
      <c r="A165" s="2985" t="s">
        <v>29</v>
      </c>
      <c r="B165" s="2974" t="s">
        <v>3174</v>
      </c>
      <c r="C165" s="2975">
        <v>0.126</v>
      </c>
      <c r="D165" s="2975">
        <v>0.126</v>
      </c>
      <c r="E165" s="2975">
        <v>0.11899999999999999</v>
      </c>
      <c r="F165" s="2975">
        <v>0.13</v>
      </c>
      <c r="G165" s="2976">
        <v>0.128</v>
      </c>
    </row>
    <row r="166" spans="1:7">
      <c r="A166" s="2985" t="s">
        <v>29</v>
      </c>
      <c r="B166" s="2974" t="s">
        <v>3013</v>
      </c>
      <c r="C166" s="2975">
        <v>0.129</v>
      </c>
      <c r="D166" s="2975">
        <v>0.129</v>
      </c>
      <c r="E166" s="2975">
        <v>0.123</v>
      </c>
      <c r="F166" s="2975">
        <v>0.128</v>
      </c>
      <c r="G166" s="2976">
        <v>0.13</v>
      </c>
    </row>
    <row r="167" spans="1:7">
      <c r="A167" s="2985" t="s">
        <v>29</v>
      </c>
      <c r="B167" s="2974" t="s">
        <v>3017</v>
      </c>
      <c r="C167" s="2975">
        <v>0.125</v>
      </c>
      <c r="D167" s="2975">
        <v>0.125</v>
      </c>
      <c r="E167" s="2975">
        <v>0.11700000000000001</v>
      </c>
      <c r="F167" s="2975">
        <v>0.13</v>
      </c>
      <c r="G167" s="2976">
        <v>0.126</v>
      </c>
    </row>
    <row r="168" spans="1:7">
      <c r="A168" s="2985" t="s">
        <v>29</v>
      </c>
      <c r="B168" s="2974" t="s">
        <v>3022</v>
      </c>
      <c r="C168" s="2975">
        <v>0.128</v>
      </c>
      <c r="D168" s="2975">
        <v>0.128</v>
      </c>
      <c r="E168" s="2975">
        <v>0.123</v>
      </c>
      <c r="F168" s="2986"/>
      <c r="G168" s="2976">
        <v>0.13</v>
      </c>
    </row>
    <row r="169" spans="1:7">
      <c r="A169" s="2985" t="s">
        <v>29</v>
      </c>
      <c r="B169" s="2974" t="s">
        <v>3175</v>
      </c>
      <c r="C169" s="2991"/>
      <c r="D169" s="2991"/>
      <c r="E169" s="2991"/>
      <c r="F169" s="2975">
        <v>0.05</v>
      </c>
      <c r="G169" s="2987"/>
    </row>
    <row r="170" spans="1:7">
      <c r="A170" s="2985" t="s">
        <v>29</v>
      </c>
      <c r="B170" s="2974" t="s">
        <v>3176</v>
      </c>
      <c r="C170" s="2991"/>
      <c r="D170" s="2991"/>
      <c r="E170" s="2991"/>
      <c r="F170" s="2975">
        <v>0.05</v>
      </c>
      <c r="G170" s="2987"/>
    </row>
    <row r="171" spans="1:7">
      <c r="A171" s="2985" t="s">
        <v>29</v>
      </c>
      <c r="B171" s="2974" t="s">
        <v>3177</v>
      </c>
      <c r="C171" s="2991"/>
      <c r="D171" s="2991"/>
      <c r="E171" s="2991"/>
      <c r="F171" s="2975">
        <v>0.05</v>
      </c>
      <c r="G171" s="2992"/>
    </row>
    <row r="172" spans="1:7">
      <c r="A172" s="2985" t="s">
        <v>29</v>
      </c>
      <c r="B172" s="2974" t="s">
        <v>3178</v>
      </c>
      <c r="C172" s="2991"/>
      <c r="D172" s="2991"/>
      <c r="E172" s="2991"/>
      <c r="F172" s="2975">
        <v>0.05</v>
      </c>
      <c r="G172" s="2992"/>
    </row>
    <row r="173" spans="1:7">
      <c r="A173" s="2985" t="s">
        <v>29</v>
      </c>
      <c r="B173" s="2974" t="s">
        <v>3179</v>
      </c>
      <c r="C173" s="2991"/>
      <c r="D173" s="2991"/>
      <c r="E173" s="2991"/>
      <c r="F173" s="2975">
        <v>0.05</v>
      </c>
      <c r="G173" s="2987"/>
    </row>
    <row r="174" spans="1:7">
      <c r="A174" s="2985" t="s">
        <v>29</v>
      </c>
      <c r="B174" s="2974" t="s">
        <v>3180</v>
      </c>
      <c r="C174" s="2991"/>
      <c r="D174" s="2991"/>
      <c r="E174" s="2991"/>
      <c r="F174" s="2975">
        <v>0.05</v>
      </c>
      <c r="G174" s="2987"/>
    </row>
    <row r="175" spans="1:7">
      <c r="A175" s="2985" t="s">
        <v>29</v>
      </c>
      <c r="B175" s="2974" t="s">
        <v>3181</v>
      </c>
      <c r="C175" s="2991"/>
      <c r="D175" s="2991"/>
      <c r="E175" s="2991"/>
      <c r="F175" s="2975">
        <v>0.05</v>
      </c>
      <c r="G175" s="2987"/>
    </row>
    <row r="176" spans="1:7">
      <c r="A176" s="2985" t="s">
        <v>29</v>
      </c>
      <c r="B176" s="2974" t="s">
        <v>3182</v>
      </c>
      <c r="C176" s="2991"/>
      <c r="D176" s="2991"/>
      <c r="E176" s="2991"/>
      <c r="F176" s="2975">
        <v>0.05</v>
      </c>
      <c r="G176" s="2987"/>
    </row>
    <row r="177" spans="1:7">
      <c r="A177" s="2985" t="s">
        <v>29</v>
      </c>
      <c r="B177" s="2974" t="s">
        <v>3183</v>
      </c>
      <c r="C177" s="2986"/>
      <c r="D177" s="2986"/>
      <c r="E177" s="2986"/>
      <c r="F177" s="2975">
        <v>0.05</v>
      </c>
      <c r="G177" s="2992"/>
    </row>
    <row r="178" spans="1:7">
      <c r="A178" s="2985" t="s">
        <v>29</v>
      </c>
      <c r="B178" s="2974" t="s">
        <v>3184</v>
      </c>
      <c r="C178" s="2986"/>
      <c r="D178" s="2986"/>
      <c r="E178" s="2986"/>
      <c r="F178" s="2975">
        <v>0.05</v>
      </c>
      <c r="G178" s="2992"/>
    </row>
    <row r="179" spans="1:7">
      <c r="A179" s="2985" t="s">
        <v>29</v>
      </c>
      <c r="B179" s="2974" t="s">
        <v>3185</v>
      </c>
      <c r="C179" s="2986"/>
      <c r="D179" s="2986"/>
      <c r="E179" s="2986"/>
      <c r="F179" s="2975">
        <v>0.05</v>
      </c>
      <c r="G179" s="2992"/>
    </row>
    <row r="180" spans="1:7">
      <c r="A180" s="2985" t="s">
        <v>29</v>
      </c>
      <c r="B180" s="2974" t="s">
        <v>3186</v>
      </c>
      <c r="C180" s="2986"/>
      <c r="D180" s="2986"/>
      <c r="E180" s="2986"/>
      <c r="F180" s="2975">
        <v>0.05</v>
      </c>
      <c r="G180" s="2992"/>
    </row>
    <row r="181" spans="1:7">
      <c r="A181" s="2985" t="s">
        <v>29</v>
      </c>
      <c r="B181" s="2974" t="s">
        <v>3187</v>
      </c>
      <c r="C181" s="2986"/>
      <c r="D181" s="2986"/>
      <c r="E181" s="2986"/>
      <c r="F181" s="2975">
        <v>0.05</v>
      </c>
      <c r="G181" s="2992"/>
    </row>
    <row r="182" spans="1:7">
      <c r="A182" s="2985" t="s">
        <v>29</v>
      </c>
      <c r="B182" s="2974" t="s">
        <v>3188</v>
      </c>
      <c r="C182" s="2986"/>
      <c r="D182" s="2986"/>
      <c r="E182" s="2986"/>
      <c r="F182" s="2975">
        <v>0.05</v>
      </c>
      <c r="G182" s="2992"/>
    </row>
    <row r="183" spans="1:7">
      <c r="A183" s="2985" t="s">
        <v>29</v>
      </c>
      <c r="B183" s="2974" t="s">
        <v>3189</v>
      </c>
      <c r="C183" s="2986"/>
      <c r="D183" s="2986"/>
      <c r="E183" s="2986"/>
      <c r="F183" s="2975">
        <v>0.05</v>
      </c>
      <c r="G183" s="2992"/>
    </row>
    <row r="184" spans="1:7">
      <c r="A184" s="2985" t="s">
        <v>29</v>
      </c>
      <c r="B184" s="2974" t="s">
        <v>3190</v>
      </c>
      <c r="C184" s="2986"/>
      <c r="D184" s="2986"/>
      <c r="E184" s="2986"/>
      <c r="F184" s="2975">
        <v>0.05</v>
      </c>
      <c r="G184" s="2992"/>
    </row>
    <row r="185" spans="1:7">
      <c r="A185" s="2985" t="s">
        <v>29</v>
      </c>
      <c r="B185" s="2974" t="s">
        <v>3191</v>
      </c>
      <c r="C185" s="2986"/>
      <c r="D185" s="2986"/>
      <c r="E185" s="2986"/>
      <c r="F185" s="2975">
        <v>0.05</v>
      </c>
      <c r="G185" s="2992"/>
    </row>
    <row r="186" spans="1:7">
      <c r="A186" s="2985" t="s">
        <v>29</v>
      </c>
      <c r="B186" s="2974" t="s">
        <v>3192</v>
      </c>
      <c r="C186" s="2986"/>
      <c r="D186" s="2986"/>
      <c r="E186" s="2986"/>
      <c r="F186" s="2975">
        <v>0.05</v>
      </c>
      <c r="G186" s="2992"/>
    </row>
    <row r="187" spans="1:7">
      <c r="A187" s="2985" t="s">
        <v>29</v>
      </c>
      <c r="B187" s="2974" t="s">
        <v>3193</v>
      </c>
      <c r="C187" s="2986"/>
      <c r="D187" s="2986"/>
      <c r="E187" s="2986"/>
      <c r="F187" s="2975">
        <v>0.05</v>
      </c>
      <c r="G187" s="2992"/>
    </row>
    <row r="188" spans="1:7">
      <c r="A188" s="2985" t="s">
        <v>29</v>
      </c>
      <c r="B188" s="2974" t="s">
        <v>3194</v>
      </c>
      <c r="C188" s="2986"/>
      <c r="D188" s="2986"/>
      <c r="E188" s="2986"/>
      <c r="F188" s="2975">
        <v>0.05</v>
      </c>
      <c r="G188" s="2992"/>
    </row>
    <row r="189" spans="1:7" ht="14.25" thickBot="1">
      <c r="A189" s="2988" t="s">
        <v>29</v>
      </c>
      <c r="B189" s="2978" t="s">
        <v>3195</v>
      </c>
      <c r="C189" s="2980"/>
      <c r="D189" s="2980"/>
      <c r="E189" s="2980"/>
      <c r="F189" s="2979">
        <v>0.05</v>
      </c>
      <c r="G189" s="2993"/>
    </row>
    <row r="190" spans="1:7">
      <c r="A190" s="2984" t="s">
        <v>304</v>
      </c>
      <c r="B190" s="2970" t="s">
        <v>2851</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2887</v>
      </c>
      <c r="C199" s="2975">
        <v>0.13</v>
      </c>
      <c r="D199" s="2975">
        <v>0.13</v>
      </c>
      <c r="E199" s="2975">
        <v>0.13</v>
      </c>
      <c r="F199" s="2975">
        <v>0.13</v>
      </c>
      <c r="G199" s="2976">
        <v>0.13</v>
      </c>
    </row>
    <row r="200" spans="1:7">
      <c r="A200" s="2985" t="s">
        <v>304</v>
      </c>
      <c r="B200" s="2974" t="s">
        <v>2890</v>
      </c>
      <c r="C200" s="2991"/>
      <c r="D200" s="2991"/>
      <c r="E200" s="2991"/>
      <c r="F200" s="2975">
        <v>0.13</v>
      </c>
      <c r="G200" s="2987"/>
    </row>
    <row r="201" spans="1:7">
      <c r="A201" s="2985" t="s">
        <v>304</v>
      </c>
      <c r="B201" s="2974" t="s">
        <v>2895</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2898</v>
      </c>
      <c r="C203" s="2975">
        <v>0.129</v>
      </c>
      <c r="D203" s="2975">
        <v>0.129</v>
      </c>
      <c r="E203" s="2975">
        <v>0.13</v>
      </c>
      <c r="F203" s="2975">
        <v>0.13</v>
      </c>
      <c r="G203" s="2976">
        <v>0.13</v>
      </c>
    </row>
    <row r="204" spans="1:7">
      <c r="A204" s="2985" t="s">
        <v>304</v>
      </c>
      <c r="B204" s="2974" t="s">
        <v>2901</v>
      </c>
      <c r="C204" s="2975">
        <v>0.129</v>
      </c>
      <c r="D204" s="2975">
        <v>0.129</v>
      </c>
      <c r="E204" s="2975">
        <v>0.123</v>
      </c>
      <c r="F204" s="2975">
        <v>0.13</v>
      </c>
      <c r="G204" s="2976">
        <v>0.13</v>
      </c>
    </row>
    <row r="205" spans="1:7">
      <c r="A205" s="2985" t="s">
        <v>304</v>
      </c>
      <c r="B205" s="2974" t="s">
        <v>2903</v>
      </c>
      <c r="C205" s="2975">
        <v>0.13</v>
      </c>
      <c r="D205" s="2975">
        <v>0.13</v>
      </c>
      <c r="E205" s="2975">
        <v>0.13</v>
      </c>
      <c r="F205" s="2975">
        <v>0.13</v>
      </c>
      <c r="G205" s="2976">
        <v>0.13</v>
      </c>
    </row>
    <row r="206" spans="1:7">
      <c r="A206" s="2985" t="s">
        <v>304</v>
      </c>
      <c r="B206" s="2974" t="s">
        <v>2906</v>
      </c>
      <c r="C206" s="2975">
        <v>0.13</v>
      </c>
      <c r="D206" s="2975">
        <v>0.13</v>
      </c>
      <c r="E206" s="2975">
        <v>0.13</v>
      </c>
      <c r="F206" s="2975">
        <v>0.128</v>
      </c>
      <c r="G206" s="2976">
        <v>0.13</v>
      </c>
    </row>
    <row r="207" spans="1:7">
      <c r="A207" s="2985" t="s">
        <v>304</v>
      </c>
      <c r="B207" s="2974" t="s">
        <v>2908</v>
      </c>
      <c r="C207" s="2975">
        <v>0.13</v>
      </c>
      <c r="D207" s="2975">
        <v>0.13</v>
      </c>
      <c r="E207" s="2975">
        <v>0.13</v>
      </c>
      <c r="F207" s="2975">
        <v>0.13</v>
      </c>
      <c r="G207" s="2976">
        <v>0.13</v>
      </c>
    </row>
    <row r="208" spans="1:7">
      <c r="A208" s="2985" t="s">
        <v>304</v>
      </c>
      <c r="B208" s="2974" t="s">
        <v>2911</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2918</v>
      </c>
      <c r="C210" s="2975">
        <v>0.121</v>
      </c>
      <c r="D210" s="2975">
        <v>0.121</v>
      </c>
      <c r="E210" s="2975">
        <v>0.125</v>
      </c>
      <c r="F210" s="2975">
        <v>0.13</v>
      </c>
      <c r="G210" s="2976">
        <v>0.123</v>
      </c>
    </row>
    <row r="211" spans="1:7">
      <c r="A211" s="2985" t="s">
        <v>304</v>
      </c>
      <c r="B211" s="2974" t="s">
        <v>2921</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2933</v>
      </c>
      <c r="C214" s="2975">
        <v>0.128</v>
      </c>
      <c r="D214" s="2975">
        <v>0.128</v>
      </c>
      <c r="E214" s="2975">
        <v>0.13</v>
      </c>
      <c r="F214" s="2975">
        <v>0.13</v>
      </c>
      <c r="G214" s="2976">
        <v>0.13</v>
      </c>
    </row>
    <row r="215" spans="1:7">
      <c r="A215" s="2985" t="s">
        <v>304</v>
      </c>
      <c r="B215" s="2974" t="s">
        <v>2937</v>
      </c>
      <c r="C215" s="2975">
        <v>0.13</v>
      </c>
      <c r="D215" s="2975">
        <v>0.13</v>
      </c>
      <c r="E215" s="2975">
        <v>0.13</v>
      </c>
      <c r="F215" s="2975">
        <v>0.129</v>
      </c>
      <c r="G215" s="2976">
        <v>0.13</v>
      </c>
    </row>
    <row r="216" spans="1:7">
      <c r="A216" s="2985" t="s">
        <v>304</v>
      </c>
      <c r="B216" s="2974" t="s">
        <v>2944</v>
      </c>
      <c r="C216" s="2975">
        <v>0.13</v>
      </c>
      <c r="D216" s="2975">
        <v>0.13</v>
      </c>
      <c r="E216" s="2975">
        <v>0.13</v>
      </c>
      <c r="F216" s="2975">
        <v>0.13</v>
      </c>
      <c r="G216" s="2976">
        <v>0.13</v>
      </c>
    </row>
    <row r="217" spans="1:7">
      <c r="A217" s="2985" t="s">
        <v>304</v>
      </c>
      <c r="B217" s="2974" t="s">
        <v>2951</v>
      </c>
      <c r="C217" s="2975">
        <v>0.129</v>
      </c>
      <c r="D217" s="2975">
        <v>0.129</v>
      </c>
      <c r="E217" s="2975">
        <v>0.13</v>
      </c>
      <c r="F217" s="2975">
        <v>0.13</v>
      </c>
      <c r="G217" s="2976">
        <v>0.13</v>
      </c>
    </row>
    <row r="218" spans="1:7">
      <c r="A218" s="2985" t="s">
        <v>304</v>
      </c>
      <c r="B218" s="2974" t="s">
        <v>2957</v>
      </c>
      <c r="C218" s="2986"/>
      <c r="D218" s="2986"/>
      <c r="E218" s="2986"/>
      <c r="F218" s="2975">
        <v>0.05</v>
      </c>
      <c r="G218" s="2992"/>
    </row>
    <row r="219" spans="1:7">
      <c r="A219" s="2985" t="s">
        <v>304</v>
      </c>
      <c r="B219" s="2974" t="s">
        <v>2964</v>
      </c>
      <c r="C219" s="2986"/>
      <c r="D219" s="2986"/>
      <c r="E219" s="2986"/>
      <c r="F219" s="2975">
        <v>0.05</v>
      </c>
      <c r="G219" s="2992"/>
    </row>
    <row r="220" spans="1:7">
      <c r="A220" s="2985" t="s">
        <v>304</v>
      </c>
      <c r="B220" s="2974" t="s">
        <v>2970</v>
      </c>
      <c r="C220" s="2986"/>
      <c r="D220" s="2986"/>
      <c r="E220" s="2986"/>
      <c r="F220" s="2975">
        <v>0.05</v>
      </c>
      <c r="G220" s="2992"/>
    </row>
    <row r="221" spans="1:7">
      <c r="A221" s="2985" t="s">
        <v>304</v>
      </c>
      <c r="B221" s="2974" t="s">
        <v>2975</v>
      </c>
      <c r="C221" s="2986"/>
      <c r="D221" s="2986"/>
      <c r="E221" s="2986"/>
      <c r="F221" s="2975">
        <v>0.05</v>
      </c>
      <c r="G221" s="2992"/>
    </row>
    <row r="222" spans="1:7">
      <c r="A222" s="2985" t="s">
        <v>304</v>
      </c>
      <c r="B222" s="2974" t="s">
        <v>2979</v>
      </c>
      <c r="C222" s="2986"/>
      <c r="D222" s="2986"/>
      <c r="E222" s="2986"/>
      <c r="F222" s="2975">
        <v>0.05</v>
      </c>
      <c r="G222" s="2992"/>
    </row>
    <row r="223" spans="1:7">
      <c r="A223" s="2985" t="s">
        <v>304</v>
      </c>
      <c r="B223" s="2974" t="s">
        <v>2984</v>
      </c>
      <c r="C223" s="2986"/>
      <c r="D223" s="2986"/>
      <c r="E223" s="2986"/>
      <c r="F223" s="2975">
        <v>0.05</v>
      </c>
      <c r="G223" s="2992"/>
    </row>
    <row r="224" spans="1:7">
      <c r="A224" s="2985" t="s">
        <v>304</v>
      </c>
      <c r="B224" s="2974" t="s">
        <v>2989</v>
      </c>
      <c r="C224" s="2986"/>
      <c r="D224" s="2986"/>
      <c r="E224" s="2986"/>
      <c r="F224" s="2975">
        <v>0.05</v>
      </c>
      <c r="G224" s="2992"/>
    </row>
    <row r="225" spans="1:7">
      <c r="A225" s="2985" t="s">
        <v>304</v>
      </c>
      <c r="B225" s="2974" t="s">
        <v>2994</v>
      </c>
      <c r="C225" s="2986"/>
      <c r="D225" s="2986"/>
      <c r="E225" s="2986"/>
      <c r="F225" s="2975">
        <v>0.05</v>
      </c>
      <c r="G225" s="2992"/>
    </row>
    <row r="226" spans="1:7">
      <c r="A226" s="2985" t="s">
        <v>304</v>
      </c>
      <c r="B226" s="2974" t="s">
        <v>3196</v>
      </c>
      <c r="C226" s="2986"/>
      <c r="D226" s="2986"/>
      <c r="E226" s="2986"/>
      <c r="F226" s="2975">
        <v>0.05</v>
      </c>
      <c r="G226" s="2992"/>
    </row>
    <row r="227" spans="1:7">
      <c r="A227" s="2985" t="s">
        <v>304</v>
      </c>
      <c r="B227" s="2974" t="s">
        <v>3197</v>
      </c>
      <c r="C227" s="2986"/>
      <c r="D227" s="2986"/>
      <c r="E227" s="2986"/>
      <c r="F227" s="2975">
        <v>0.05</v>
      </c>
      <c r="G227" s="2992"/>
    </row>
    <row r="228" spans="1:7">
      <c r="A228" s="2985" t="s">
        <v>304</v>
      </c>
      <c r="B228" s="2974" t="s">
        <v>3198</v>
      </c>
      <c r="C228" s="2986"/>
      <c r="D228" s="2986"/>
      <c r="E228" s="2986"/>
      <c r="F228" s="2975">
        <v>0.05</v>
      </c>
      <c r="G228" s="2992"/>
    </row>
    <row r="229" spans="1:7">
      <c r="A229" s="2985" t="s">
        <v>304</v>
      </c>
      <c r="B229" s="2974" t="s">
        <v>3199</v>
      </c>
      <c r="C229" s="2986"/>
      <c r="D229" s="2986"/>
      <c r="E229" s="2986"/>
      <c r="F229" s="2975">
        <v>0.05</v>
      </c>
      <c r="G229" s="2992"/>
    </row>
    <row r="230" spans="1:7">
      <c r="A230" s="2985" t="s">
        <v>304</v>
      </c>
      <c r="B230" s="2974" t="s">
        <v>3200</v>
      </c>
      <c r="C230" s="2986"/>
      <c r="D230" s="2986"/>
      <c r="E230" s="2986"/>
      <c r="F230" s="2975">
        <v>0.05</v>
      </c>
      <c r="G230" s="2992"/>
    </row>
    <row r="231" spans="1:7">
      <c r="A231" s="2985" t="s">
        <v>304</v>
      </c>
      <c r="B231" s="2974" t="s">
        <v>3201</v>
      </c>
      <c r="C231" s="2986"/>
      <c r="D231" s="2986"/>
      <c r="E231" s="2986"/>
      <c r="F231" s="2975">
        <v>0.05</v>
      </c>
      <c r="G231" s="2992"/>
    </row>
    <row r="232" spans="1:7">
      <c r="A232" s="2985" t="s">
        <v>304</v>
      </c>
      <c r="B232" s="2974" t="s">
        <v>3202</v>
      </c>
      <c r="C232" s="2986"/>
      <c r="D232" s="2986"/>
      <c r="E232" s="2986"/>
      <c r="F232" s="2975">
        <v>0.05</v>
      </c>
      <c r="G232" s="2992"/>
    </row>
    <row r="233" spans="1:7" ht="14.25" thickBot="1">
      <c r="A233" s="2988" t="s">
        <v>304</v>
      </c>
      <c r="B233" s="2978" t="s">
        <v>3203</v>
      </c>
      <c r="C233" s="2980"/>
      <c r="D233" s="2980"/>
      <c r="E233" s="2980"/>
      <c r="F233" s="2979">
        <v>0.05</v>
      </c>
      <c r="G233" s="2993"/>
    </row>
    <row r="234" spans="1:7">
      <c r="A234" s="2984" t="s">
        <v>305</v>
      </c>
      <c r="B234" s="2970" t="s">
        <v>2852</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2872</v>
      </c>
      <c r="C238" s="2975">
        <v>0.14899999999999999</v>
      </c>
      <c r="D238" s="2975">
        <v>0.14899999999999999</v>
      </c>
      <c r="E238" s="2975">
        <v>0.15</v>
      </c>
      <c r="F238" s="2975">
        <v>0.15</v>
      </c>
      <c r="G238" s="2976">
        <v>0.15</v>
      </c>
    </row>
    <row r="239" spans="1:7">
      <c r="A239" s="2985" t="s">
        <v>305</v>
      </c>
      <c r="B239" s="2974" t="s">
        <v>2876</v>
      </c>
      <c r="C239" s="2975">
        <v>0.15</v>
      </c>
      <c r="D239" s="2975">
        <v>0.15</v>
      </c>
      <c r="E239" s="2975">
        <v>0.15</v>
      </c>
      <c r="F239" s="2975">
        <v>0.15</v>
      </c>
      <c r="G239" s="2976">
        <v>0.15</v>
      </c>
    </row>
    <row r="240" spans="1:7">
      <c r="A240" s="2985" t="s">
        <v>305</v>
      </c>
      <c r="B240" s="2974" t="s">
        <v>2881</v>
      </c>
      <c r="C240" s="2975">
        <v>0.15</v>
      </c>
      <c r="D240" s="2975">
        <v>0.15</v>
      </c>
      <c r="E240" s="2975">
        <v>0.15</v>
      </c>
      <c r="F240" s="2975">
        <v>0.15</v>
      </c>
      <c r="G240" s="2976">
        <v>0.15</v>
      </c>
    </row>
    <row r="241" spans="1:7">
      <c r="A241" s="2985" t="s">
        <v>305</v>
      </c>
      <c r="B241" s="2974" t="s">
        <v>2885</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2891</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2899</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2904</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2912</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2925</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2934</v>
      </c>
      <c r="C258" s="2975">
        <v>0.14299999999999999</v>
      </c>
      <c r="D258" s="2975">
        <v>0.14299999999999999</v>
      </c>
      <c r="E258" s="2975">
        <v>0.15</v>
      </c>
      <c r="F258" s="2975">
        <v>0.14799999999999999</v>
      </c>
      <c r="G258" s="2976">
        <v>0.14599999999999999</v>
      </c>
    </row>
    <row r="259" spans="1:7">
      <c r="A259" s="2985" t="s">
        <v>305</v>
      </c>
      <c r="B259" s="2974" t="s">
        <v>2938</v>
      </c>
      <c r="C259" s="2975">
        <v>0.14399999999999999</v>
      </c>
      <c r="D259" s="2975">
        <v>0.14399999999999999</v>
      </c>
      <c r="E259" s="2975">
        <v>0.14899999999999999</v>
      </c>
      <c r="F259" s="2975">
        <v>0.14699999999999999</v>
      </c>
      <c r="G259" s="2976">
        <v>0.14599999999999999</v>
      </c>
    </row>
    <row r="260" spans="1:7">
      <c r="A260" s="2985" t="s">
        <v>305</v>
      </c>
      <c r="B260" s="2974" t="s">
        <v>2945</v>
      </c>
      <c r="C260" s="2975">
        <v>0.109</v>
      </c>
      <c r="D260" s="2975">
        <v>0.111</v>
      </c>
      <c r="E260" s="2975">
        <v>0.13100000000000001</v>
      </c>
      <c r="F260" s="2975">
        <v>0.126</v>
      </c>
      <c r="G260" s="2976">
        <v>0.11899999999999999</v>
      </c>
    </row>
    <row r="261" spans="1:7">
      <c r="A261" s="2985" t="s">
        <v>305</v>
      </c>
      <c r="B261" s="2974" t="s">
        <v>2952</v>
      </c>
      <c r="C261" s="2975">
        <v>0.1</v>
      </c>
      <c r="D261" s="2975">
        <v>0.1</v>
      </c>
      <c r="E261" s="2975">
        <v>0.11799999999999999</v>
      </c>
      <c r="F261" s="2975">
        <v>0.108</v>
      </c>
      <c r="G261" s="2976">
        <v>0.107</v>
      </c>
    </row>
    <row r="262" spans="1:7">
      <c r="A262" s="2985" t="s">
        <v>305</v>
      </c>
      <c r="B262" s="2974" t="s">
        <v>2958</v>
      </c>
      <c r="C262" s="2975">
        <v>0.1</v>
      </c>
      <c r="D262" s="2975">
        <v>0.1</v>
      </c>
      <c r="E262" s="2975">
        <v>0.1</v>
      </c>
      <c r="F262" s="2975">
        <v>0.14099999999999999</v>
      </c>
      <c r="G262" s="2976">
        <v>0.1</v>
      </c>
    </row>
    <row r="263" spans="1:7">
      <c r="A263" s="2985" t="s">
        <v>305</v>
      </c>
      <c r="B263" s="2974" t="s">
        <v>2965</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2976</v>
      </c>
      <c r="C265" s="2986"/>
      <c r="D265" s="2986"/>
      <c r="E265" s="2986"/>
      <c r="F265" s="2975">
        <v>0.05</v>
      </c>
      <c r="G265" s="2992"/>
    </row>
    <row r="266" spans="1:7">
      <c r="A266" s="2985" t="s">
        <v>305</v>
      </c>
      <c r="B266" s="2974" t="s">
        <v>2980</v>
      </c>
      <c r="C266" s="2986"/>
      <c r="D266" s="2986"/>
      <c r="E266" s="2986"/>
      <c r="F266" s="2975">
        <v>0.05</v>
      </c>
      <c r="G266" s="2992"/>
    </row>
    <row r="267" spans="1:7">
      <c r="A267" s="2985" t="s">
        <v>305</v>
      </c>
      <c r="B267" s="2974" t="s">
        <v>2985</v>
      </c>
      <c r="C267" s="2986"/>
      <c r="D267" s="2986"/>
      <c r="E267" s="2986"/>
      <c r="F267" s="2975">
        <v>0.05</v>
      </c>
      <c r="G267" s="2992"/>
    </row>
    <row r="268" spans="1:7">
      <c r="A268" s="2985" t="s">
        <v>305</v>
      </c>
      <c r="B268" s="2974" t="s">
        <v>2990</v>
      </c>
      <c r="C268" s="2986"/>
      <c r="D268" s="2986"/>
      <c r="E268" s="2986"/>
      <c r="F268" s="2975">
        <v>0.05</v>
      </c>
      <c r="G268" s="2992"/>
    </row>
    <row r="269" spans="1:7">
      <c r="A269" s="2985" t="s">
        <v>305</v>
      </c>
      <c r="B269" s="2974" t="s">
        <v>2995</v>
      </c>
      <c r="C269" s="2986"/>
      <c r="D269" s="2986"/>
      <c r="E269" s="2986"/>
      <c r="F269" s="2975">
        <v>0.05</v>
      </c>
      <c r="G269" s="2992"/>
    </row>
    <row r="270" spans="1:7">
      <c r="A270" s="2985" t="s">
        <v>305</v>
      </c>
      <c r="B270" s="2974" t="s">
        <v>3000</v>
      </c>
      <c r="C270" s="2986"/>
      <c r="D270" s="2986"/>
      <c r="E270" s="2986"/>
      <c r="F270" s="2975">
        <v>0.05</v>
      </c>
      <c r="G270" s="2992"/>
    </row>
    <row r="271" spans="1:7">
      <c r="A271" s="2985" t="s">
        <v>305</v>
      </c>
      <c r="B271" s="2974" t="s">
        <v>3204</v>
      </c>
      <c r="C271" s="2986"/>
      <c r="D271" s="2986"/>
      <c r="E271" s="2986"/>
      <c r="F271" s="2975">
        <v>0.05</v>
      </c>
      <c r="G271" s="2992"/>
    </row>
    <row r="272" spans="1:7">
      <c r="A272" s="2985" t="s">
        <v>305</v>
      </c>
      <c r="B272" s="2974" t="s">
        <v>3205</v>
      </c>
      <c r="C272" s="2986"/>
      <c r="D272" s="2986"/>
      <c r="E272" s="2986"/>
      <c r="F272" s="2975">
        <v>0.05</v>
      </c>
      <c r="G272" s="2992"/>
    </row>
    <row r="273" spans="1:7">
      <c r="A273" s="2985" t="s">
        <v>305</v>
      </c>
      <c r="B273" s="2974" t="s">
        <v>3206</v>
      </c>
      <c r="C273" s="2986"/>
      <c r="D273" s="2986"/>
      <c r="E273" s="2986"/>
      <c r="F273" s="2975">
        <v>0.05</v>
      </c>
      <c r="G273" s="2992"/>
    </row>
    <row r="274" spans="1:7">
      <c r="A274" s="2985" t="s">
        <v>305</v>
      </c>
      <c r="B274" s="2974" t="s">
        <v>3207</v>
      </c>
      <c r="C274" s="2986"/>
      <c r="D274" s="2986"/>
      <c r="E274" s="2986"/>
      <c r="F274" s="2975">
        <v>0.05</v>
      </c>
      <c r="G274" s="2992"/>
    </row>
    <row r="275" spans="1:7">
      <c r="A275" s="2985" t="s">
        <v>305</v>
      </c>
      <c r="B275" s="2974" t="s">
        <v>3208</v>
      </c>
      <c r="C275" s="2986"/>
      <c r="D275" s="2986"/>
      <c r="E275" s="2986"/>
      <c r="F275" s="2975">
        <v>0.05</v>
      </c>
      <c r="G275" s="2992"/>
    </row>
    <row r="276" spans="1:7" ht="14.25" thickBot="1">
      <c r="A276" s="2988" t="s">
        <v>305</v>
      </c>
      <c r="B276" s="2978" t="s">
        <v>3209</v>
      </c>
      <c r="C276" s="2980"/>
      <c r="D276" s="2980"/>
      <c r="E276" s="2980"/>
      <c r="F276" s="2979">
        <v>0.05</v>
      </c>
      <c r="G276" s="2993"/>
    </row>
    <row r="277" spans="1:7">
      <c r="A277" s="2984" t="s">
        <v>306</v>
      </c>
      <c r="B277" s="2970" t="s">
        <v>2853</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2865</v>
      </c>
      <c r="C279" s="2975">
        <v>0.15</v>
      </c>
      <c r="D279" s="2975">
        <v>0.15</v>
      </c>
      <c r="E279" s="2975">
        <v>0.15</v>
      </c>
      <c r="F279" s="2975">
        <v>0.15</v>
      </c>
      <c r="G279" s="2976">
        <v>0.15</v>
      </c>
    </row>
    <row r="280" spans="1:7">
      <c r="A280" s="2985" t="s">
        <v>306</v>
      </c>
      <c r="B280" s="2974" t="s">
        <v>2869</v>
      </c>
      <c r="C280" s="2975">
        <v>0.15</v>
      </c>
      <c r="D280" s="2975">
        <v>0.15</v>
      </c>
      <c r="E280" s="2975">
        <v>0.15</v>
      </c>
      <c r="F280" s="2975">
        <v>0.15</v>
      </c>
      <c r="G280" s="2976">
        <v>0.15</v>
      </c>
    </row>
    <row r="281" spans="1:7">
      <c r="A281" s="2985" t="s">
        <v>306</v>
      </c>
      <c r="B281" s="2974" t="s">
        <v>2873</v>
      </c>
      <c r="C281" s="2975">
        <v>0.15</v>
      </c>
      <c r="D281" s="2975">
        <v>0.15</v>
      </c>
      <c r="E281" s="2975">
        <v>0.15</v>
      </c>
      <c r="F281" s="2975">
        <v>0.15</v>
      </c>
      <c r="G281" s="2976">
        <v>0.15</v>
      </c>
    </row>
    <row r="282" spans="1:7">
      <c r="A282" s="2985" t="s">
        <v>306</v>
      </c>
      <c r="B282" s="2974" t="s">
        <v>2877</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2892</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2897</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2907</v>
      </c>
      <c r="C293" s="2975">
        <v>0.15</v>
      </c>
      <c r="D293" s="2975">
        <v>0.15</v>
      </c>
      <c r="E293" s="2975">
        <v>0.15</v>
      </c>
      <c r="F293" s="2975">
        <v>0.14499999999999999</v>
      </c>
      <c r="G293" s="2976">
        <v>0.15</v>
      </c>
    </row>
    <row r="294" spans="1:7">
      <c r="A294" s="2985" t="s">
        <v>306</v>
      </c>
      <c r="B294" s="2974" t="s">
        <v>2909</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2926</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2939</v>
      </c>
      <c r="C302" s="2975">
        <v>0.15</v>
      </c>
      <c r="D302" s="2975">
        <v>0.15</v>
      </c>
      <c r="E302" s="2975">
        <v>0.15</v>
      </c>
      <c r="F302" s="2975">
        <v>0.14699999999999999</v>
      </c>
      <c r="G302" s="2976">
        <v>0.15</v>
      </c>
    </row>
    <row r="303" spans="1:7">
      <c r="A303" s="2985" t="s">
        <v>306</v>
      </c>
      <c r="B303" s="2974" t="s">
        <v>2946</v>
      </c>
      <c r="C303" s="2975">
        <v>0.15</v>
      </c>
      <c r="D303" s="2975">
        <v>0.15</v>
      </c>
      <c r="E303" s="2975">
        <v>0.15</v>
      </c>
      <c r="F303" s="2975">
        <v>0.14199999999999999</v>
      </c>
      <c r="G303" s="2976">
        <v>0.15</v>
      </c>
    </row>
    <row r="304" spans="1:7">
      <c r="A304" s="2985" t="s">
        <v>306</v>
      </c>
      <c r="B304" s="2974" t="s">
        <v>2953</v>
      </c>
      <c r="C304" s="2975">
        <v>0.15</v>
      </c>
      <c r="D304" s="2975">
        <v>0.15</v>
      </c>
      <c r="E304" s="2975">
        <v>0.15</v>
      </c>
      <c r="F304" s="2975">
        <v>0.14499999999999999</v>
      </c>
      <c r="G304" s="2976">
        <v>0.15</v>
      </c>
    </row>
    <row r="305" spans="1:7">
      <c r="A305" s="2985" t="s">
        <v>306</v>
      </c>
      <c r="B305" s="2974" t="s">
        <v>2959</v>
      </c>
      <c r="C305" s="2975">
        <v>0.15</v>
      </c>
      <c r="D305" s="2975">
        <v>0.15</v>
      </c>
      <c r="E305" s="2975">
        <v>0.15</v>
      </c>
      <c r="F305" s="2975">
        <v>0.111</v>
      </c>
      <c r="G305" s="2976">
        <v>0.15</v>
      </c>
    </row>
    <row r="306" spans="1:7">
      <c r="A306" s="2985" t="s">
        <v>306</v>
      </c>
      <c r="B306" s="2974" t="s">
        <v>2966</v>
      </c>
      <c r="C306" s="2975">
        <v>0.15</v>
      </c>
      <c r="D306" s="2975">
        <v>0.15</v>
      </c>
      <c r="E306" s="2975">
        <v>0.15</v>
      </c>
      <c r="F306" s="2975">
        <v>0.126</v>
      </c>
      <c r="G306" s="2976">
        <v>0.15</v>
      </c>
    </row>
    <row r="307" spans="1:7">
      <c r="A307" s="2985" t="s">
        <v>306</v>
      </c>
      <c r="B307" s="2974" t="s">
        <v>2971</v>
      </c>
      <c r="C307" s="2975">
        <v>0.15</v>
      </c>
      <c r="D307" s="2975">
        <v>0.15</v>
      </c>
      <c r="E307" s="2975">
        <v>0.15</v>
      </c>
      <c r="F307" s="2975">
        <v>0.12</v>
      </c>
      <c r="G307" s="2976">
        <v>0.15</v>
      </c>
    </row>
    <row r="308" spans="1:7">
      <c r="A308" s="2985" t="s">
        <v>306</v>
      </c>
      <c r="B308" s="2974" t="s">
        <v>2977</v>
      </c>
      <c r="C308" s="2975">
        <v>0.15</v>
      </c>
      <c r="D308" s="2975">
        <v>0.15</v>
      </c>
      <c r="E308" s="2975">
        <v>0.15</v>
      </c>
      <c r="F308" s="2975">
        <v>0.13</v>
      </c>
      <c r="G308" s="2976">
        <v>0.15</v>
      </c>
    </row>
    <row r="309" spans="1:7">
      <c r="A309" s="2985" t="s">
        <v>306</v>
      </c>
      <c r="B309" s="2974" t="s">
        <v>2981</v>
      </c>
      <c r="C309" s="2975">
        <v>0.15</v>
      </c>
      <c r="D309" s="2975">
        <v>0.15</v>
      </c>
      <c r="E309" s="2975">
        <v>0.15</v>
      </c>
      <c r="F309" s="2975">
        <v>0.14099999999999999</v>
      </c>
      <c r="G309" s="2976">
        <v>0.15</v>
      </c>
    </row>
    <row r="310" spans="1:7">
      <c r="A310" s="2985" t="s">
        <v>306</v>
      </c>
      <c r="B310" s="2974" t="s">
        <v>2986</v>
      </c>
      <c r="C310" s="2975">
        <v>0.15</v>
      </c>
      <c r="D310" s="2975">
        <v>0.15</v>
      </c>
      <c r="E310" s="2975">
        <v>0.15</v>
      </c>
      <c r="F310" s="2975">
        <v>0.15</v>
      </c>
      <c r="G310" s="2976">
        <v>0.15</v>
      </c>
    </row>
    <row r="311" spans="1:7">
      <c r="A311" s="2985" t="s">
        <v>306</v>
      </c>
      <c r="B311" s="2974" t="s">
        <v>2991</v>
      </c>
      <c r="C311" s="2975">
        <v>0.13200000000000001</v>
      </c>
      <c r="D311" s="2975">
        <v>0.13300000000000001</v>
      </c>
      <c r="E311" s="2975">
        <v>0.14499999999999999</v>
      </c>
      <c r="F311" s="2975">
        <v>0.14199999999999999</v>
      </c>
      <c r="G311" s="2976">
        <v>0.14000000000000001</v>
      </c>
    </row>
    <row r="312" spans="1:7">
      <c r="A312" s="2985" t="s">
        <v>306</v>
      </c>
      <c r="B312" s="2974" t="s">
        <v>2996</v>
      </c>
      <c r="C312" s="2975">
        <v>0.13800000000000001</v>
      </c>
      <c r="D312" s="2975">
        <v>0.14000000000000001</v>
      </c>
      <c r="E312" s="2975">
        <v>0.14599999999999999</v>
      </c>
      <c r="F312" s="2975">
        <v>0.14899999999999999</v>
      </c>
      <c r="G312" s="2976">
        <v>0.14199999999999999</v>
      </c>
    </row>
    <row r="313" spans="1:7">
      <c r="A313" s="2985" t="s">
        <v>306</v>
      </c>
      <c r="B313" s="2974" t="s">
        <v>3001</v>
      </c>
      <c r="C313" s="2975">
        <v>0.125</v>
      </c>
      <c r="D313" s="2975">
        <v>0.127</v>
      </c>
      <c r="E313" s="2975">
        <v>0.14399999999999999</v>
      </c>
      <c r="F313" s="2975">
        <v>0.115</v>
      </c>
      <c r="G313" s="2976">
        <v>0.13600000000000001</v>
      </c>
    </row>
    <row r="314" spans="1:7">
      <c r="A314" s="2985" t="s">
        <v>306</v>
      </c>
      <c r="B314" s="2974" t="s">
        <v>3210</v>
      </c>
      <c r="C314" s="2991"/>
      <c r="D314" s="2991"/>
      <c r="E314" s="2991"/>
      <c r="F314" s="2975">
        <v>0.05</v>
      </c>
      <c r="G314" s="2992"/>
    </row>
    <row r="315" spans="1:7">
      <c r="A315" s="2985" t="s">
        <v>306</v>
      </c>
      <c r="B315" s="2974" t="s">
        <v>3211</v>
      </c>
      <c r="C315" s="2991"/>
      <c r="D315" s="2991"/>
      <c r="E315" s="2991"/>
      <c r="F315" s="2975">
        <v>0.05</v>
      </c>
      <c r="G315" s="2992"/>
    </row>
    <row r="316" spans="1:7">
      <c r="A316" s="2985" t="s">
        <v>306</v>
      </c>
      <c r="B316" s="2974" t="s">
        <v>3212</v>
      </c>
      <c r="C316" s="2986"/>
      <c r="D316" s="2986"/>
      <c r="E316" s="2986"/>
      <c r="F316" s="2975">
        <v>0.05</v>
      </c>
      <c r="G316" s="2992"/>
    </row>
    <row r="317" spans="1:7">
      <c r="A317" s="2985" t="s">
        <v>306</v>
      </c>
      <c r="B317" s="2974" t="s">
        <v>3213</v>
      </c>
      <c r="C317" s="2986"/>
      <c r="D317" s="2986"/>
      <c r="E317" s="2986"/>
      <c r="F317" s="2975">
        <v>0.05</v>
      </c>
      <c r="G317" s="2992"/>
    </row>
    <row r="318" spans="1:7">
      <c r="A318" s="2985" t="s">
        <v>306</v>
      </c>
      <c r="B318" s="2974" t="s">
        <v>3214</v>
      </c>
      <c r="C318" s="2986"/>
      <c r="D318" s="2986"/>
      <c r="E318" s="2986"/>
      <c r="F318" s="2975">
        <v>0.05</v>
      </c>
      <c r="G318" s="2992"/>
    </row>
    <row r="319" spans="1:7">
      <c r="A319" s="2985" t="s">
        <v>306</v>
      </c>
      <c r="B319" s="2974" t="s">
        <v>3215</v>
      </c>
      <c r="C319" s="2986"/>
      <c r="D319" s="2986"/>
      <c r="E319" s="2986"/>
      <c r="F319" s="2975">
        <v>0.05</v>
      </c>
      <c r="G319" s="2992"/>
    </row>
    <row r="320" spans="1:7">
      <c r="A320" s="2985" t="s">
        <v>306</v>
      </c>
      <c r="B320" s="2974" t="s">
        <v>3216</v>
      </c>
      <c r="C320" s="2986"/>
      <c r="D320" s="2986"/>
      <c r="E320" s="2986"/>
      <c r="F320" s="2975">
        <v>0.05</v>
      </c>
      <c r="G320" s="2992"/>
    </row>
    <row r="321" spans="1:7">
      <c r="A321" s="2985" t="s">
        <v>306</v>
      </c>
      <c r="B321" s="2974" t="s">
        <v>3217</v>
      </c>
      <c r="C321" s="2986"/>
      <c r="D321" s="2986"/>
      <c r="E321" s="2986"/>
      <c r="F321" s="2975">
        <v>0.05</v>
      </c>
      <c r="G321" s="2992"/>
    </row>
    <row r="322" spans="1:7">
      <c r="A322" s="2985" t="s">
        <v>306</v>
      </c>
      <c r="B322" s="2974" t="s">
        <v>3218</v>
      </c>
      <c r="C322" s="2986"/>
      <c r="D322" s="2986"/>
      <c r="E322" s="2986"/>
      <c r="F322" s="2975">
        <v>0.05</v>
      </c>
      <c r="G322" s="2992"/>
    </row>
    <row r="323" spans="1:7">
      <c r="A323" s="2985" t="s">
        <v>306</v>
      </c>
      <c r="B323" s="2974" t="s">
        <v>3219</v>
      </c>
      <c r="C323" s="2986"/>
      <c r="D323" s="2986"/>
      <c r="E323" s="2986"/>
      <c r="F323" s="2975">
        <v>0.05</v>
      </c>
      <c r="G323" s="2992"/>
    </row>
    <row r="324" spans="1:7">
      <c r="A324" s="2985" t="s">
        <v>306</v>
      </c>
      <c r="B324" s="2974" t="s">
        <v>3220</v>
      </c>
      <c r="C324" s="2986"/>
      <c r="D324" s="2986"/>
      <c r="E324" s="2986"/>
      <c r="F324" s="2975">
        <v>0.05</v>
      </c>
      <c r="G324" s="2992"/>
    </row>
    <row r="325" spans="1:7">
      <c r="A325" s="2985" t="s">
        <v>306</v>
      </c>
      <c r="B325" s="2974" t="s">
        <v>3221</v>
      </c>
      <c r="C325" s="2986"/>
      <c r="D325" s="2986"/>
      <c r="E325" s="2986"/>
      <c r="F325" s="2975">
        <v>0.05</v>
      </c>
      <c r="G325" s="2992"/>
    </row>
    <row r="326" spans="1:7" ht="14.25" thickBot="1">
      <c r="A326" s="2988" t="s">
        <v>306</v>
      </c>
      <c r="B326" s="2978" t="s">
        <v>3222</v>
      </c>
      <c r="C326" s="2980"/>
      <c r="D326" s="2980"/>
      <c r="E326" s="2980"/>
      <c r="F326" s="2979">
        <v>0.05</v>
      </c>
      <c r="G326" s="2993"/>
    </row>
    <row r="327" spans="1:7">
      <c r="A327" s="2984" t="s">
        <v>307</v>
      </c>
      <c r="B327" s="2970" t="s">
        <v>2854</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2866</v>
      </c>
      <c r="C329" s="2975">
        <v>0.15</v>
      </c>
      <c r="D329" s="2975">
        <v>0.15</v>
      </c>
      <c r="E329" s="2975">
        <v>0.15</v>
      </c>
      <c r="F329" s="2975">
        <v>0.15</v>
      </c>
      <c r="G329" s="2976">
        <v>0.15</v>
      </c>
    </row>
    <row r="330" spans="1:7">
      <c r="A330" s="2985" t="s">
        <v>307</v>
      </c>
      <c r="B330" s="2974" t="s">
        <v>2870</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2878</v>
      </c>
      <c r="C332" s="2975">
        <v>0.15</v>
      </c>
      <c r="D332" s="2975">
        <v>0.15</v>
      </c>
      <c r="E332" s="2975">
        <v>0.15</v>
      </c>
      <c r="F332" s="2975">
        <v>0.15</v>
      </c>
      <c r="G332" s="2976">
        <v>0.15</v>
      </c>
    </row>
    <row r="333" spans="1:7">
      <c r="A333" s="2985" t="s">
        <v>307</v>
      </c>
      <c r="B333" s="2974" t="s">
        <v>2882</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2888</v>
      </c>
      <c r="C336" s="2975">
        <v>0.15</v>
      </c>
      <c r="D336" s="2975">
        <v>0.15</v>
      </c>
      <c r="E336" s="2975">
        <v>0.15</v>
      </c>
      <c r="F336" s="2975">
        <v>0.14199999999999999</v>
      </c>
      <c r="G336" s="2976">
        <v>0.15</v>
      </c>
    </row>
    <row r="337" spans="1:7">
      <c r="A337" s="2985" t="s">
        <v>307</v>
      </c>
      <c r="B337" s="2974" t="s">
        <v>2893</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2900</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2905</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2913</v>
      </c>
      <c r="C345" s="2975">
        <v>0.15</v>
      </c>
      <c r="D345" s="2975">
        <v>0.15</v>
      </c>
      <c r="E345" s="2975">
        <v>0.15</v>
      </c>
      <c r="F345" s="2975">
        <v>0.13800000000000001</v>
      </c>
      <c r="G345" s="2976">
        <v>0.15</v>
      </c>
    </row>
    <row r="346" spans="1:7">
      <c r="A346" s="2985" t="s">
        <v>307</v>
      </c>
      <c r="B346" s="2974" t="s">
        <v>2915</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2922</v>
      </c>
      <c r="C348" s="2975">
        <v>0.15</v>
      </c>
      <c r="D348" s="2975">
        <v>0.15</v>
      </c>
      <c r="E348" s="2975">
        <v>0.15</v>
      </c>
      <c r="F348" s="2975">
        <v>0.14399999999999999</v>
      </c>
      <c r="G348" s="2976">
        <v>0.15</v>
      </c>
    </row>
    <row r="349" spans="1:7">
      <c r="A349" s="2985" t="s">
        <v>307</v>
      </c>
      <c r="B349" s="2974" t="s">
        <v>2927</v>
      </c>
      <c r="C349" s="2975">
        <v>0.15</v>
      </c>
      <c r="D349" s="2975">
        <v>0.15</v>
      </c>
      <c r="E349" s="2975">
        <v>0.15</v>
      </c>
      <c r="F349" s="2975">
        <v>0.15</v>
      </c>
      <c r="G349" s="2976">
        <v>0.15</v>
      </c>
    </row>
    <row r="350" spans="1:7">
      <c r="A350" s="2985" t="s">
        <v>307</v>
      </c>
      <c r="B350" s="2974" t="s">
        <v>2930</v>
      </c>
      <c r="C350" s="2975">
        <v>0.15</v>
      </c>
      <c r="D350" s="2975">
        <v>0.15</v>
      </c>
      <c r="E350" s="2975">
        <v>0.15</v>
      </c>
      <c r="F350" s="2975">
        <v>0.14699999999999999</v>
      </c>
      <c r="G350" s="2976">
        <v>0.15</v>
      </c>
    </row>
    <row r="351" spans="1:7">
      <c r="A351" s="2985" t="s">
        <v>307</v>
      </c>
      <c r="B351" s="2974" t="s">
        <v>2935</v>
      </c>
      <c r="C351" s="2975">
        <v>0.15</v>
      </c>
      <c r="D351" s="2975">
        <v>0.15</v>
      </c>
      <c r="E351" s="2975">
        <v>0.15</v>
      </c>
      <c r="F351" s="2975">
        <v>0.13</v>
      </c>
      <c r="G351" s="2976">
        <v>0.15</v>
      </c>
    </row>
    <row r="352" spans="1:7">
      <c r="A352" s="2985" t="s">
        <v>307</v>
      </c>
      <c r="B352" s="2974" t="s">
        <v>2940</v>
      </c>
      <c r="C352" s="2975">
        <v>0.15</v>
      </c>
      <c r="D352" s="2975">
        <v>0.15</v>
      </c>
      <c r="E352" s="2975">
        <v>0.15</v>
      </c>
      <c r="F352" s="2975">
        <v>0.14599999999999999</v>
      </c>
      <c r="G352" s="2976">
        <v>0.15</v>
      </c>
    </row>
    <row r="353" spans="1:7">
      <c r="A353" s="2985" t="s">
        <v>307</v>
      </c>
      <c r="B353" s="2974" t="s">
        <v>2947</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2960</v>
      </c>
      <c r="C355" s="2975">
        <v>0.15</v>
      </c>
      <c r="D355" s="2975">
        <v>0.15</v>
      </c>
      <c r="E355" s="2975">
        <v>0.15</v>
      </c>
      <c r="F355" s="2975">
        <v>0.15</v>
      </c>
      <c r="G355" s="2976">
        <v>0.15</v>
      </c>
    </row>
    <row r="356" spans="1:7">
      <c r="A356" s="2985" t="s">
        <v>307</v>
      </c>
      <c r="B356" s="2974" t="s">
        <v>2967</v>
      </c>
      <c r="C356" s="2975">
        <v>0.15</v>
      </c>
      <c r="D356" s="2975">
        <v>0.15</v>
      </c>
      <c r="E356" s="2975">
        <v>0.15</v>
      </c>
      <c r="F356" s="2975">
        <v>0.15</v>
      </c>
      <c r="G356" s="2976">
        <v>0.15</v>
      </c>
    </row>
    <row r="357" spans="1:7" ht="14.25" thickBot="1">
      <c r="A357" s="2988" t="s">
        <v>307</v>
      </c>
      <c r="B357" s="2978" t="s">
        <v>2972</v>
      </c>
      <c r="C357" s="2979">
        <v>0.126</v>
      </c>
      <c r="D357" s="2979">
        <v>0.127</v>
      </c>
      <c r="E357" s="2979">
        <v>0.14299999999999999</v>
      </c>
      <c r="F357" s="2979">
        <v>0.125</v>
      </c>
      <c r="G357" s="2981">
        <v>0.129</v>
      </c>
    </row>
    <row r="358" spans="1:7">
      <c r="A358" s="2984" t="s">
        <v>2841</v>
      </c>
      <c r="B358" s="2970" t="s">
        <v>2855</v>
      </c>
      <c r="C358" s="2971">
        <v>0.15</v>
      </c>
      <c r="D358" s="2971">
        <v>0.15</v>
      </c>
      <c r="E358" s="2971">
        <v>0.15</v>
      </c>
      <c r="F358" s="2971">
        <v>0.15</v>
      </c>
      <c r="G358" s="2972">
        <v>0.15</v>
      </c>
    </row>
    <row r="359" spans="1:7">
      <c r="A359" s="2985" t="s">
        <v>2841</v>
      </c>
      <c r="B359" s="2974" t="s">
        <v>2861</v>
      </c>
      <c r="C359" s="2975">
        <v>0.1</v>
      </c>
      <c r="D359" s="2975">
        <v>0.1</v>
      </c>
      <c r="E359" s="2975">
        <v>0.1</v>
      </c>
      <c r="F359" s="2975">
        <v>0.1</v>
      </c>
      <c r="G359" s="2976">
        <v>0.1</v>
      </c>
    </row>
    <row r="360" spans="1:7">
      <c r="A360" s="2985" t="s">
        <v>2841</v>
      </c>
      <c r="B360" s="2974" t="s">
        <v>2867</v>
      </c>
      <c r="C360" s="2975">
        <v>0.15</v>
      </c>
      <c r="D360" s="2975">
        <v>0.15</v>
      </c>
      <c r="E360" s="2975">
        <v>0.15</v>
      </c>
      <c r="F360" s="2975">
        <v>0.14899999999999999</v>
      </c>
      <c r="G360" s="2976">
        <v>0.15</v>
      </c>
    </row>
    <row r="361" spans="1:7">
      <c r="A361" s="2985" t="s">
        <v>2841</v>
      </c>
      <c r="B361" s="2974" t="s">
        <v>153</v>
      </c>
      <c r="C361" s="2975">
        <v>0.15</v>
      </c>
      <c r="D361" s="2975">
        <v>0.15</v>
      </c>
      <c r="E361" s="2975">
        <v>0.15</v>
      </c>
      <c r="F361" s="2975">
        <v>0.115</v>
      </c>
      <c r="G361" s="2976">
        <v>0.15</v>
      </c>
    </row>
    <row r="362" spans="1:7">
      <c r="A362" s="2985" t="s">
        <v>2841</v>
      </c>
      <c r="B362" s="2974" t="s">
        <v>2874</v>
      </c>
      <c r="C362" s="2975">
        <v>0.15</v>
      </c>
      <c r="D362" s="2975">
        <v>0.15</v>
      </c>
      <c r="E362" s="2975">
        <v>0.15</v>
      </c>
      <c r="F362" s="2975">
        <v>0.106</v>
      </c>
      <c r="G362" s="2976">
        <v>0.15</v>
      </c>
    </row>
    <row r="363" spans="1:7">
      <c r="A363" s="2985" t="s">
        <v>2841</v>
      </c>
      <c r="B363" s="2974" t="s">
        <v>2879</v>
      </c>
      <c r="C363" s="2975">
        <v>0.15</v>
      </c>
      <c r="D363" s="2975">
        <v>0.15</v>
      </c>
      <c r="E363" s="2975">
        <v>0.15</v>
      </c>
      <c r="F363" s="2975">
        <v>0.14699999999999999</v>
      </c>
      <c r="G363" s="2976">
        <v>0.15</v>
      </c>
    </row>
    <row r="364" spans="1:7">
      <c r="A364" s="2985" t="s">
        <v>2841</v>
      </c>
      <c r="B364" s="2974" t="s">
        <v>2883</v>
      </c>
      <c r="C364" s="2975">
        <v>0.15</v>
      </c>
      <c r="D364" s="2975">
        <v>0.15</v>
      </c>
      <c r="E364" s="2975">
        <v>0.15</v>
      </c>
      <c r="F364" s="2975">
        <v>0.14799999999999999</v>
      </c>
      <c r="G364" s="2976">
        <v>0.15</v>
      </c>
    </row>
    <row r="365" spans="1:7">
      <c r="A365" s="2985" t="s">
        <v>2841</v>
      </c>
      <c r="B365" s="2974" t="s">
        <v>200</v>
      </c>
      <c r="C365" s="2975">
        <v>0.15</v>
      </c>
      <c r="D365" s="2975">
        <v>0.15</v>
      </c>
      <c r="E365" s="2975">
        <v>0.15</v>
      </c>
      <c r="F365" s="2975">
        <v>0.15</v>
      </c>
      <c r="G365" s="2976">
        <v>0.15</v>
      </c>
    </row>
    <row r="366" spans="1:7">
      <c r="A366" s="2985" t="s">
        <v>2841</v>
      </c>
      <c r="B366" s="2974" t="s">
        <v>2886</v>
      </c>
      <c r="C366" s="2975">
        <v>0.15</v>
      </c>
      <c r="D366" s="2975">
        <v>0.15</v>
      </c>
      <c r="E366" s="2975">
        <v>0.15</v>
      </c>
      <c r="F366" s="2975">
        <v>0.15</v>
      </c>
      <c r="G366" s="2976">
        <v>0.15</v>
      </c>
    </row>
    <row r="367" spans="1:7">
      <c r="A367" s="2985" t="s">
        <v>2841</v>
      </c>
      <c r="B367" s="2974" t="s">
        <v>2889</v>
      </c>
      <c r="C367" s="2975">
        <v>0.15</v>
      </c>
      <c r="D367" s="2975">
        <v>0.15</v>
      </c>
      <c r="E367" s="2975">
        <v>0.15</v>
      </c>
      <c r="F367" s="2975">
        <v>0.14699999999999999</v>
      </c>
      <c r="G367" s="2976">
        <v>0.15</v>
      </c>
    </row>
    <row r="368" spans="1:7">
      <c r="A368" s="2985" t="s">
        <v>2841</v>
      </c>
      <c r="B368" s="2974" t="s">
        <v>2894</v>
      </c>
      <c r="C368" s="2975">
        <v>0.15</v>
      </c>
      <c r="D368" s="2975">
        <v>0.15</v>
      </c>
      <c r="E368" s="2975">
        <v>0.15</v>
      </c>
      <c r="F368" s="2975">
        <v>0.13600000000000001</v>
      </c>
      <c r="G368" s="2976">
        <v>0.15</v>
      </c>
    </row>
    <row r="369" spans="1:7">
      <c r="A369" s="2985" t="s">
        <v>2841</v>
      </c>
      <c r="B369" s="2974" t="s">
        <v>214</v>
      </c>
      <c r="C369" s="2975">
        <v>0.15</v>
      </c>
      <c r="D369" s="2975">
        <v>0.15</v>
      </c>
      <c r="E369" s="2975">
        <v>0.15</v>
      </c>
      <c r="F369" s="2975">
        <v>0.14399999999999999</v>
      </c>
      <c r="G369" s="2976">
        <v>0.15</v>
      </c>
    </row>
    <row r="370" spans="1:7">
      <c r="A370" s="2985" t="s">
        <v>2841</v>
      </c>
      <c r="B370" s="2974" t="s">
        <v>221</v>
      </c>
      <c r="C370" s="2975">
        <v>0.15</v>
      </c>
      <c r="D370" s="2975">
        <v>0.15</v>
      </c>
      <c r="E370" s="2975">
        <v>0.15</v>
      </c>
      <c r="F370" s="2975">
        <v>0.14599999999999999</v>
      </c>
      <c r="G370" s="2976">
        <v>0.15</v>
      </c>
    </row>
    <row r="371" spans="1:7">
      <c r="A371" s="2985" t="s">
        <v>2841</v>
      </c>
      <c r="B371" s="2974" t="s">
        <v>229</v>
      </c>
      <c r="C371" s="2975">
        <v>0.15</v>
      </c>
      <c r="D371" s="2975">
        <v>0.15</v>
      </c>
      <c r="E371" s="2975">
        <v>0.15</v>
      </c>
      <c r="F371" s="2975">
        <v>0.12</v>
      </c>
      <c r="G371" s="2976">
        <v>0.15</v>
      </c>
    </row>
    <row r="372" spans="1:7">
      <c r="A372" s="2985" t="s">
        <v>2841</v>
      </c>
      <c r="B372" s="2974" t="s">
        <v>2902</v>
      </c>
      <c r="C372" s="2975">
        <v>0.15</v>
      </c>
      <c r="D372" s="2975">
        <v>0.15</v>
      </c>
      <c r="E372" s="2975">
        <v>0.15</v>
      </c>
      <c r="F372" s="2975">
        <v>0.14299999999999999</v>
      </c>
      <c r="G372" s="2976">
        <v>0.15</v>
      </c>
    </row>
    <row r="373" spans="1:7">
      <c r="A373" s="2985" t="s">
        <v>2841</v>
      </c>
      <c r="B373" s="2974" t="s">
        <v>258</v>
      </c>
      <c r="C373" s="2975">
        <v>0.15</v>
      </c>
      <c r="D373" s="2975">
        <v>0.15</v>
      </c>
      <c r="E373" s="2975">
        <v>0.15</v>
      </c>
      <c r="F373" s="2975">
        <v>0.14599999999999999</v>
      </c>
      <c r="G373" s="2976">
        <v>0.15</v>
      </c>
    </row>
    <row r="374" spans="1:7">
      <c r="A374" s="2985" t="s">
        <v>2841</v>
      </c>
      <c r="B374" s="2974" t="s">
        <v>266</v>
      </c>
      <c r="C374" s="2975">
        <v>0.15</v>
      </c>
      <c r="D374" s="2975">
        <v>0.15</v>
      </c>
      <c r="E374" s="2975">
        <v>0.15</v>
      </c>
      <c r="F374" s="2975">
        <v>0.14399999999999999</v>
      </c>
      <c r="G374" s="2976">
        <v>0.15</v>
      </c>
    </row>
    <row r="375" spans="1:7">
      <c r="A375" s="2985" t="s">
        <v>2841</v>
      </c>
      <c r="B375" s="2974" t="s">
        <v>2910</v>
      </c>
      <c r="C375" s="2975">
        <v>0.15</v>
      </c>
      <c r="D375" s="2975">
        <v>0.15</v>
      </c>
      <c r="E375" s="2975">
        <v>0.15</v>
      </c>
      <c r="F375" s="2975">
        <v>0.13</v>
      </c>
      <c r="G375" s="2976">
        <v>0.15</v>
      </c>
    </row>
    <row r="376" spans="1:7">
      <c r="A376" s="2985" t="s">
        <v>2841</v>
      </c>
      <c r="B376" s="2974" t="s">
        <v>277</v>
      </c>
      <c r="C376" s="2975">
        <v>0.15</v>
      </c>
      <c r="D376" s="2975">
        <v>0.15</v>
      </c>
      <c r="E376" s="2975">
        <v>0.15</v>
      </c>
      <c r="F376" s="2975">
        <v>0.14199999999999999</v>
      </c>
      <c r="G376" s="2976">
        <v>0.15</v>
      </c>
    </row>
    <row r="377" spans="1:7" ht="14.25" thickBot="1">
      <c r="A377" s="2988" t="s">
        <v>2841</v>
      </c>
      <c r="B377" s="2978" t="s">
        <v>2916</v>
      </c>
      <c r="C377" s="2979">
        <v>0.15</v>
      </c>
      <c r="D377" s="2979">
        <v>0.15</v>
      </c>
      <c r="E377" s="2979">
        <v>0.15</v>
      </c>
      <c r="F377" s="2979">
        <v>0.14000000000000001</v>
      </c>
      <c r="G377" s="2981">
        <v>0.15</v>
      </c>
    </row>
    <row r="378" spans="1:7">
      <c r="A378" s="2984" t="s">
        <v>2842</v>
      </c>
      <c r="B378" s="2970" t="s">
        <v>2856</v>
      </c>
      <c r="C378" s="2971">
        <v>0.15</v>
      </c>
      <c r="D378" s="2971">
        <v>0.15</v>
      </c>
      <c r="E378" s="2971">
        <v>0.15</v>
      </c>
      <c r="F378" s="2971">
        <v>0.107</v>
      </c>
      <c r="G378" s="2972">
        <v>0.15</v>
      </c>
    </row>
    <row r="379" spans="1:7">
      <c r="A379" s="2985" t="s">
        <v>2842</v>
      </c>
      <c r="B379" s="2974" t="s">
        <v>2862</v>
      </c>
      <c r="C379" s="2975">
        <v>0.15</v>
      </c>
      <c r="D379" s="2975">
        <v>0.15</v>
      </c>
      <c r="E379" s="2975">
        <v>0.15</v>
      </c>
      <c r="F379" s="2975">
        <v>0.115</v>
      </c>
      <c r="G379" s="2976">
        <v>0.14899999999999999</v>
      </c>
    </row>
    <row r="380" spans="1:7">
      <c r="A380" s="2985" t="s">
        <v>2842</v>
      </c>
      <c r="B380" s="2974" t="s">
        <v>2868</v>
      </c>
      <c r="C380" s="2975">
        <v>0.15</v>
      </c>
      <c r="D380" s="2975">
        <v>0.15</v>
      </c>
      <c r="E380" s="2975">
        <v>0.15</v>
      </c>
      <c r="F380" s="2975">
        <v>0.1</v>
      </c>
      <c r="G380" s="2976">
        <v>0.14799999999999999</v>
      </c>
    </row>
    <row r="381" spans="1:7">
      <c r="A381" s="2985" t="s">
        <v>2842</v>
      </c>
      <c r="B381" s="2974" t="s">
        <v>2871</v>
      </c>
      <c r="C381" s="2975">
        <v>0.15</v>
      </c>
      <c r="D381" s="2975">
        <v>0.15</v>
      </c>
      <c r="E381" s="2975">
        <v>0.15</v>
      </c>
      <c r="F381" s="2975">
        <v>0.126</v>
      </c>
      <c r="G381" s="2976">
        <v>0.15</v>
      </c>
    </row>
    <row r="382" spans="1:7">
      <c r="A382" s="2985" t="s">
        <v>2842</v>
      </c>
      <c r="B382" s="2974" t="s">
        <v>2875</v>
      </c>
      <c r="C382" s="2975">
        <v>0.15</v>
      </c>
      <c r="D382" s="2975">
        <v>0.15</v>
      </c>
      <c r="E382" s="2975">
        <v>0.15</v>
      </c>
      <c r="F382" s="2975">
        <v>0.15</v>
      </c>
      <c r="G382" s="2976">
        <v>0.15</v>
      </c>
    </row>
    <row r="383" spans="1:7">
      <c r="A383" s="2985" t="s">
        <v>2842</v>
      </c>
      <c r="B383" s="2974" t="s">
        <v>2880</v>
      </c>
      <c r="C383" s="2975">
        <v>0.15</v>
      </c>
      <c r="D383" s="2975">
        <v>0.15</v>
      </c>
      <c r="E383" s="2975">
        <v>0.15</v>
      </c>
      <c r="F383" s="2975">
        <v>0.14699999999999999</v>
      </c>
      <c r="G383" s="2976">
        <v>0.15</v>
      </c>
    </row>
    <row r="384" spans="1:7" ht="14.25" thickBot="1">
      <c r="A384" s="2995" t="s">
        <v>2842</v>
      </c>
      <c r="B384" s="2996" t="s">
        <v>2884</v>
      </c>
      <c r="C384" s="2997">
        <v>0.15</v>
      </c>
      <c r="D384" s="2997">
        <v>0.15</v>
      </c>
      <c r="E384" s="2997">
        <v>0.15</v>
      </c>
      <c r="F384" s="2997">
        <v>0.15</v>
      </c>
      <c r="G384" s="2998">
        <v>0.15</v>
      </c>
    </row>
  </sheetData>
  <sheetProtection password="CEE9" sheet="1" objects="1" scenarios="1"/>
  <mergeCells count="1">
    <mergeCell ref="A1:B1"/>
  </mergeCells>
  <phoneticPr fontId="9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17"/>
  <sheetViews>
    <sheetView workbookViewId="0">
      <selection sqref="A1:XFD1048576"/>
    </sheetView>
  </sheetViews>
  <sheetFormatPr defaultColWidth="13.25" defaultRowHeight="13.5"/>
  <cols>
    <col min="1" max="16384" width="13.25" style="2810"/>
  </cols>
  <sheetData>
    <row r="1" spans="1:6">
      <c r="A1" s="3516" t="s">
        <v>3223</v>
      </c>
      <c r="B1" s="3516"/>
      <c r="C1" s="3516"/>
      <c r="D1" s="3516"/>
      <c r="E1" s="3516"/>
      <c r="F1" s="3517"/>
    </row>
    <row r="2" spans="1:6">
      <c r="A2" s="2999" t="s">
        <v>3224</v>
      </c>
    </row>
    <row r="3" spans="1:6">
      <c r="A3" s="2999" t="s">
        <v>3225</v>
      </c>
      <c r="F3" s="3000" t="s">
        <v>3226</v>
      </c>
    </row>
    <row r="4" spans="1:6">
      <c r="A4" s="3001" t="s">
        <v>672</v>
      </c>
      <c r="B4" s="3001" t="s">
        <v>673</v>
      </c>
      <c r="C4" s="3001" t="s">
        <v>21</v>
      </c>
      <c r="D4" s="3001" t="s">
        <v>674</v>
      </c>
      <c r="E4" s="3001" t="s">
        <v>3</v>
      </c>
      <c r="F4" s="3001" t="s">
        <v>3227</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D38"/>
  <sheetViews>
    <sheetView zoomScale="80" zoomScaleNormal="80" workbookViewId="0">
      <selection activeCell="L9" sqref="L9"/>
    </sheetView>
  </sheetViews>
  <sheetFormatPr defaultRowHeight="13.5"/>
  <cols>
    <col min="1" max="1" width="13.875" customWidth="1"/>
    <col min="11" max="17" width="9" customWidth="1"/>
    <col min="25" max="30" width="0" hidden="1" customWidth="1"/>
  </cols>
  <sheetData>
    <row r="1" spans="1:30">
      <c r="A1" s="2934">
        <f>基准地价修正!G23</f>
        <v>45022</v>
      </c>
      <c r="B1" s="2926" t="s">
        <v>2829</v>
      </c>
      <c r="C1" s="2927"/>
      <c r="D1" s="2927"/>
      <c r="E1" s="2927"/>
      <c r="F1" s="2927"/>
      <c r="G1" s="2927"/>
      <c r="H1" s="2927"/>
      <c r="I1" s="2927"/>
      <c r="J1" s="2893"/>
      <c r="K1" s="2927" t="s">
        <v>454</v>
      </c>
      <c r="L1" s="2927"/>
      <c r="M1" s="2927"/>
      <c r="N1" s="2927"/>
      <c r="O1" s="2927"/>
      <c r="P1" s="2927"/>
      <c r="Q1" s="2893"/>
      <c r="R1" s="3518" t="s">
        <v>456</v>
      </c>
      <c r="S1" s="3519"/>
      <c r="T1" s="3519"/>
      <c r="U1" s="3519"/>
      <c r="V1" s="3519"/>
      <c r="W1" s="3519"/>
      <c r="X1" s="2893"/>
      <c r="Y1" s="3518" t="s">
        <v>457</v>
      </c>
      <c r="Z1" s="3519"/>
      <c r="AA1" s="3519"/>
      <c r="AB1" s="3519"/>
      <c r="AC1" s="3519"/>
      <c r="AD1" s="3519"/>
    </row>
    <row r="2" spans="1:30" s="2008" customFormat="1" ht="14.25" thickBot="1">
      <c r="B2" s="2878"/>
      <c r="C2" s="2879"/>
      <c r="D2" s="2009" t="s">
        <v>2797</v>
      </c>
      <c r="E2" s="2010" t="s">
        <v>2798</v>
      </c>
      <c r="F2" s="2010" t="s">
        <v>2799</v>
      </c>
      <c r="G2" s="2010" t="s">
        <v>2800</v>
      </c>
      <c r="H2" s="2010" t="s">
        <v>2801</v>
      </c>
      <c r="I2" s="2010" t="s">
        <v>2618</v>
      </c>
      <c r="J2" s="2880"/>
      <c r="K2" s="2009" t="s">
        <v>2797</v>
      </c>
      <c r="L2" s="2010" t="s">
        <v>2798</v>
      </c>
      <c r="M2" s="2010" t="s">
        <v>2799</v>
      </c>
      <c r="N2" s="2010" t="s">
        <v>2800</v>
      </c>
      <c r="O2" s="2010" t="s">
        <v>2802</v>
      </c>
      <c r="P2" s="2010" t="s">
        <v>2618</v>
      </c>
      <c r="Q2" s="2880"/>
      <c r="R2" s="2009" t="s">
        <v>2797</v>
      </c>
      <c r="S2" s="2010" t="s">
        <v>2798</v>
      </c>
      <c r="T2" s="2010" t="s">
        <v>2799</v>
      </c>
      <c r="U2" s="2010" t="s">
        <v>2803</v>
      </c>
      <c r="V2" s="2010" t="s">
        <v>2804</v>
      </c>
      <c r="W2" s="2010" t="s">
        <v>2618</v>
      </c>
      <c r="X2" s="2880"/>
      <c r="Y2" s="2009" t="s">
        <v>2797</v>
      </c>
      <c r="Z2" s="2010" t="s">
        <v>2798</v>
      </c>
      <c r="AA2" s="2010" t="s">
        <v>2799</v>
      </c>
      <c r="AB2" s="2010" t="s">
        <v>2805</v>
      </c>
      <c r="AC2" s="2010" t="s">
        <v>2804</v>
      </c>
      <c r="AD2" s="2010" t="s">
        <v>2618</v>
      </c>
    </row>
    <row r="3" spans="1:30" s="2883" customFormat="1" ht="12.75">
      <c r="A3" s="2881" t="s">
        <v>2806</v>
      </c>
      <c r="B3" s="2882"/>
      <c r="D3" s="2883">
        <f>ROUND(AVERAGEIF(D4:D16,"&lt;&gt;0"),2)</f>
        <v>0.81</v>
      </c>
      <c r="E3" s="2883">
        <f t="shared" ref="E3:H3" si="0">ROUND(AVERAGEIF(E4:E16,"&lt;&gt;0"),2)</f>
        <v>0.33</v>
      </c>
      <c r="F3" s="2883">
        <f t="shared" si="0"/>
        <v>0.15</v>
      </c>
      <c r="G3" s="2883">
        <f t="shared" si="0"/>
        <v>0.89</v>
      </c>
      <c r="H3" s="2883">
        <f t="shared" si="0"/>
        <v>0.66</v>
      </c>
      <c r="I3" s="2883">
        <f>F3</f>
        <v>0.15</v>
      </c>
      <c r="J3" s="2884"/>
      <c r="K3" s="2885">
        <f>ROUND(AVERAGEIF(K4:K16,"&lt;&gt;0"),4)</f>
        <v>8.0999999999999996E-3</v>
      </c>
      <c r="L3" s="2886">
        <f t="shared" ref="L3:O3" si="1">ROUND(AVERAGEIF(L4:L16,"&lt;&gt;0"),4)</f>
        <v>3.3E-3</v>
      </c>
      <c r="M3" s="2886">
        <f t="shared" si="1"/>
        <v>1.5E-3</v>
      </c>
      <c r="N3" s="2886">
        <f t="shared" si="1"/>
        <v>8.8999999999999999E-3</v>
      </c>
      <c r="O3" s="2886">
        <f t="shared" si="1"/>
        <v>6.6E-3</v>
      </c>
      <c r="P3" s="2886">
        <f>M3</f>
        <v>1.5E-3</v>
      </c>
      <c r="Q3" s="2884"/>
      <c r="R3" s="2887">
        <f>ROUND(SUMPRODUCT(PRODUCT(1+K4:K16)),4)</f>
        <v>1.0668</v>
      </c>
      <c r="S3" s="2888">
        <f t="shared" ref="S3:V3" si="2">ROUND(SUMPRODUCT(PRODUCT(1+L4:L16)),4)</f>
        <v>1.0266999999999999</v>
      </c>
      <c r="T3" s="2888">
        <f t="shared" si="2"/>
        <v>1.0119</v>
      </c>
      <c r="U3" s="2888">
        <f t="shared" si="2"/>
        <v>1.0734999999999999</v>
      </c>
      <c r="V3" s="2888">
        <f t="shared" si="2"/>
        <v>1.054</v>
      </c>
      <c r="W3" s="2887">
        <f>T3</f>
        <v>1.0119</v>
      </c>
      <c r="X3" s="2884"/>
      <c r="Y3" s="2889">
        <f>ROUND(AVERAGEIF(Y5:Y16,"&lt;&gt;0"),4)</f>
        <v>8.6999999999999994E-3</v>
      </c>
      <c r="Z3" s="2890">
        <f t="shared" ref="Z3:AC3" si="3">ROUND(AVERAGEIF(Z5:Z16,"&lt;&gt;0"),4)</f>
        <v>3.5000000000000001E-3</v>
      </c>
      <c r="AA3" s="2891">
        <f t="shared" si="3"/>
        <v>8.9999999999999998E-4</v>
      </c>
      <c r="AB3" s="2889">
        <f t="shared" si="3"/>
        <v>9.4999999999999998E-3</v>
      </c>
      <c r="AC3" s="2892">
        <f t="shared" si="3"/>
        <v>6.1000000000000004E-3</v>
      </c>
      <c r="AD3" s="2889">
        <f>AA3</f>
        <v>8.9999999999999998E-4</v>
      </c>
    </row>
    <row r="4" spans="1:30" s="2007" customFormat="1" ht="12.75">
      <c r="B4" s="2023"/>
      <c r="J4" s="2893"/>
      <c r="K4" s="2894"/>
      <c r="L4" s="2895"/>
      <c r="M4" s="2895"/>
      <c r="N4" s="2895"/>
      <c r="O4" s="2895"/>
      <c r="P4" s="2895"/>
      <c r="Q4" s="2893"/>
      <c r="R4" s="2025"/>
      <c r="S4" s="2896"/>
      <c r="T4" s="2897"/>
      <c r="U4" s="2025"/>
      <c r="V4" s="2898"/>
      <c r="W4" s="2025"/>
      <c r="X4" s="2893"/>
      <c r="Y4" s="2026"/>
      <c r="Z4" s="2899"/>
      <c r="AA4" s="2900"/>
      <c r="AB4" s="2026"/>
      <c r="AC4" s="2901"/>
      <c r="AD4" s="2026"/>
    </row>
    <row r="5" spans="1:30" s="2043" customFormat="1" ht="12.75">
      <c r="A5" s="2902" t="s">
        <v>3360</v>
      </c>
      <c r="B5" s="2029">
        <v>2023</v>
      </c>
      <c r="C5" s="2040">
        <v>4</v>
      </c>
      <c r="D5" s="2005">
        <v>0</v>
      </c>
      <c r="E5" s="2005">
        <v>0</v>
      </c>
      <c r="F5" s="2005">
        <v>0</v>
      </c>
      <c r="G5" s="2005">
        <v>0</v>
      </c>
      <c r="H5" s="2005">
        <v>0</v>
      </c>
      <c r="I5" s="2006">
        <f t="shared" ref="I5:I16" si="4">F5</f>
        <v>0</v>
      </c>
      <c r="J5" s="2903"/>
      <c r="K5" s="2041">
        <f t="shared" ref="K5:O16" si="5">D5/100</f>
        <v>0</v>
      </c>
      <c r="L5" s="2026">
        <f t="shared" si="5"/>
        <v>0</v>
      </c>
      <c r="M5" s="2026">
        <f t="shared" si="5"/>
        <v>0</v>
      </c>
      <c r="N5" s="2026">
        <f t="shared" si="5"/>
        <v>0</v>
      </c>
      <c r="O5" s="2026">
        <f t="shared" si="5"/>
        <v>0</v>
      </c>
      <c r="P5" s="2026">
        <f>M5</f>
        <v>0</v>
      </c>
      <c r="Q5" s="2903"/>
      <c r="R5" s="2025">
        <f>ROUND(IF(项目基本情况!$B$8="出让",SUMPRODUCT(PRODUCT(1+K5:$K$16)),SUMPRODUCT(PRODUCT(1+K5:$K$15))),4)</f>
        <v>1.0565</v>
      </c>
      <c r="S5" s="2025">
        <f>ROUND(IF(项目基本情况!$B$8="出让",SUMPRODUCT(PRODUCT(1+L5:$L$16)),SUMPRODUCT(PRODUCT(1+L5:$L$15))),4)</f>
        <v>1.0250999999999999</v>
      </c>
      <c r="T5" s="2025">
        <f>ROUND(IF(项目基本情况!$B$8="出让",SUMPRODUCT(PRODUCT(1+M5:$M$16)),SUMPRODUCT(PRODUCT(1+M5:$M$15))),4)</f>
        <v>1.0145</v>
      </c>
      <c r="U5" s="2025">
        <f>ROUND(IF(项目基本情况!$B$8="出让",SUMPRODUCT(PRODUCT(1+N5:$N$16)),SUMPRODUCT(PRODUCT(1+N5:$N$15))),4)</f>
        <v>1.0618000000000001</v>
      </c>
      <c r="V5" s="2025">
        <f>ROUND(IF(项目基本情况!$B$8="出让",SUMPRODUCT(PRODUCT(1+O5:$O$16)),SUMPRODUCT(PRODUCT(1+O5:$O$15))),4)</f>
        <v>1.0502</v>
      </c>
      <c r="W5" s="2025">
        <f>T5</f>
        <v>1.0145</v>
      </c>
      <c r="X5" s="2903"/>
      <c r="Y5" s="2026">
        <f>IF(D5=0,0,ROUND(AVERAGE(D5:D16)/100,4))</f>
        <v>0</v>
      </c>
      <c r="Z5" s="2026">
        <f t="shared" ref="Z5:AC5" si="6">IF(E5=0,0,ROUND(AVERAGE(E5:E16)/100,4))</f>
        <v>0</v>
      </c>
      <c r="AA5" s="2026">
        <f t="shared" si="6"/>
        <v>0</v>
      </c>
      <c r="AB5" s="2026">
        <f t="shared" si="6"/>
        <v>0</v>
      </c>
      <c r="AC5" s="2026">
        <f t="shared" si="6"/>
        <v>0</v>
      </c>
      <c r="AD5" s="2026">
        <f t="shared" ref="AD5:AD15" si="7">AA5</f>
        <v>0</v>
      </c>
    </row>
    <row r="6" spans="1:30" s="2043" customFormat="1" ht="12.75">
      <c r="A6" s="2902" t="s">
        <v>3361</v>
      </c>
      <c r="B6" s="2029">
        <v>2023</v>
      </c>
      <c r="C6" s="2040">
        <v>3</v>
      </c>
      <c r="D6" s="2005">
        <v>0</v>
      </c>
      <c r="E6" s="2005">
        <v>0</v>
      </c>
      <c r="F6" s="2005">
        <v>0</v>
      </c>
      <c r="G6" s="2005">
        <v>0</v>
      </c>
      <c r="H6" s="2005">
        <v>0</v>
      </c>
      <c r="I6" s="2006">
        <f t="shared" si="4"/>
        <v>0</v>
      </c>
      <c r="J6" s="2903"/>
      <c r="K6" s="2041">
        <f t="shared" ref="K6:K8" si="8">D6/100</f>
        <v>0</v>
      </c>
      <c r="L6" s="2026">
        <f t="shared" ref="L6:L8" si="9">E6/100</f>
        <v>0</v>
      </c>
      <c r="M6" s="2026">
        <f t="shared" ref="M6:M8" si="10">F6/100</f>
        <v>0</v>
      </c>
      <c r="N6" s="2026">
        <f t="shared" ref="N6:N8" si="11">G6/100</f>
        <v>0</v>
      </c>
      <c r="O6" s="2026">
        <f t="shared" ref="O6:O8" si="12">H6/100</f>
        <v>0</v>
      </c>
      <c r="P6" s="2026">
        <f t="shared" ref="P6:P8" si="13">M6</f>
        <v>0</v>
      </c>
      <c r="Q6" s="2903"/>
      <c r="R6" s="2025">
        <f>ROUND(IF(项目基本情况!$B$8="出让",SUMPRODUCT(PRODUCT(1+K6:$K$16)),SUMPRODUCT(PRODUCT(1+K6:$K$15))),4)</f>
        <v>1.0565</v>
      </c>
      <c r="S6" s="2025">
        <f>ROUND(IF(项目基本情况!$B$8="出让",SUMPRODUCT(PRODUCT(1+L6:$L$16)),SUMPRODUCT(PRODUCT(1+L6:$L$15))),4)</f>
        <v>1.0250999999999999</v>
      </c>
      <c r="T6" s="2025">
        <f>ROUND(IF(项目基本情况!$B$8="出让",SUMPRODUCT(PRODUCT(1+M6:$M$16)),SUMPRODUCT(PRODUCT(1+M6:$M$15))),4)</f>
        <v>1.0145</v>
      </c>
      <c r="U6" s="2025">
        <f>ROUND(IF(项目基本情况!$B$8="出让",SUMPRODUCT(PRODUCT(1+N6:$N$16)),SUMPRODUCT(PRODUCT(1+N6:$N$15))),4)</f>
        <v>1.0618000000000001</v>
      </c>
      <c r="V6" s="2025">
        <f>ROUND(IF(项目基本情况!$B$8="出让",SUMPRODUCT(PRODUCT(1+O6:$O$16)),SUMPRODUCT(PRODUCT(1+O6:$O$15))),4)</f>
        <v>1.0502</v>
      </c>
      <c r="W6" s="2025">
        <f t="shared" ref="W6:W8" si="14">T6</f>
        <v>1.0145</v>
      </c>
      <c r="X6" s="2903"/>
      <c r="Y6" s="2026"/>
      <c r="Z6" s="2026"/>
      <c r="AA6" s="2026"/>
      <c r="AB6" s="2026"/>
      <c r="AC6" s="2026"/>
      <c r="AD6" s="2026"/>
    </row>
    <row r="7" spans="1:30" s="2043" customFormat="1" ht="12.75">
      <c r="A7" s="2902" t="s">
        <v>3359</v>
      </c>
      <c r="B7" s="2029">
        <v>2023</v>
      </c>
      <c r="C7" s="2040">
        <v>2</v>
      </c>
      <c r="D7" s="2005">
        <v>0</v>
      </c>
      <c r="E7" s="2005">
        <v>0</v>
      </c>
      <c r="F7" s="2005">
        <v>0</v>
      </c>
      <c r="G7" s="2005">
        <v>0</v>
      </c>
      <c r="H7" s="2005">
        <v>0</v>
      </c>
      <c r="I7" s="2006">
        <f t="shared" si="4"/>
        <v>0</v>
      </c>
      <c r="J7" s="2903"/>
      <c r="K7" s="2041">
        <f t="shared" si="8"/>
        <v>0</v>
      </c>
      <c r="L7" s="2026">
        <f t="shared" si="9"/>
        <v>0</v>
      </c>
      <c r="M7" s="2026">
        <f t="shared" si="10"/>
        <v>0</v>
      </c>
      <c r="N7" s="2026">
        <f t="shared" si="11"/>
        <v>0</v>
      </c>
      <c r="O7" s="2026">
        <f t="shared" si="12"/>
        <v>0</v>
      </c>
      <c r="P7" s="2026">
        <f t="shared" si="13"/>
        <v>0</v>
      </c>
      <c r="Q7" s="2903"/>
      <c r="R7" s="2025">
        <f>ROUND(IF(项目基本情况!$B$8="出让",SUMPRODUCT(PRODUCT(1+K7:$K$16)),SUMPRODUCT(PRODUCT(1+K7:$K$15))),4)</f>
        <v>1.0565</v>
      </c>
      <c r="S7" s="2025">
        <f>ROUND(IF(项目基本情况!$B$8="出让",SUMPRODUCT(PRODUCT(1+L7:$L$16)),SUMPRODUCT(PRODUCT(1+L7:$L$15))),4)</f>
        <v>1.0250999999999999</v>
      </c>
      <c r="T7" s="2025">
        <f>ROUND(IF(项目基本情况!$B$8="出让",SUMPRODUCT(PRODUCT(1+M7:$M$16)),SUMPRODUCT(PRODUCT(1+M7:$M$15))),4)</f>
        <v>1.0145</v>
      </c>
      <c r="U7" s="2025">
        <f>ROUND(IF(项目基本情况!$B$8="出让",SUMPRODUCT(PRODUCT(1+N7:$N$16)),SUMPRODUCT(PRODUCT(1+N7:$N$15))),4)</f>
        <v>1.0618000000000001</v>
      </c>
      <c r="V7" s="2025">
        <f>ROUND(IF(项目基本情况!$B$8="出让",SUMPRODUCT(PRODUCT(1+O7:$O$16)),SUMPRODUCT(PRODUCT(1+O7:$O$15))),4)</f>
        <v>1.0502</v>
      </c>
      <c r="W7" s="2025">
        <f t="shared" si="14"/>
        <v>1.0145</v>
      </c>
      <c r="X7" s="2903"/>
      <c r="Y7" s="2026"/>
      <c r="Z7" s="2026"/>
      <c r="AA7" s="2026"/>
      <c r="AB7" s="2026"/>
      <c r="AC7" s="2026"/>
      <c r="AD7" s="2026"/>
    </row>
    <row r="8" spans="1:30" s="2043" customFormat="1" ht="12.75">
      <c r="A8" s="2902" t="s">
        <v>2807</v>
      </c>
      <c r="B8" s="2029">
        <v>2023</v>
      </c>
      <c r="C8" s="2040">
        <v>1</v>
      </c>
      <c r="D8" s="2005">
        <v>0</v>
      </c>
      <c r="E8" s="2005">
        <v>0</v>
      </c>
      <c r="F8" s="2005">
        <v>0</v>
      </c>
      <c r="G8" s="2005">
        <v>0</v>
      </c>
      <c r="H8" s="2005">
        <v>0</v>
      </c>
      <c r="I8" s="2006">
        <f t="shared" si="4"/>
        <v>0</v>
      </c>
      <c r="J8" s="2903"/>
      <c r="K8" s="2041">
        <f t="shared" si="8"/>
        <v>0</v>
      </c>
      <c r="L8" s="2026">
        <f t="shared" si="9"/>
        <v>0</v>
      </c>
      <c r="M8" s="2026">
        <f t="shared" si="10"/>
        <v>0</v>
      </c>
      <c r="N8" s="2026">
        <f t="shared" si="11"/>
        <v>0</v>
      </c>
      <c r="O8" s="2026">
        <f t="shared" si="12"/>
        <v>0</v>
      </c>
      <c r="P8" s="2026">
        <f t="shared" si="13"/>
        <v>0</v>
      </c>
      <c r="Q8" s="2903"/>
      <c r="R8" s="2025">
        <f>ROUND(IF(项目基本情况!$B$8="出让",SUMPRODUCT(PRODUCT(1+K8:$K$16)),SUMPRODUCT(PRODUCT(1+K8:$K$15))),4)</f>
        <v>1.0565</v>
      </c>
      <c r="S8" s="2025">
        <f>ROUND(IF(项目基本情况!$B$8="出让",SUMPRODUCT(PRODUCT(1+L8:$L$16)),SUMPRODUCT(PRODUCT(1+L8:$L$15))),4)</f>
        <v>1.0250999999999999</v>
      </c>
      <c r="T8" s="2025">
        <f>ROUND(IF(项目基本情况!$B$8="出让",SUMPRODUCT(PRODUCT(1+M8:$M$16)),SUMPRODUCT(PRODUCT(1+M8:$M$15))),4)</f>
        <v>1.0145</v>
      </c>
      <c r="U8" s="2025">
        <f>ROUND(IF(项目基本情况!$B$8="出让",SUMPRODUCT(PRODUCT(1+N8:$N$16)),SUMPRODUCT(PRODUCT(1+N8:$N$15))),4)</f>
        <v>1.0618000000000001</v>
      </c>
      <c r="V8" s="2025">
        <f>ROUND(IF(项目基本情况!$B$8="出让",SUMPRODUCT(PRODUCT(1+O8:$O$16)),SUMPRODUCT(PRODUCT(1+O8:$O$15))),4)</f>
        <v>1.0502</v>
      </c>
      <c r="W8" s="2025">
        <f t="shared" si="14"/>
        <v>1.0145</v>
      </c>
      <c r="X8" s="2903"/>
      <c r="Y8" s="2026"/>
      <c r="Z8" s="2026"/>
      <c r="AA8" s="2026"/>
      <c r="AB8" s="2026"/>
      <c r="AC8" s="2026"/>
      <c r="AD8" s="2026"/>
    </row>
    <row r="9" spans="1:30" s="2913" customFormat="1" ht="12.75">
      <c r="A9" s="2904" t="s">
        <v>2808</v>
      </c>
      <c r="B9" s="2905">
        <v>2022</v>
      </c>
      <c r="C9" s="2906">
        <v>4</v>
      </c>
      <c r="D9" s="2907">
        <v>0.62</v>
      </c>
      <c r="E9" s="2907">
        <v>0.2</v>
      </c>
      <c r="F9" s="2907">
        <v>0.11</v>
      </c>
      <c r="G9" s="2907">
        <v>0.69</v>
      </c>
      <c r="H9" s="2908">
        <v>0.53</v>
      </c>
      <c r="I9" s="2909">
        <f t="shared" si="4"/>
        <v>0.11</v>
      </c>
      <c r="J9" s="2910"/>
      <c r="K9" s="2911">
        <f t="shared" si="5"/>
        <v>6.1999999999999998E-3</v>
      </c>
      <c r="L9" s="2912">
        <f t="shared" si="5"/>
        <v>2E-3</v>
      </c>
      <c r="M9" s="2912">
        <f t="shared" si="5"/>
        <v>1.1000000000000001E-3</v>
      </c>
      <c r="N9" s="2912">
        <f t="shared" si="5"/>
        <v>6.8999999999999999E-3</v>
      </c>
      <c r="O9" s="2912">
        <f t="shared" si="5"/>
        <v>5.3E-3</v>
      </c>
      <c r="P9" s="2912">
        <f t="shared" ref="P9:P16" si="15">M9</f>
        <v>1.1000000000000001E-3</v>
      </c>
      <c r="Q9" s="2910"/>
      <c r="R9" s="2910">
        <f>ROUND(IF([2]项目基本情况!B8="出让",SUMPRODUCT(PRODUCT(1+K9:K16)),SUMPRODUCT(PRODUCT(1+K9:K15))),4)</f>
        <v>1.0565</v>
      </c>
      <c r="S9" s="2910">
        <f>ROUND(IF([2]项目基本情况!B8="出让",SUMPRODUCT(PRODUCT(1+L9:L16)),SUMPRODUCT(PRODUCT(1+L9:L15))),4)</f>
        <v>1.0250999999999999</v>
      </c>
      <c r="T9" s="2910">
        <f>ROUND(IF([2]项目基本情况!B8="出让",SUMPRODUCT(PRODUCT(1+M9:M16)),SUMPRODUCT(PRODUCT(1+M9:M15))),4)</f>
        <v>1.0145</v>
      </c>
      <c r="U9" s="2910">
        <f>ROUND(IF([2]项目基本情况!B8="出让",SUMPRODUCT(PRODUCT(1+N9:N16)),SUMPRODUCT(PRODUCT(1+N9:N15))),4)</f>
        <v>1.0618000000000001</v>
      </c>
      <c r="V9" s="2910">
        <f>ROUND(IF([2]项目基本情况!B8="出让",SUMPRODUCT(PRODUCT(1+O9:O16)),SUMPRODUCT(PRODUCT(1+O9:O15))),4)</f>
        <v>1.0502</v>
      </c>
      <c r="W9" s="2910">
        <f t="shared" ref="W9:W16" si="16">T9</f>
        <v>1.0145</v>
      </c>
      <c r="X9" s="2910"/>
      <c r="Y9" s="2912">
        <f>IF(D9=0,0,ROUND(AVERAGE(D9:D17)/100,4))</f>
        <v>8.0999999999999996E-3</v>
      </c>
      <c r="Z9" s="2912">
        <f t="shared" ref="Z9:AC9" si="17">IF(E9=0,0,ROUND(AVERAGE(E9:E16)/100,4))</f>
        <v>3.3E-3</v>
      </c>
      <c r="AA9" s="2912">
        <f t="shared" si="17"/>
        <v>1.5E-3</v>
      </c>
      <c r="AB9" s="2912">
        <f t="shared" si="17"/>
        <v>8.8999999999999999E-3</v>
      </c>
      <c r="AC9" s="2912">
        <f t="shared" si="17"/>
        <v>6.6E-3</v>
      </c>
      <c r="AD9" s="2912">
        <f t="shared" si="7"/>
        <v>1.5E-3</v>
      </c>
    </row>
    <row r="10" spans="1:30" s="2043" customFormat="1" ht="12.75">
      <c r="A10" s="2902" t="s">
        <v>3354</v>
      </c>
      <c r="B10" s="2029">
        <v>2022</v>
      </c>
      <c r="C10" s="2040">
        <v>3</v>
      </c>
      <c r="D10" s="2005">
        <v>0.66</v>
      </c>
      <c r="E10" s="2005">
        <v>0.32</v>
      </c>
      <c r="F10" s="2005">
        <v>0.23</v>
      </c>
      <c r="G10" s="2005">
        <v>0.72</v>
      </c>
      <c r="H10" s="2914">
        <v>0.63</v>
      </c>
      <c r="I10" s="2006">
        <f t="shared" si="4"/>
        <v>0.23</v>
      </c>
      <c r="J10" s="2903"/>
      <c r="K10" s="2041">
        <f t="shared" si="5"/>
        <v>6.6E-3</v>
      </c>
      <c r="L10" s="2026">
        <f t="shared" si="5"/>
        <v>3.2000000000000002E-3</v>
      </c>
      <c r="M10" s="2026">
        <f t="shared" si="5"/>
        <v>2.3E-3</v>
      </c>
      <c r="N10" s="2026">
        <f t="shared" si="5"/>
        <v>7.1999999999999998E-3</v>
      </c>
      <c r="O10" s="2026">
        <f t="shared" si="5"/>
        <v>6.3E-3</v>
      </c>
      <c r="P10" s="2026">
        <f t="shared" si="15"/>
        <v>2.3E-3</v>
      </c>
      <c r="Q10" s="2903"/>
      <c r="R10" s="2025">
        <f>ROUND(IF([2]项目基本情况!B8="出让",SUMPRODUCT(PRODUCT(1+K10:K16)),SUMPRODUCT(PRODUCT(1+K10:K15))),4)</f>
        <v>1.05</v>
      </c>
      <c r="S10" s="2025">
        <f>ROUND(IF([2]项目基本情况!B8="出让",SUMPRODUCT(PRODUCT(1+L10:L16)),SUMPRODUCT(PRODUCT(1+L10:L15))),4)</f>
        <v>1.0229999999999999</v>
      </c>
      <c r="T10" s="2025">
        <f>ROUND(IF([2]项目基本情况!B8="出让",SUMPRODUCT(PRODUCT(1+M10:M16)),SUMPRODUCT(PRODUCT(1+M10:M15))),4)</f>
        <v>1.0134000000000001</v>
      </c>
      <c r="U10" s="2025">
        <f>ROUND(IF([2]项目基本情况!B8="出让",SUMPRODUCT(PRODUCT(1+N10:N16)),SUMPRODUCT(PRODUCT(1+N10:N15))),4)</f>
        <v>1.0545</v>
      </c>
      <c r="V10" s="2025">
        <f>ROUND(IF([2]项目基本情况!B8="出让",SUMPRODUCT(PRODUCT(1+O10:O16)),SUMPRODUCT(PRODUCT(1+O10:O15))),4)</f>
        <v>1.0447</v>
      </c>
      <c r="W10" s="2025">
        <f t="shared" si="16"/>
        <v>1.0134000000000001</v>
      </c>
      <c r="X10" s="2903"/>
      <c r="Y10" s="2026">
        <f>IF(D10=0,0,ROUND(AVERAGE(D10:D16)/100,4))</f>
        <v>8.3999999999999995E-3</v>
      </c>
      <c r="Z10" s="2026">
        <f t="shared" ref="Z10:AC10" si="18">IF(E10=0,0,ROUND(AVERAGE(E10:E16)/100,4))</f>
        <v>3.5000000000000001E-3</v>
      </c>
      <c r="AA10" s="2026">
        <f t="shared" si="18"/>
        <v>1.5E-3</v>
      </c>
      <c r="AB10" s="2026">
        <f t="shared" si="18"/>
        <v>9.1999999999999998E-3</v>
      </c>
      <c r="AC10" s="2026">
        <f t="shared" si="18"/>
        <v>6.7999999999999996E-3</v>
      </c>
      <c r="AD10" s="2026">
        <f t="shared" si="7"/>
        <v>1.5E-3</v>
      </c>
    </row>
    <row r="11" spans="1:30" s="2043" customFormat="1" ht="12.75">
      <c r="A11" s="2902" t="s">
        <v>3345</v>
      </c>
      <c r="B11" s="2029">
        <v>2022</v>
      </c>
      <c r="C11" s="2040">
        <v>2</v>
      </c>
      <c r="D11" s="2005">
        <v>0.93</v>
      </c>
      <c r="E11" s="2005">
        <v>0.15</v>
      </c>
      <c r="F11" s="2005">
        <v>0.01</v>
      </c>
      <c r="G11" s="2005">
        <v>1.05</v>
      </c>
      <c r="H11" s="2914">
        <v>1.08</v>
      </c>
      <c r="I11" s="2006">
        <f t="shared" si="4"/>
        <v>0.01</v>
      </c>
      <c r="J11" s="2903"/>
      <c r="K11" s="2041">
        <f t="shared" si="5"/>
        <v>9.300000000000001E-3</v>
      </c>
      <c r="L11" s="2026">
        <f t="shared" si="5"/>
        <v>1.5E-3</v>
      </c>
      <c r="M11" s="2026">
        <f t="shared" si="5"/>
        <v>1E-4</v>
      </c>
      <c r="N11" s="2026">
        <f t="shared" si="5"/>
        <v>1.0500000000000001E-2</v>
      </c>
      <c r="O11" s="2026">
        <f t="shared" si="5"/>
        <v>1.0800000000000001E-2</v>
      </c>
      <c r="P11" s="2026">
        <f t="shared" si="15"/>
        <v>1E-4</v>
      </c>
      <c r="Q11" s="2903"/>
      <c r="R11" s="2025">
        <f>ROUND(IF([2]项目基本情况!B8="出让",SUMPRODUCT(PRODUCT(1+K11:K16)),SUMPRODUCT(PRODUCT(1+K11:K15))),4)</f>
        <v>1.0430999999999999</v>
      </c>
      <c r="S11" s="2025">
        <f>ROUND(IF([2]项目基本情况!B8="出让",SUMPRODUCT(PRODUCT(1+L11:L16)),SUMPRODUCT(PRODUCT(1+L11:L15))),4)</f>
        <v>1.0197000000000001</v>
      </c>
      <c r="T11" s="2025">
        <f>ROUND(IF([2]项目基本情况!B8="出让",SUMPRODUCT(PRODUCT(1+M11:M16)),SUMPRODUCT(PRODUCT(1+M11:M15))),4)</f>
        <v>1.0109999999999999</v>
      </c>
      <c r="U11" s="2025">
        <f>ROUND(IF([2]项目基本情况!B8="出让",SUMPRODUCT(PRODUCT(1+N11:N16)),SUMPRODUCT(PRODUCT(1+N11:N15))),4)</f>
        <v>1.0468999999999999</v>
      </c>
      <c r="V11" s="2025">
        <f>ROUND(IF([2]项目基本情况!B8="出让",SUMPRODUCT(PRODUCT(1+O11:O16)),SUMPRODUCT(PRODUCT(1+O11:O15))),4)</f>
        <v>1.0382</v>
      </c>
      <c r="W11" s="2025">
        <f t="shared" si="16"/>
        <v>1.0109999999999999</v>
      </c>
      <c r="X11" s="2903"/>
      <c r="Y11" s="2026">
        <f>IF(D11=0,0,ROUND(AVERAGE(D11:D16)/100,4))</f>
        <v>8.6999999999999994E-3</v>
      </c>
      <c r="Z11" s="2026">
        <f t="shared" ref="Z11:AC11" si="19">IF(E11=0,0,ROUND(AVERAGE(E11:E16)/100,4))</f>
        <v>3.5000000000000001E-3</v>
      </c>
      <c r="AA11" s="2026">
        <f t="shared" si="19"/>
        <v>1.4E-3</v>
      </c>
      <c r="AB11" s="2026">
        <f t="shared" si="19"/>
        <v>9.4999999999999998E-3</v>
      </c>
      <c r="AC11" s="2026">
        <f t="shared" si="19"/>
        <v>6.8999999999999999E-3</v>
      </c>
      <c r="AD11" s="2026">
        <f t="shared" si="7"/>
        <v>1.4E-3</v>
      </c>
    </row>
    <row r="12" spans="1:30" s="2043" customFormat="1" ht="12.75">
      <c r="A12" s="2902" t="s">
        <v>2809</v>
      </c>
      <c r="B12" s="2029">
        <v>2022</v>
      </c>
      <c r="C12" s="2040">
        <v>1</v>
      </c>
      <c r="D12" s="2005">
        <v>0.89</v>
      </c>
      <c r="E12" s="2005">
        <v>0.44</v>
      </c>
      <c r="F12" s="2005">
        <v>0.37</v>
      </c>
      <c r="G12" s="2005">
        <v>0.96</v>
      </c>
      <c r="H12" s="2914">
        <v>0.64</v>
      </c>
      <c r="I12" s="2006">
        <f t="shared" si="4"/>
        <v>0.37</v>
      </c>
      <c r="J12" s="2903"/>
      <c r="K12" s="2041">
        <f t="shared" si="5"/>
        <v>8.8999999999999999E-3</v>
      </c>
      <c r="L12" s="2026">
        <f t="shared" si="5"/>
        <v>4.4000000000000003E-3</v>
      </c>
      <c r="M12" s="2026">
        <f t="shared" si="5"/>
        <v>3.7000000000000002E-3</v>
      </c>
      <c r="N12" s="2026">
        <f t="shared" si="5"/>
        <v>9.5999999999999992E-3</v>
      </c>
      <c r="O12" s="2026">
        <f t="shared" si="5"/>
        <v>6.4000000000000003E-3</v>
      </c>
      <c r="P12" s="2026">
        <f t="shared" si="15"/>
        <v>3.7000000000000002E-3</v>
      </c>
      <c r="Q12" s="2903"/>
      <c r="R12" s="2025">
        <f>ROUND(IF([2]项目基本情况!B8="出让",SUMPRODUCT(PRODUCT(1+K12:K16)),SUMPRODUCT(PRODUCT(1+K12:K15))),4)</f>
        <v>1.0335000000000001</v>
      </c>
      <c r="S12" s="2025">
        <f>ROUND(IF([2]项目基本情况!B8="出让",SUMPRODUCT(PRODUCT(1+L12:L16)),SUMPRODUCT(PRODUCT(1+L12:L15))),4)</f>
        <v>1.0182</v>
      </c>
      <c r="T12" s="2025">
        <f>ROUND(IF([2]项目基本情况!B8="出让",SUMPRODUCT(PRODUCT(1+M12:M16)),SUMPRODUCT(PRODUCT(1+M12:M15))),4)</f>
        <v>1.0108999999999999</v>
      </c>
      <c r="U12" s="2025">
        <f>ROUND(IF([2]项目基本情况!B8="出让",SUMPRODUCT(PRODUCT(1+N12:N16)),SUMPRODUCT(PRODUCT(1+N12:N15))),4)</f>
        <v>1.0361</v>
      </c>
      <c r="V12" s="2025">
        <f>ROUND(IF([2]项目基本情况!B8="出让",SUMPRODUCT(PRODUCT(1+O12:O16)),SUMPRODUCT(PRODUCT(1+O12:O15))),4)</f>
        <v>1.0270999999999999</v>
      </c>
      <c r="W12" s="2025">
        <f t="shared" si="16"/>
        <v>1.0108999999999999</v>
      </c>
      <c r="X12" s="2903"/>
      <c r="Y12" s="2026">
        <f>IF(D12=0,0,ROUND(AVERAGE(D12:D16)/100,4))</f>
        <v>8.6E-3</v>
      </c>
      <c r="Z12" s="2026">
        <f t="shared" ref="Z12:AC12" si="20">IF(E12=0,0,ROUND(AVERAGE(E12:E16)/100,4))</f>
        <v>3.8999999999999998E-3</v>
      </c>
      <c r="AA12" s="2026">
        <f t="shared" si="20"/>
        <v>1.6999999999999999E-3</v>
      </c>
      <c r="AB12" s="2026">
        <f t="shared" si="20"/>
        <v>9.2999999999999992E-3</v>
      </c>
      <c r="AC12" s="2026">
        <f t="shared" si="20"/>
        <v>6.1000000000000004E-3</v>
      </c>
      <c r="AD12" s="2026">
        <f t="shared" si="7"/>
        <v>1.6999999999999999E-3</v>
      </c>
    </row>
    <row r="13" spans="1:30" s="2043" customFormat="1" ht="12.75">
      <c r="A13" s="2902" t="s">
        <v>2810</v>
      </c>
      <c r="B13" s="2029">
        <v>2021</v>
      </c>
      <c r="C13" s="2040">
        <v>4</v>
      </c>
      <c r="D13" s="2005">
        <v>1.03</v>
      </c>
      <c r="E13" s="2005">
        <v>0.24</v>
      </c>
      <c r="F13" s="2005">
        <v>7.0000000000000007E-2</v>
      </c>
      <c r="G13" s="2005">
        <v>1.17</v>
      </c>
      <c r="H13" s="2914">
        <v>0.55000000000000004</v>
      </c>
      <c r="I13" s="2006">
        <f t="shared" si="4"/>
        <v>7.0000000000000007E-2</v>
      </c>
      <c r="J13" s="2903"/>
      <c r="K13" s="2041">
        <f t="shared" si="5"/>
        <v>1.03E-2</v>
      </c>
      <c r="L13" s="2026">
        <f t="shared" si="5"/>
        <v>2.3999999999999998E-3</v>
      </c>
      <c r="M13" s="2026">
        <f t="shared" si="5"/>
        <v>7.000000000000001E-4</v>
      </c>
      <c r="N13" s="2026">
        <f t="shared" si="5"/>
        <v>1.1699999999999999E-2</v>
      </c>
      <c r="O13" s="2026">
        <f t="shared" si="5"/>
        <v>5.5000000000000005E-3</v>
      </c>
      <c r="P13" s="2026">
        <f t="shared" si="15"/>
        <v>7.000000000000001E-4</v>
      </c>
      <c r="Q13" s="2903"/>
      <c r="R13" s="2025">
        <f>ROUND(IF([2]项目基本情况!B8="出让",SUMPRODUCT(PRODUCT(1+K13:K16)),SUMPRODUCT(PRODUCT(1+K13:K15))),4)</f>
        <v>1.0244</v>
      </c>
      <c r="S13" s="2025">
        <f>ROUND(IF([2]项目基本情况!B8="出让",SUMPRODUCT(PRODUCT(1+L13:L16)),SUMPRODUCT(PRODUCT(1+L13:L15))),4)</f>
        <v>1.0138</v>
      </c>
      <c r="T13" s="2025">
        <f>ROUND(IF([2]项目基本情况!B8="出让",SUMPRODUCT(PRODUCT(1+M13:M16)),SUMPRODUCT(PRODUCT(1+M13:M15))),4)</f>
        <v>1.0072000000000001</v>
      </c>
      <c r="U13" s="2025">
        <f>ROUND(IF([2]项目基本情况!B8="出让",SUMPRODUCT(PRODUCT(1+N13:N16)),SUMPRODUCT(PRODUCT(1+N13:N15))),4)</f>
        <v>1.0262</v>
      </c>
      <c r="V13" s="2025">
        <f>ROUND(IF([2]项目基本情况!B8="出让",SUMPRODUCT(PRODUCT(1+O13:O16)),SUMPRODUCT(PRODUCT(1+O13:O15))),4)</f>
        <v>1.0205</v>
      </c>
      <c r="W13" s="2025">
        <f t="shared" si="16"/>
        <v>1.0072000000000001</v>
      </c>
      <c r="X13" s="2903"/>
      <c r="Y13" s="2026">
        <f>IF(D13=0,0,ROUND(AVERAGE(D13:D16)/100,4))</f>
        <v>8.5000000000000006E-3</v>
      </c>
      <c r="Z13" s="2026">
        <f t="shared" ref="Z13:AC13" si="21">IF(E13=0,0,ROUND(AVERAGE(E13:E16)/100,4))</f>
        <v>3.8E-3</v>
      </c>
      <c r="AA13" s="2026">
        <f t="shared" si="21"/>
        <v>1.1999999999999999E-3</v>
      </c>
      <c r="AB13" s="2026">
        <f t="shared" si="21"/>
        <v>9.2999999999999992E-3</v>
      </c>
      <c r="AC13" s="2026">
        <f t="shared" si="21"/>
        <v>6.0000000000000001E-3</v>
      </c>
      <c r="AD13" s="2026">
        <f t="shared" si="7"/>
        <v>1.1999999999999999E-3</v>
      </c>
    </row>
    <row r="14" spans="1:30" s="2043" customFormat="1" ht="12.75">
      <c r="A14" s="2902" t="s">
        <v>2811</v>
      </c>
      <c r="B14" s="2029">
        <v>2021</v>
      </c>
      <c r="C14" s="2040">
        <v>3</v>
      </c>
      <c r="D14" s="2005">
        <v>0.47</v>
      </c>
      <c r="E14" s="2005">
        <v>0.41</v>
      </c>
      <c r="F14" s="2005">
        <v>0.24</v>
      </c>
      <c r="G14" s="2005">
        <v>0.48</v>
      </c>
      <c r="H14" s="2914">
        <v>0.48</v>
      </c>
      <c r="I14" s="2006">
        <f t="shared" si="4"/>
        <v>0.24</v>
      </c>
      <c r="J14" s="2903"/>
      <c r="K14" s="2041">
        <f t="shared" si="5"/>
        <v>4.6999999999999993E-3</v>
      </c>
      <c r="L14" s="2026">
        <f t="shared" si="5"/>
        <v>4.0999999999999995E-3</v>
      </c>
      <c r="M14" s="2026">
        <f t="shared" si="5"/>
        <v>2.3999999999999998E-3</v>
      </c>
      <c r="N14" s="2026">
        <f t="shared" si="5"/>
        <v>4.7999999999999996E-3</v>
      </c>
      <c r="O14" s="2026">
        <f t="shared" si="5"/>
        <v>4.7999999999999996E-3</v>
      </c>
      <c r="P14" s="2026">
        <f t="shared" si="15"/>
        <v>2.3999999999999998E-3</v>
      </c>
      <c r="Q14" s="2903"/>
      <c r="R14" s="2025">
        <f>ROUND(IF([2]项目基本情况!B8="出让",SUMPRODUCT(PRODUCT(1+K14:K16)),SUMPRODUCT(PRODUCT(1+K14:K15))),4)</f>
        <v>1.0139</v>
      </c>
      <c r="S14" s="2025">
        <f>ROUND(IF([2]项目基本情况!B8="出让",SUMPRODUCT(PRODUCT(1+L14:L16)),SUMPRODUCT(PRODUCT(1+L14:L15))),4)</f>
        <v>1.0113000000000001</v>
      </c>
      <c r="T14" s="2025">
        <f>ROUND(IF([2]项目基本情况!B8="出让",SUMPRODUCT(PRODUCT(1+M14:M16)),SUMPRODUCT(PRODUCT(1+M14:M15))),4)</f>
        <v>1.0065</v>
      </c>
      <c r="U14" s="2025">
        <f>ROUND(IF([2]项目基本情况!B8="出让",SUMPRODUCT(PRODUCT(1+N14:N16)),SUMPRODUCT(PRODUCT(1+N14:N15))),4)</f>
        <v>1.0143</v>
      </c>
      <c r="V14" s="2025">
        <f>ROUND(IF([2]项目基本情况!B8="出让",SUMPRODUCT(PRODUCT(1+O14:O16)),SUMPRODUCT(PRODUCT(1+O14:O15))),4)</f>
        <v>1.0148999999999999</v>
      </c>
      <c r="W14" s="2025">
        <f t="shared" si="16"/>
        <v>1.0065</v>
      </c>
      <c r="X14" s="2903"/>
      <c r="Y14" s="2026">
        <f>IF(D14=0,0,ROUND(AVERAGE(D14:D16)/100,4))</f>
        <v>7.9000000000000008E-3</v>
      </c>
      <c r="Z14" s="2026">
        <f>IF(E14=0,0,ROUND(AVERAGE(E14:E16)/100,4))</f>
        <v>4.3E-3</v>
      </c>
      <c r="AA14" s="2026">
        <f>IF(F14=0,0,ROUND(AVERAGE(F14:F16)/100,4))</f>
        <v>1.2999999999999999E-3</v>
      </c>
      <c r="AB14" s="2026">
        <f>IF(G14=0,0,ROUND(AVERAGE(G14:G16)/100,4))</f>
        <v>8.5000000000000006E-3</v>
      </c>
      <c r="AC14" s="2026">
        <f>IF(H14=0,0,ROUND(AVERAGE(H14:H16)/100,4))</f>
        <v>6.1999999999999998E-3</v>
      </c>
      <c r="AD14" s="2026">
        <f t="shared" si="7"/>
        <v>1.2999999999999999E-3</v>
      </c>
    </row>
    <row r="15" spans="1:30" s="2043" customFormat="1" ht="12.75">
      <c r="A15" s="2902" t="s">
        <v>2812</v>
      </c>
      <c r="B15" s="2029">
        <v>2021</v>
      </c>
      <c r="C15" s="2040">
        <v>2</v>
      </c>
      <c r="D15" s="2005">
        <v>0.92</v>
      </c>
      <c r="E15" s="2005">
        <v>0.72</v>
      </c>
      <c r="F15" s="2005">
        <v>0.41</v>
      </c>
      <c r="G15" s="2005">
        <v>0.95</v>
      </c>
      <c r="H15" s="2914">
        <v>1.01</v>
      </c>
      <c r="I15" s="2006">
        <f t="shared" si="4"/>
        <v>0.41</v>
      </c>
      <c r="J15" s="2903"/>
      <c r="K15" s="2041">
        <f t="shared" si="5"/>
        <v>9.1999999999999998E-3</v>
      </c>
      <c r="L15" s="2026">
        <f t="shared" si="5"/>
        <v>7.1999999999999998E-3</v>
      </c>
      <c r="M15" s="2026">
        <f t="shared" si="5"/>
        <v>4.0999999999999995E-3</v>
      </c>
      <c r="N15" s="2026">
        <f t="shared" si="5"/>
        <v>9.4999999999999998E-3</v>
      </c>
      <c r="O15" s="2026">
        <f t="shared" si="5"/>
        <v>1.01E-2</v>
      </c>
      <c r="P15" s="2026">
        <f t="shared" si="15"/>
        <v>4.0999999999999995E-3</v>
      </c>
      <c r="Q15" s="2903"/>
      <c r="R15" s="2025">
        <f>ROUND(IF([2]项目基本情况!B8="出让",SUMPRODUCT(PRODUCT(1+K15:K16)),SUMPRODUCT(PRODUCT(1+K15:K15))),4)</f>
        <v>1.0092000000000001</v>
      </c>
      <c r="S15" s="2025">
        <f>ROUND(IF([2]项目基本情况!B8="出让",SUMPRODUCT(PRODUCT(1+L15:L16)),SUMPRODUCT(PRODUCT(1+L15:L15))),4)</f>
        <v>1.0072000000000001</v>
      </c>
      <c r="T15" s="2025">
        <f>ROUND(IF([2]项目基本情况!B8="出让",SUMPRODUCT(PRODUCT(1+M15:M16)),SUMPRODUCT(PRODUCT(1+M15:M15))),4)</f>
        <v>1.0041</v>
      </c>
      <c r="U15" s="2025">
        <f>ROUND(IF([2]项目基本情况!B8="出让",SUMPRODUCT(PRODUCT(1+N15:N16)),SUMPRODUCT(PRODUCT(1+N15:N15))),4)</f>
        <v>1.0095000000000001</v>
      </c>
      <c r="V15" s="2025">
        <f>ROUND(IF([2]项目基本情况!B8="出让",SUMPRODUCT(PRODUCT(1+O15:O16)),SUMPRODUCT(PRODUCT(1+O15:O15))),4)</f>
        <v>1.0101</v>
      </c>
      <c r="W15" s="2025">
        <f t="shared" si="16"/>
        <v>1.0041</v>
      </c>
      <c r="X15" s="2903"/>
      <c r="Y15" s="2026">
        <f>IF(D15=0,0,ROUND(AVERAGE(D15:D16)/100,4))</f>
        <v>9.4999999999999998E-3</v>
      </c>
      <c r="Z15" s="2026">
        <f>IF(E15=0,0,ROUND(AVERAGE(E15:E16)/100,4))</f>
        <v>4.4000000000000003E-3</v>
      </c>
      <c r="AA15" s="2026">
        <f>IF(F15=0,0,ROUND(AVERAGE(F15:F16)/100,4))</f>
        <v>8.0000000000000004E-4</v>
      </c>
      <c r="AB15" s="2026">
        <f>IF(G15=0,0,ROUND(AVERAGE(G15:G16)/100,4))</f>
        <v>1.03E-2</v>
      </c>
      <c r="AC15" s="2026">
        <f>IF(H15=0,0,ROUND(AVERAGE(H15:H16)/100,4))</f>
        <v>6.8999999999999999E-3</v>
      </c>
      <c r="AD15" s="2026">
        <f t="shared" si="7"/>
        <v>8.0000000000000004E-4</v>
      </c>
    </row>
    <row r="16" spans="1:30" s="2925" customFormat="1" thickBot="1">
      <c r="A16" s="2915" t="s">
        <v>2813</v>
      </c>
      <c r="B16" s="2916">
        <v>2021</v>
      </c>
      <c r="C16" s="2917">
        <v>1</v>
      </c>
      <c r="D16" s="2918">
        <v>0.97</v>
      </c>
      <c r="E16" s="2918">
        <v>0.16</v>
      </c>
      <c r="F16" s="2918">
        <v>-0.25</v>
      </c>
      <c r="G16" s="2918">
        <v>1.1100000000000001</v>
      </c>
      <c r="H16" s="2919">
        <v>0.36</v>
      </c>
      <c r="I16" s="2920">
        <f t="shared" si="4"/>
        <v>-0.25</v>
      </c>
      <c r="J16" s="2921"/>
      <c r="K16" s="2922">
        <f t="shared" si="5"/>
        <v>9.7000000000000003E-3</v>
      </c>
      <c r="L16" s="2923">
        <f t="shared" si="5"/>
        <v>1.6000000000000001E-3</v>
      </c>
      <c r="M16" s="2923">
        <f>F16/100</f>
        <v>-2.5000000000000001E-3</v>
      </c>
      <c r="N16" s="2923">
        <f t="shared" si="5"/>
        <v>1.11E-2</v>
      </c>
      <c r="O16" s="2923">
        <f t="shared" si="5"/>
        <v>3.5999999999999999E-3</v>
      </c>
      <c r="P16" s="2923">
        <f t="shared" si="15"/>
        <v>-2.5000000000000001E-3</v>
      </c>
      <c r="Q16" s="2921"/>
      <c r="R16" s="2924">
        <v>1</v>
      </c>
      <c r="S16" s="2924">
        <v>1</v>
      </c>
      <c r="T16" s="2924">
        <v>1</v>
      </c>
      <c r="U16" s="2924">
        <v>1</v>
      </c>
      <c r="V16" s="2924">
        <v>1</v>
      </c>
      <c r="W16" s="2924">
        <f t="shared" si="16"/>
        <v>1</v>
      </c>
      <c r="X16" s="2921"/>
      <c r="Y16" s="2923">
        <f>IF(D16=0,0,ROUND(AVERAGE(D16:D16)/100,4))</f>
        <v>9.7000000000000003E-3</v>
      </c>
      <c r="Z16" s="2923">
        <f>IF(E16=0,0,ROUND(AVERAGE(E16:E16)/100,4))</f>
        <v>1.6000000000000001E-3</v>
      </c>
      <c r="AA16" s="2923">
        <f>IF(F16=0,0,ROUND(AVERAGE(F16:F16)/100,4))</f>
        <v>-2.5000000000000001E-3</v>
      </c>
      <c r="AB16" s="2923">
        <f>IF(G16=0,0,ROUND(AVERAGE(G16:G16)/100,4))</f>
        <v>1.11E-2</v>
      </c>
      <c r="AC16" s="2923">
        <f>IF(H16=0,0,ROUND(AVERAGE(H16:H16)/100,4))</f>
        <v>3.5999999999999999E-3</v>
      </c>
      <c r="AD16" s="2923">
        <f>AA16</f>
        <v>-2.5000000000000001E-3</v>
      </c>
    </row>
    <row r="17" spans="1:30" ht="14.25" thickTop="1"/>
    <row r="18" spans="1:30">
      <c r="A18" s="3140" t="s">
        <v>3357</v>
      </c>
    </row>
    <row r="19" spans="1:30">
      <c r="I19" s="1404" t="s">
        <v>2814</v>
      </c>
    </row>
    <row r="21" spans="1:30" s="2007" customFormat="1" ht="12.75">
      <c r="B21" s="2926" t="s">
        <v>2815</v>
      </c>
      <c r="C21" s="2927"/>
      <c r="D21" s="2927"/>
      <c r="E21" s="2927"/>
      <c r="F21" s="2927"/>
      <c r="G21" s="2927"/>
      <c r="H21" s="2927"/>
      <c r="I21" s="2927"/>
      <c r="J21" s="2893"/>
      <c r="K21" s="2927" t="s">
        <v>2816</v>
      </c>
      <c r="L21" s="2927"/>
      <c r="M21" s="2927"/>
      <c r="N21" s="2927"/>
      <c r="O21" s="2927"/>
      <c r="P21" s="2927"/>
      <c r="Q21" s="2893"/>
      <c r="R21" s="3518" t="s">
        <v>2817</v>
      </c>
      <c r="S21" s="3519"/>
      <c r="T21" s="3519"/>
      <c r="U21" s="3519"/>
      <c r="V21" s="3519"/>
      <c r="W21" s="3519"/>
      <c r="X21" s="2893"/>
      <c r="Y21" s="3518" t="s">
        <v>2818</v>
      </c>
      <c r="Z21" s="3519"/>
      <c r="AA21" s="3519"/>
      <c r="AB21" s="3519"/>
      <c r="AC21" s="3519"/>
      <c r="AD21" s="3519"/>
    </row>
    <row r="22" spans="1:30" s="2008" customFormat="1" ht="14.25" thickBot="1">
      <c r="B22" s="2878"/>
      <c r="C22" s="2879"/>
      <c r="D22" s="2009" t="s">
        <v>2819</v>
      </c>
      <c r="E22" s="2010" t="s">
        <v>2820</v>
      </c>
      <c r="F22" s="2010" t="s">
        <v>2821</v>
      </c>
      <c r="G22" s="2010" t="s">
        <v>2822</v>
      </c>
      <c r="H22" s="2010"/>
      <c r="I22" s="2010" t="s">
        <v>2823</v>
      </c>
      <c r="J22" s="2880"/>
      <c r="K22" s="2009" t="s">
        <v>2819</v>
      </c>
      <c r="L22" s="2010" t="s">
        <v>2820</v>
      </c>
      <c r="M22" s="2010" t="s">
        <v>2821</v>
      </c>
      <c r="N22" s="2010" t="s">
        <v>2822</v>
      </c>
      <c r="O22" s="2010"/>
      <c r="P22" s="2010" t="s">
        <v>2823</v>
      </c>
      <c r="Q22" s="2880"/>
      <c r="R22" s="2009" t="s">
        <v>2819</v>
      </c>
      <c r="S22" s="2010" t="s">
        <v>2820</v>
      </c>
      <c r="T22" s="2010" t="s">
        <v>2821</v>
      </c>
      <c r="U22" s="2010" t="s">
        <v>2822</v>
      </c>
      <c r="V22" s="2010"/>
      <c r="W22" s="2010" t="s">
        <v>2823</v>
      </c>
      <c r="X22" s="2880"/>
      <c r="Y22" s="2009" t="s">
        <v>2819</v>
      </c>
      <c r="Z22" s="2010" t="s">
        <v>2820</v>
      </c>
      <c r="AA22" s="2010" t="s">
        <v>2821</v>
      </c>
      <c r="AB22" s="2010" t="s">
        <v>2822</v>
      </c>
      <c r="AC22" s="2010"/>
      <c r="AD22" s="2010" t="s">
        <v>2823</v>
      </c>
    </row>
    <row r="23" spans="1:30" s="2883" customFormat="1" ht="12.75">
      <c r="A23" s="2881" t="s">
        <v>2824</v>
      </c>
      <c r="B23" s="2882"/>
      <c r="E23" s="2883">
        <f t="shared" ref="E23:G23" si="22">ROUND(AVERAGEIF(E24:E36,"&lt;&gt;0"),2)</f>
        <v>0.4</v>
      </c>
      <c r="F23" s="2883">
        <f t="shared" si="22"/>
        <v>0.26</v>
      </c>
      <c r="G23" s="2883">
        <f t="shared" si="22"/>
        <v>0.74</v>
      </c>
      <c r="I23" s="2883">
        <f>F23</f>
        <v>0.26</v>
      </c>
      <c r="J23" s="2884"/>
      <c r="K23" s="2885"/>
      <c r="L23" s="2886">
        <f t="shared" ref="L23:N23" si="23">ROUND(AVERAGEIF(L24:L36,"&lt;&gt;0"),4)</f>
        <v>4.0000000000000001E-3</v>
      </c>
      <c r="M23" s="2886">
        <f t="shared" si="23"/>
        <v>2.5999999999999999E-3</v>
      </c>
      <c r="N23" s="2886">
        <f t="shared" si="23"/>
        <v>7.4000000000000003E-3</v>
      </c>
      <c r="O23" s="2886"/>
      <c r="P23" s="2886">
        <f>M23</f>
        <v>2.5999999999999999E-3</v>
      </c>
      <c r="Q23" s="2884"/>
      <c r="R23" s="2887"/>
      <c r="S23" s="2888">
        <f>ROUND(SUMPRODUCT(PRODUCT(1+L24:L36)),4)</f>
        <v>1.0323</v>
      </c>
      <c r="T23" s="2888">
        <f t="shared" ref="T23:U23" si="24">ROUND(SUMPRODUCT(PRODUCT(1+M24:M36)),4)</f>
        <v>1.0213000000000001</v>
      </c>
      <c r="U23" s="2888">
        <f t="shared" si="24"/>
        <v>1.0609</v>
      </c>
      <c r="V23" s="2888"/>
      <c r="W23" s="2887">
        <f>T23</f>
        <v>1.0213000000000001</v>
      </c>
      <c r="X23" s="2884"/>
      <c r="Y23" s="2889"/>
      <c r="Z23" s="2890">
        <f t="shared" ref="Z23:AB23" si="25">ROUND(AVERAGEIF(Z24:Z36,"&lt;&gt;0"),4)</f>
        <v>4.3E-3</v>
      </c>
      <c r="AA23" s="2891">
        <f t="shared" si="25"/>
        <v>3.5999999999999999E-3</v>
      </c>
      <c r="AB23" s="2889">
        <f t="shared" si="25"/>
        <v>8.8999999999999999E-3</v>
      </c>
      <c r="AC23" s="2892"/>
      <c r="AD23" s="2889">
        <f>AA23</f>
        <v>3.5999999999999999E-3</v>
      </c>
    </row>
    <row r="24" spans="1:30" s="2007" customFormat="1" ht="12.75">
      <c r="B24" s="2023"/>
      <c r="J24" s="2893"/>
      <c r="K24" s="2894"/>
      <c r="L24" s="2895"/>
      <c r="M24" s="2895"/>
      <c r="N24" s="2895"/>
      <c r="O24" s="2895"/>
      <c r="P24" s="2895"/>
      <c r="Q24" s="2893"/>
      <c r="R24" s="2025"/>
      <c r="S24" s="2896"/>
      <c r="T24" s="2897"/>
      <c r="U24" s="2025"/>
      <c r="V24" s="2898"/>
      <c r="W24" s="2025"/>
      <c r="X24" s="2893"/>
      <c r="Y24" s="2026"/>
      <c r="Z24" s="2899"/>
      <c r="AA24" s="2900"/>
      <c r="AB24" s="2026"/>
      <c r="AC24" s="2901"/>
      <c r="AD24" s="2026"/>
    </row>
    <row r="25" spans="1:30" s="2043" customFormat="1" ht="12.75">
      <c r="A25" s="2902" t="s">
        <v>3360</v>
      </c>
      <c r="B25" s="2029">
        <v>2023</v>
      </c>
      <c r="C25" s="2040">
        <v>4</v>
      </c>
      <c r="D25" s="2005"/>
      <c r="E25" s="2005">
        <v>0</v>
      </c>
      <c r="F25" s="2005">
        <v>0</v>
      </c>
      <c r="G25" s="2005">
        <v>0</v>
      </c>
      <c r="H25" s="2005"/>
      <c r="I25" s="2006">
        <f t="shared" ref="I25:I36" si="26">F25</f>
        <v>0</v>
      </c>
      <c r="J25" s="2903"/>
      <c r="K25" s="2041"/>
      <c r="L25" s="2026">
        <f t="shared" ref="L25:N36" si="27">E25/100</f>
        <v>0</v>
      </c>
      <c r="M25" s="2026">
        <f t="shared" si="27"/>
        <v>0</v>
      </c>
      <c r="N25" s="2026">
        <f t="shared" si="27"/>
        <v>0</v>
      </c>
      <c r="O25" s="2026"/>
      <c r="P25" s="2026">
        <f>M25</f>
        <v>0</v>
      </c>
      <c r="Q25" s="2903"/>
      <c r="R25" s="2025"/>
      <c r="S25" s="2025">
        <f>ROUND(IF([2]项目基本情况!$B$8="出让",SUMPRODUCT(PRODUCT(1+L25:L$36)),SUMPRODUCT(PRODUCT(1+L25:L$35))),4)</f>
        <v>1.0286999999999999</v>
      </c>
      <c r="T25" s="2025">
        <f>ROUND(IF([2]项目基本情况!$B$8="出让",SUMPRODUCT(PRODUCT(1+M25:M$36)),SUMPRODUCT(PRODUCT(1+M25:M$35))),4)</f>
        <v>1.0164</v>
      </c>
      <c r="U25" s="2025">
        <f>ROUND(IF([2]项目基本情况!$B$8="出让",SUMPRODUCT(PRODUCT(1+N25:N$36)),SUMPRODUCT(PRODUCT(1+N25:N$35))),4)</f>
        <v>1.0506</v>
      </c>
      <c r="V25" s="2025"/>
      <c r="W25" s="2025">
        <f>T25</f>
        <v>1.0164</v>
      </c>
      <c r="X25" s="2903"/>
      <c r="Y25" s="2026"/>
      <c r="Z25" s="2899">
        <f>IF(E25=0,0,ROUND(AVERAGE(E25:E36)/100,4))</f>
        <v>0</v>
      </c>
      <c r="AA25" s="2899">
        <f>IF(F25=0,0,ROUND(AVERAGE(F25:F36)/100,4))</f>
        <v>0</v>
      </c>
      <c r="AB25" s="2899">
        <f>IF(G25=0,0,ROUND(AVERAGE(G25:G36)/100,4))</f>
        <v>0</v>
      </c>
      <c r="AC25" s="2901"/>
      <c r="AD25" s="2026">
        <f>IF(I25=0,0,ROUND(AVERAGE(I25:I36)/100,4))</f>
        <v>0</v>
      </c>
    </row>
    <row r="26" spans="1:30" s="2043" customFormat="1" ht="12.75">
      <c r="A26" s="2902" t="s">
        <v>3361</v>
      </c>
      <c r="B26" s="2029">
        <v>2023</v>
      </c>
      <c r="C26" s="2040">
        <v>3</v>
      </c>
      <c r="D26" s="2005"/>
      <c r="E26" s="2005">
        <v>0</v>
      </c>
      <c r="F26" s="2005">
        <v>0</v>
      </c>
      <c r="G26" s="2005">
        <v>0</v>
      </c>
      <c r="H26" s="2914"/>
      <c r="I26" s="2006">
        <f t="shared" si="26"/>
        <v>0</v>
      </c>
      <c r="J26" s="2903"/>
      <c r="K26" s="2041"/>
      <c r="L26" s="2026">
        <f t="shared" ref="L26:L28" si="28">E26/100</f>
        <v>0</v>
      </c>
      <c r="M26" s="2026">
        <f t="shared" ref="M26:M28" si="29">F26/100</f>
        <v>0</v>
      </c>
      <c r="N26" s="2026">
        <f t="shared" ref="N26:N28" si="30">G26/100</f>
        <v>0</v>
      </c>
      <c r="O26" s="2026"/>
      <c r="P26" s="2026">
        <f t="shared" ref="P26:P28" si="31">M26</f>
        <v>0</v>
      </c>
      <c r="Q26" s="2903"/>
      <c r="R26" s="2025"/>
      <c r="S26" s="2025">
        <f>ROUND(IF([2]项目基本情况!$B$8="出让",SUMPRODUCT(PRODUCT(1+L26:L$36)),SUMPRODUCT(PRODUCT(1+L26:L$35))),4)</f>
        <v>1.0286999999999999</v>
      </c>
      <c r="T26" s="2025">
        <f>ROUND(IF([2]项目基本情况!$B$8="出让",SUMPRODUCT(PRODUCT(1+M26:M$36)),SUMPRODUCT(PRODUCT(1+M26:M$35))),4)</f>
        <v>1.0164</v>
      </c>
      <c r="U26" s="2025">
        <f>ROUND(IF([2]项目基本情况!$B$8="出让",SUMPRODUCT(PRODUCT(1+N26:N$36)),SUMPRODUCT(PRODUCT(1+N26:N$35))),4)</f>
        <v>1.0506</v>
      </c>
      <c r="V26" s="2025"/>
      <c r="W26" s="2025">
        <f t="shared" ref="W26:W28" si="32">T26</f>
        <v>1.0164</v>
      </c>
      <c r="X26" s="2903"/>
      <c r="Y26" s="2026"/>
      <c r="Z26" s="2899"/>
      <c r="AA26" s="2026"/>
      <c r="AB26" s="2026"/>
      <c r="AC26" s="2901"/>
      <c r="AD26" s="2026"/>
    </row>
    <row r="27" spans="1:30" s="2043" customFormat="1" ht="12.75">
      <c r="A27" s="2902" t="s">
        <v>3359</v>
      </c>
      <c r="B27" s="2029">
        <v>2023</v>
      </c>
      <c r="C27" s="2040">
        <v>2</v>
      </c>
      <c r="D27" s="2005"/>
      <c r="E27" s="2005">
        <v>0</v>
      </c>
      <c r="F27" s="2005">
        <v>0</v>
      </c>
      <c r="G27" s="2005">
        <v>0</v>
      </c>
      <c r="H27" s="2914"/>
      <c r="I27" s="2006">
        <f t="shared" si="26"/>
        <v>0</v>
      </c>
      <c r="J27" s="2903"/>
      <c r="K27" s="2041"/>
      <c r="L27" s="2026">
        <f t="shared" si="28"/>
        <v>0</v>
      </c>
      <c r="M27" s="2026">
        <f t="shared" si="29"/>
        <v>0</v>
      </c>
      <c r="N27" s="2026">
        <f t="shared" si="30"/>
        <v>0</v>
      </c>
      <c r="O27" s="2026"/>
      <c r="P27" s="2026">
        <f t="shared" si="31"/>
        <v>0</v>
      </c>
      <c r="Q27" s="2903"/>
      <c r="R27" s="2025"/>
      <c r="S27" s="2025">
        <f>ROUND(IF([2]项目基本情况!$B$8="出让",SUMPRODUCT(PRODUCT(1+L27:L$36)),SUMPRODUCT(PRODUCT(1+L27:L$35))),4)</f>
        <v>1.0286999999999999</v>
      </c>
      <c r="T27" s="2025">
        <f>ROUND(IF([2]项目基本情况!$B$8="出让",SUMPRODUCT(PRODUCT(1+M27:M$36)),SUMPRODUCT(PRODUCT(1+M27:M$35))),4)</f>
        <v>1.0164</v>
      </c>
      <c r="U27" s="2025">
        <f>ROUND(IF([2]项目基本情况!$B$8="出让",SUMPRODUCT(PRODUCT(1+N27:N$36)),SUMPRODUCT(PRODUCT(1+N27:N$35))),4)</f>
        <v>1.0506</v>
      </c>
      <c r="V27" s="2025"/>
      <c r="W27" s="2025">
        <f t="shared" si="32"/>
        <v>1.0164</v>
      </c>
      <c r="X27" s="2903"/>
      <c r="Y27" s="2026"/>
      <c r="Z27" s="2899"/>
      <c r="AA27" s="2026"/>
      <c r="AB27" s="2026"/>
      <c r="AC27" s="2901"/>
      <c r="AD27" s="2026"/>
    </row>
    <row r="28" spans="1:30" s="2043" customFormat="1" ht="12.75">
      <c r="A28" s="2902" t="s">
        <v>2807</v>
      </c>
      <c r="B28" s="2029">
        <v>2023</v>
      </c>
      <c r="C28" s="2040">
        <v>1</v>
      </c>
      <c r="D28" s="2005"/>
      <c r="E28" s="2005">
        <v>0</v>
      </c>
      <c r="F28" s="2005">
        <v>0</v>
      </c>
      <c r="G28" s="2005">
        <v>0</v>
      </c>
      <c r="H28" s="2914"/>
      <c r="I28" s="2006">
        <f t="shared" si="26"/>
        <v>0</v>
      </c>
      <c r="J28" s="2903"/>
      <c r="K28" s="2041"/>
      <c r="L28" s="2026">
        <f t="shared" si="28"/>
        <v>0</v>
      </c>
      <c r="M28" s="2026">
        <f t="shared" si="29"/>
        <v>0</v>
      </c>
      <c r="N28" s="2026">
        <f t="shared" si="30"/>
        <v>0</v>
      </c>
      <c r="O28" s="2026"/>
      <c r="P28" s="2026">
        <f t="shared" si="31"/>
        <v>0</v>
      </c>
      <c r="Q28" s="2903"/>
      <c r="R28" s="2025"/>
      <c r="S28" s="2025">
        <f>ROUND(IF([2]项目基本情况!$B$8="出让",SUMPRODUCT(PRODUCT(1+L28:L$36)),SUMPRODUCT(PRODUCT(1+L28:L$35))),4)</f>
        <v>1.0286999999999999</v>
      </c>
      <c r="T28" s="2025">
        <f>ROUND(IF([2]项目基本情况!$B$8="出让",SUMPRODUCT(PRODUCT(1+M28:M$36)),SUMPRODUCT(PRODUCT(1+M28:M$35))),4)</f>
        <v>1.0164</v>
      </c>
      <c r="U28" s="2025">
        <f>ROUND(IF([2]项目基本情况!$B$8="出让",SUMPRODUCT(PRODUCT(1+N28:N$36)),SUMPRODUCT(PRODUCT(1+N28:N$35))),4)</f>
        <v>1.0506</v>
      </c>
      <c r="V28" s="2025"/>
      <c r="W28" s="2025">
        <f t="shared" si="32"/>
        <v>1.0164</v>
      </c>
      <c r="X28" s="2903"/>
      <c r="Y28" s="2026"/>
      <c r="Z28" s="2899"/>
      <c r="AA28" s="2026"/>
      <c r="AB28" s="2026"/>
      <c r="AC28" s="2901"/>
      <c r="AD28" s="2026"/>
    </row>
    <row r="29" spans="1:30" s="2913" customFormat="1" ht="12.75">
      <c r="A29" s="2904" t="s">
        <v>3355</v>
      </c>
      <c r="B29" s="2905">
        <v>2022</v>
      </c>
      <c r="C29" s="2906">
        <v>4</v>
      </c>
      <c r="D29" s="2907"/>
      <c r="E29" s="2907">
        <v>0.45</v>
      </c>
      <c r="F29" s="2907">
        <v>0.2</v>
      </c>
      <c r="G29" s="2907">
        <v>0.38</v>
      </c>
      <c r="H29" s="2908"/>
      <c r="I29" s="2909">
        <f t="shared" si="26"/>
        <v>0.2</v>
      </c>
      <c r="J29" s="2910"/>
      <c r="K29" s="2911"/>
      <c r="L29" s="2912">
        <f t="shared" si="27"/>
        <v>4.5000000000000005E-3</v>
      </c>
      <c r="M29" s="2912">
        <f t="shared" si="27"/>
        <v>2E-3</v>
      </c>
      <c r="N29" s="2912">
        <f t="shared" si="27"/>
        <v>3.8E-3</v>
      </c>
      <c r="O29" s="2912"/>
      <c r="P29" s="2912">
        <f t="shared" ref="P29:P36" si="33">M29</f>
        <v>2E-3</v>
      </c>
      <c r="Q29" s="2910"/>
      <c r="R29" s="2910"/>
      <c r="S29" s="2910">
        <f>ROUND(IF([2]项目基本情况!$B$8="出让",SUMPRODUCT(PRODUCT(1+L29:L$36)),SUMPRODUCT(PRODUCT(1+L29:L$35))),4)</f>
        <v>1.0286999999999999</v>
      </c>
      <c r="T29" s="2910">
        <f>ROUND(IF([2]项目基本情况!$B$8="出让",SUMPRODUCT(PRODUCT(1+M29:M$36)),SUMPRODUCT(PRODUCT(1+M29:M$35))),4)</f>
        <v>1.0164</v>
      </c>
      <c r="U29" s="2910">
        <f>ROUND(IF([2]项目基本情况!$B$8="出让",SUMPRODUCT(PRODUCT(1+N29:N$36)),SUMPRODUCT(PRODUCT(1+N29:N$35))),4)</f>
        <v>1.0506</v>
      </c>
      <c r="V29" s="2910"/>
      <c r="W29" s="2910">
        <f t="shared" ref="W29:W36" si="34">T29</f>
        <v>1.0164</v>
      </c>
      <c r="X29" s="2910"/>
      <c r="Y29" s="2912"/>
      <c r="Z29" s="2928">
        <f t="shared" ref="Z29:AD36" si="35">IF(E29=0,0,ROUND(AVERAGE(E29:E37)/100,4))</f>
        <v>4.0000000000000001E-3</v>
      </c>
      <c r="AA29" s="2929">
        <f t="shared" si="35"/>
        <v>2.5999999999999999E-3</v>
      </c>
      <c r="AB29" s="2912">
        <f t="shared" si="35"/>
        <v>7.4000000000000003E-3</v>
      </c>
      <c r="AC29" s="2930"/>
      <c r="AD29" s="2912">
        <f t="shared" si="35"/>
        <v>2.5999999999999999E-3</v>
      </c>
    </row>
    <row r="30" spans="1:30" s="2043" customFormat="1" ht="12.75">
      <c r="A30" s="2902" t="s">
        <v>3356</v>
      </c>
      <c r="B30" s="2029">
        <v>2022</v>
      </c>
      <c r="C30" s="2040">
        <v>3</v>
      </c>
      <c r="D30" s="2005"/>
      <c r="E30" s="2005">
        <v>0.3</v>
      </c>
      <c r="F30" s="2005">
        <v>0.28999999999999998</v>
      </c>
      <c r="G30" s="2005">
        <v>0.83</v>
      </c>
      <c r="H30" s="2914"/>
      <c r="I30" s="2006">
        <f t="shared" si="26"/>
        <v>0.28999999999999998</v>
      </c>
      <c r="J30" s="2903"/>
      <c r="K30" s="2041"/>
      <c r="L30" s="2026">
        <f t="shared" si="27"/>
        <v>3.0000000000000001E-3</v>
      </c>
      <c r="M30" s="2026">
        <f t="shared" si="27"/>
        <v>2.8999999999999998E-3</v>
      </c>
      <c r="N30" s="2026">
        <f t="shared" si="27"/>
        <v>8.3000000000000001E-3</v>
      </c>
      <c r="O30" s="2026"/>
      <c r="P30" s="2026">
        <f t="shared" si="33"/>
        <v>2.8999999999999998E-3</v>
      </c>
      <c r="Q30" s="2903"/>
      <c r="R30" s="2025"/>
      <c r="S30" s="2025">
        <f>ROUND(IF([2]项目基本情况!$B$8="出让",SUMPRODUCT(PRODUCT(1+L30:L$36)),SUMPRODUCT(PRODUCT(1+L30:L$35))),4)</f>
        <v>1.0241</v>
      </c>
      <c r="T30" s="2025">
        <f>ROUND(IF([2]项目基本情况!$B$8="出让",SUMPRODUCT(PRODUCT(1+M30:M$36)),SUMPRODUCT(PRODUCT(1+M30:M$35))),4)</f>
        <v>1.0144</v>
      </c>
      <c r="U30" s="2025">
        <f>ROUND(IF([2]项目基本情况!$B$8="出让",SUMPRODUCT(PRODUCT(1+N30:N$36)),SUMPRODUCT(PRODUCT(1+N30:N$35))),4)</f>
        <v>1.0467</v>
      </c>
      <c r="V30" s="2025"/>
      <c r="W30" s="2025">
        <f t="shared" si="34"/>
        <v>1.0144</v>
      </c>
      <c r="X30" s="2903"/>
      <c r="Y30" s="2026"/>
      <c r="Z30" s="2899">
        <f t="shared" si="35"/>
        <v>3.8999999999999998E-3</v>
      </c>
      <c r="AA30" s="2900">
        <f t="shared" si="35"/>
        <v>2.7000000000000001E-3</v>
      </c>
      <c r="AB30" s="2026">
        <f t="shared" si="35"/>
        <v>7.9000000000000008E-3</v>
      </c>
      <c r="AC30" s="2901"/>
      <c r="AD30" s="2026">
        <f t="shared" si="35"/>
        <v>2.7000000000000001E-3</v>
      </c>
    </row>
    <row r="31" spans="1:30" s="2043" customFormat="1" ht="12.75">
      <c r="A31" s="2902" t="s">
        <v>3345</v>
      </c>
      <c r="B31" s="2029">
        <v>2022</v>
      </c>
      <c r="C31" s="2040">
        <v>2</v>
      </c>
      <c r="D31" s="2005"/>
      <c r="E31" s="2005">
        <v>-0.11</v>
      </c>
      <c r="F31" s="2005">
        <v>-0.13</v>
      </c>
      <c r="G31" s="2005">
        <v>0.53</v>
      </c>
      <c r="H31" s="2914"/>
      <c r="I31" s="2006">
        <f t="shared" si="26"/>
        <v>-0.13</v>
      </c>
      <c r="J31" s="2903"/>
      <c r="K31" s="2041"/>
      <c r="L31" s="2026">
        <f t="shared" si="27"/>
        <v>-1.1000000000000001E-3</v>
      </c>
      <c r="M31" s="2026">
        <f t="shared" si="27"/>
        <v>-1.2999999999999999E-3</v>
      </c>
      <c r="N31" s="2026">
        <f t="shared" si="27"/>
        <v>5.3E-3</v>
      </c>
      <c r="O31" s="2026"/>
      <c r="P31" s="2026">
        <f t="shared" si="33"/>
        <v>-1.2999999999999999E-3</v>
      </c>
      <c r="Q31" s="2903"/>
      <c r="R31" s="2025"/>
      <c r="S31" s="2025">
        <f>ROUND(IF([2]项目基本情况!$B$8="出让",SUMPRODUCT(PRODUCT(1+L31:L$36)),SUMPRODUCT(PRODUCT(1+L31:L$35))),4)</f>
        <v>1.0210999999999999</v>
      </c>
      <c r="T31" s="2025">
        <f>ROUND(IF([2]项目基本情况!$B$8="出让",SUMPRODUCT(PRODUCT(1+M31:M$36)),SUMPRODUCT(PRODUCT(1+M31:M$35))),4)</f>
        <v>1.0114000000000001</v>
      </c>
      <c r="U31" s="2025">
        <f>ROUND(IF([2]项目基本情况!$B$8="出让",SUMPRODUCT(PRODUCT(1+N31:N$36)),SUMPRODUCT(PRODUCT(1+N31:N$35))),4)</f>
        <v>1.0381</v>
      </c>
      <c r="V31" s="2025"/>
      <c r="W31" s="2025">
        <f t="shared" si="34"/>
        <v>1.0114000000000001</v>
      </c>
      <c r="X31" s="2903"/>
      <c r="Y31" s="2026"/>
      <c r="Z31" s="2899">
        <f t="shared" si="35"/>
        <v>4.1000000000000003E-3</v>
      </c>
      <c r="AA31" s="2900">
        <f t="shared" si="35"/>
        <v>2.7000000000000001E-3</v>
      </c>
      <c r="AB31" s="2026">
        <f t="shared" si="35"/>
        <v>7.9000000000000008E-3</v>
      </c>
      <c r="AC31" s="2901"/>
      <c r="AD31" s="2026">
        <f t="shared" si="35"/>
        <v>2.7000000000000001E-3</v>
      </c>
    </row>
    <row r="32" spans="1:30" s="2043" customFormat="1" ht="12.75">
      <c r="A32" s="2902" t="s">
        <v>2825</v>
      </c>
      <c r="B32" s="2029">
        <v>2022</v>
      </c>
      <c r="C32" s="2040">
        <v>1</v>
      </c>
      <c r="D32" s="2005"/>
      <c r="E32" s="2005">
        <v>0.6</v>
      </c>
      <c r="F32" s="2005">
        <v>0.45</v>
      </c>
      <c r="G32" s="2005">
        <v>0.53</v>
      </c>
      <c r="H32" s="2914"/>
      <c r="I32" s="2006">
        <f t="shared" si="26"/>
        <v>0.45</v>
      </c>
      <c r="J32" s="2903"/>
      <c r="K32" s="2041"/>
      <c r="L32" s="2026">
        <f t="shared" si="27"/>
        <v>6.0000000000000001E-3</v>
      </c>
      <c r="M32" s="2026">
        <f t="shared" si="27"/>
        <v>4.5000000000000005E-3</v>
      </c>
      <c r="N32" s="2026">
        <f t="shared" si="27"/>
        <v>5.3E-3</v>
      </c>
      <c r="O32" s="2026"/>
      <c r="P32" s="2026">
        <f t="shared" si="33"/>
        <v>4.5000000000000005E-3</v>
      </c>
      <c r="Q32" s="2903"/>
      <c r="R32" s="2025"/>
      <c r="S32" s="2025">
        <f>ROUND(IF([2]项目基本情况!$B$8="出让",SUMPRODUCT(PRODUCT(1+L32:L$36)),SUMPRODUCT(PRODUCT(1+L32:L$35))),4)</f>
        <v>1.0222</v>
      </c>
      <c r="T32" s="2025">
        <f>ROUND(IF([2]项目基本情况!$B$8="出让",SUMPRODUCT(PRODUCT(1+M32:M$36)),SUMPRODUCT(PRODUCT(1+M32:M$35))),4)</f>
        <v>1.0127999999999999</v>
      </c>
      <c r="U32" s="2025">
        <f>ROUND(IF([2]项目基本情况!$B$8="出让",SUMPRODUCT(PRODUCT(1+N32:N$36)),SUMPRODUCT(PRODUCT(1+N32:N$35))),4)</f>
        <v>1.0326</v>
      </c>
      <c r="V32" s="2025"/>
      <c r="W32" s="2025">
        <f t="shared" si="34"/>
        <v>1.0127999999999999</v>
      </c>
      <c r="X32" s="2903"/>
      <c r="Y32" s="2026"/>
      <c r="Z32" s="2899">
        <f t="shared" si="35"/>
        <v>5.1000000000000004E-3</v>
      </c>
      <c r="AA32" s="2900">
        <f t="shared" si="35"/>
        <v>3.5000000000000001E-3</v>
      </c>
      <c r="AB32" s="2026">
        <f t="shared" si="35"/>
        <v>8.3999999999999995E-3</v>
      </c>
      <c r="AC32" s="2901"/>
      <c r="AD32" s="2026">
        <f t="shared" si="35"/>
        <v>3.5000000000000001E-3</v>
      </c>
    </row>
    <row r="33" spans="1:30" s="2043" customFormat="1" ht="12.75">
      <c r="A33" s="2902" t="s">
        <v>2826</v>
      </c>
      <c r="B33" s="2029">
        <v>2021</v>
      </c>
      <c r="C33" s="2040">
        <v>4</v>
      </c>
      <c r="D33" s="2005"/>
      <c r="E33" s="2005">
        <v>0.57999999999999996</v>
      </c>
      <c r="F33" s="2005">
        <v>0.08</v>
      </c>
      <c r="G33" s="2005">
        <v>0.68</v>
      </c>
      <c r="H33" s="2914"/>
      <c r="I33" s="2006">
        <f t="shared" si="26"/>
        <v>0.08</v>
      </c>
      <c r="J33" s="2903"/>
      <c r="K33" s="2041"/>
      <c r="L33" s="2026">
        <f t="shared" si="27"/>
        <v>5.7999999999999996E-3</v>
      </c>
      <c r="M33" s="2026">
        <f t="shared" si="27"/>
        <v>8.0000000000000004E-4</v>
      </c>
      <c r="N33" s="2026">
        <f t="shared" si="27"/>
        <v>6.8000000000000005E-3</v>
      </c>
      <c r="O33" s="2026"/>
      <c r="P33" s="2026">
        <f t="shared" si="33"/>
        <v>8.0000000000000004E-4</v>
      </c>
      <c r="Q33" s="2903"/>
      <c r="R33" s="2025"/>
      <c r="S33" s="2025">
        <f>ROUND(IF([2]项目基本情况!$B$8="出让",SUMPRODUCT(PRODUCT(1+L33:L$36)),SUMPRODUCT(PRODUCT(1+L33:L$35))),4)</f>
        <v>1.0161</v>
      </c>
      <c r="T33" s="2025">
        <f>ROUND(IF([2]项目基本情况!$B$8="出让",SUMPRODUCT(PRODUCT(1+M33:M$36)),SUMPRODUCT(PRODUCT(1+M33:M$35))),4)</f>
        <v>1.0082</v>
      </c>
      <c r="U33" s="2025">
        <f>ROUND(IF([2]项目基本情况!$B$8="出让",SUMPRODUCT(PRODUCT(1+N33:N$36)),SUMPRODUCT(PRODUCT(1+N33:N$35))),4)</f>
        <v>1.0270999999999999</v>
      </c>
      <c r="V33" s="2025"/>
      <c r="W33" s="2025">
        <f t="shared" si="34"/>
        <v>1.0082</v>
      </c>
      <c r="X33" s="2903"/>
      <c r="Y33" s="2026"/>
      <c r="Z33" s="2899">
        <f t="shared" si="35"/>
        <v>4.8999999999999998E-3</v>
      </c>
      <c r="AA33" s="2900">
        <f t="shared" si="35"/>
        <v>3.3E-3</v>
      </c>
      <c r="AB33" s="2026">
        <f t="shared" si="35"/>
        <v>9.1999999999999998E-3</v>
      </c>
      <c r="AC33" s="2901"/>
      <c r="AD33" s="2026">
        <f t="shared" si="35"/>
        <v>3.3E-3</v>
      </c>
    </row>
    <row r="34" spans="1:30" s="2043" customFormat="1" ht="12.75">
      <c r="A34" s="2902" t="s">
        <v>2827</v>
      </c>
      <c r="B34" s="2029">
        <v>2021</v>
      </c>
      <c r="C34" s="2040">
        <v>3</v>
      </c>
      <c r="D34" s="2005"/>
      <c r="E34" s="2005">
        <v>0.47</v>
      </c>
      <c r="F34" s="2005">
        <v>0.28000000000000003</v>
      </c>
      <c r="G34" s="2005">
        <v>0.91</v>
      </c>
      <c r="H34" s="2914"/>
      <c r="I34" s="2006">
        <f t="shared" si="26"/>
        <v>0.28000000000000003</v>
      </c>
      <c r="J34" s="2903"/>
      <c r="K34" s="2041"/>
      <c r="L34" s="2026">
        <f t="shared" si="27"/>
        <v>4.6999999999999993E-3</v>
      </c>
      <c r="M34" s="2026">
        <f t="shared" si="27"/>
        <v>2.8000000000000004E-3</v>
      </c>
      <c r="N34" s="2026">
        <f t="shared" si="27"/>
        <v>9.1000000000000004E-3</v>
      </c>
      <c r="O34" s="2026"/>
      <c r="P34" s="2026">
        <f t="shared" si="33"/>
        <v>2.8000000000000004E-3</v>
      </c>
      <c r="Q34" s="2903"/>
      <c r="R34" s="2025"/>
      <c r="S34" s="2025">
        <f>ROUND(IF([2]项目基本情况!$B$8="出让",SUMPRODUCT(PRODUCT(1+L34:L$36)),SUMPRODUCT(PRODUCT(1+L34:L$35))),4)</f>
        <v>1.0102</v>
      </c>
      <c r="T34" s="2025">
        <f>ROUND(IF([2]项目基本情况!$B$8="出让",SUMPRODUCT(PRODUCT(1+M34:M$36)),SUMPRODUCT(PRODUCT(1+M34:M$35))),4)</f>
        <v>1.0074000000000001</v>
      </c>
      <c r="U34" s="2025">
        <f>ROUND(IF([2]项目基本情况!$B$8="出让",SUMPRODUCT(PRODUCT(1+N34:N$36)),SUMPRODUCT(PRODUCT(1+N34:N$35))),4)</f>
        <v>1.0202</v>
      </c>
      <c r="V34" s="2025"/>
      <c r="W34" s="2025">
        <f t="shared" si="34"/>
        <v>1.0074000000000001</v>
      </c>
      <c r="X34" s="2903"/>
      <c r="Y34" s="2026"/>
      <c r="Z34" s="2899">
        <f t="shared" si="35"/>
        <v>4.5999999999999999E-3</v>
      </c>
      <c r="AA34" s="2900">
        <f t="shared" si="35"/>
        <v>4.1000000000000003E-3</v>
      </c>
      <c r="AB34" s="2026">
        <f t="shared" si="35"/>
        <v>0.01</v>
      </c>
      <c r="AC34" s="2901"/>
      <c r="AD34" s="2026">
        <f t="shared" si="35"/>
        <v>4.1000000000000003E-3</v>
      </c>
    </row>
    <row r="35" spans="1:30" s="2043" customFormat="1" ht="12.75">
      <c r="A35" s="2902" t="s">
        <v>2828</v>
      </c>
      <c r="B35" s="2029">
        <v>2021</v>
      </c>
      <c r="C35" s="2040">
        <v>2</v>
      </c>
      <c r="D35" s="2005"/>
      <c r="E35" s="2005">
        <v>0.55000000000000004</v>
      </c>
      <c r="F35" s="2005">
        <v>0.46</v>
      </c>
      <c r="G35" s="2005">
        <v>1.1000000000000001</v>
      </c>
      <c r="H35" s="2914"/>
      <c r="I35" s="2006">
        <f t="shared" si="26"/>
        <v>0.46</v>
      </c>
      <c r="J35" s="2903"/>
      <c r="K35" s="2041"/>
      <c r="L35" s="2026">
        <f t="shared" si="27"/>
        <v>5.5000000000000005E-3</v>
      </c>
      <c r="M35" s="2026">
        <f t="shared" si="27"/>
        <v>4.5999999999999999E-3</v>
      </c>
      <c r="N35" s="2026">
        <f t="shared" si="27"/>
        <v>1.1000000000000001E-2</v>
      </c>
      <c r="O35" s="2026"/>
      <c r="P35" s="2026">
        <f t="shared" si="33"/>
        <v>4.5999999999999999E-3</v>
      </c>
      <c r="Q35" s="2903"/>
      <c r="R35" s="2025"/>
      <c r="S35" s="2025">
        <f>ROUND(IF([2]项目基本情况!$B$8="出让",SUMPRODUCT(PRODUCT(1+L35:L$36)),SUMPRODUCT(PRODUCT(1+L35:L$35))),4)</f>
        <v>1.0055000000000001</v>
      </c>
      <c r="T35" s="2025">
        <f>ROUND(IF([2]项目基本情况!$B$8="出让",SUMPRODUCT(PRODUCT(1+M35:M$36)),SUMPRODUCT(PRODUCT(1+M35:M$35))),4)</f>
        <v>1.0045999999999999</v>
      </c>
      <c r="U35" s="2025">
        <f>ROUND(IF([2]项目基本情况!$B$8="出让",SUMPRODUCT(PRODUCT(1+N35:N$36)),SUMPRODUCT(PRODUCT(1+N35:N$35))),4)</f>
        <v>1.0109999999999999</v>
      </c>
      <c r="V35" s="2025"/>
      <c r="W35" s="2025">
        <f t="shared" si="34"/>
        <v>1.0045999999999999</v>
      </c>
      <c r="X35" s="2903"/>
      <c r="Y35" s="2026"/>
      <c r="Z35" s="2899">
        <f t="shared" si="35"/>
        <v>4.4999999999999997E-3</v>
      </c>
      <c r="AA35" s="2900">
        <f t="shared" si="35"/>
        <v>4.7000000000000002E-3</v>
      </c>
      <c r="AB35" s="2026">
        <f t="shared" si="35"/>
        <v>1.04E-2</v>
      </c>
      <c r="AC35" s="2901"/>
      <c r="AD35" s="2026">
        <f t="shared" si="35"/>
        <v>4.7000000000000002E-3</v>
      </c>
    </row>
    <row r="36" spans="1:30" s="2925" customFormat="1" thickBot="1">
      <c r="A36" s="2915" t="s">
        <v>2813</v>
      </c>
      <c r="B36" s="2916">
        <v>2021</v>
      </c>
      <c r="C36" s="2917">
        <v>1</v>
      </c>
      <c r="D36" s="2918"/>
      <c r="E36" s="2918">
        <v>0.35</v>
      </c>
      <c r="F36" s="2918">
        <v>0.48</v>
      </c>
      <c r="G36" s="2918">
        <v>0.98</v>
      </c>
      <c r="H36" s="2919"/>
      <c r="I36" s="2920">
        <f t="shared" si="26"/>
        <v>0.48</v>
      </c>
      <c r="J36" s="2921"/>
      <c r="K36" s="2922"/>
      <c r="L36" s="2923">
        <f t="shared" si="27"/>
        <v>3.4999999999999996E-3</v>
      </c>
      <c r="M36" s="2923">
        <f>F36/100</f>
        <v>4.7999999999999996E-3</v>
      </c>
      <c r="N36" s="2923">
        <f t="shared" si="27"/>
        <v>9.7999999999999997E-3</v>
      </c>
      <c r="O36" s="2923"/>
      <c r="P36" s="2923">
        <f t="shared" si="33"/>
        <v>4.7999999999999996E-3</v>
      </c>
      <c r="Q36" s="2921"/>
      <c r="R36" s="2924"/>
      <c r="S36" s="2924">
        <v>1</v>
      </c>
      <c r="T36" s="2924">
        <v>1</v>
      </c>
      <c r="U36" s="2924">
        <v>1</v>
      </c>
      <c r="V36" s="2924"/>
      <c r="W36" s="2924">
        <f t="shared" si="34"/>
        <v>1</v>
      </c>
      <c r="X36" s="2921"/>
      <c r="Y36" s="2923"/>
      <c r="Z36" s="2931">
        <f t="shared" si="35"/>
        <v>3.5000000000000001E-3</v>
      </c>
      <c r="AA36" s="2932">
        <f t="shared" si="35"/>
        <v>4.7999999999999996E-3</v>
      </c>
      <c r="AB36" s="2923">
        <f t="shared" si="35"/>
        <v>9.7999999999999997E-3</v>
      </c>
      <c r="AC36" s="2933"/>
      <c r="AD36" s="2923">
        <f t="shared" si="35"/>
        <v>4.7999999999999996E-3</v>
      </c>
    </row>
    <row r="37" spans="1:30" ht="14.25" thickTop="1"/>
    <row r="38" spans="1:30">
      <c r="A38" s="3140" t="s">
        <v>3358</v>
      </c>
    </row>
  </sheetData>
  <mergeCells count="4">
    <mergeCell ref="R21:W21"/>
    <mergeCell ref="Y21:AD21"/>
    <mergeCell ref="R1:W1"/>
    <mergeCell ref="Y1:AD1"/>
  </mergeCells>
  <phoneticPr fontId="1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H123"/>
  <sheetViews>
    <sheetView topLeftCell="L1"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23" t="s">
        <v>452</v>
      </c>
      <c r="C1" s="3523"/>
      <c r="D1" s="3523"/>
      <c r="E1" s="3523"/>
      <c r="F1" s="3523"/>
      <c r="G1" s="3519" t="s">
        <v>453</v>
      </c>
      <c r="H1" s="3519"/>
      <c r="I1" s="3519"/>
      <c r="J1" s="3519"/>
      <c r="K1" s="3519"/>
      <c r="L1" s="3519"/>
      <c r="N1" s="3519" t="s">
        <v>454</v>
      </c>
      <c r="O1" s="3519"/>
      <c r="P1" s="3519"/>
      <c r="Q1" s="3519"/>
      <c r="S1" s="3519" t="s">
        <v>455</v>
      </c>
      <c r="T1" s="3519"/>
      <c r="U1" s="3519"/>
      <c r="V1" s="3519"/>
      <c r="X1" s="3518" t="s">
        <v>456</v>
      </c>
      <c r="Y1" s="3519"/>
      <c r="Z1" s="3519"/>
      <c r="AA1" s="3519"/>
      <c r="AB1" s="3519"/>
      <c r="AD1" s="3518" t="s">
        <v>457</v>
      </c>
      <c r="AE1" s="3519"/>
      <c r="AF1" s="3519"/>
      <c r="AG1" s="3519"/>
      <c r="AH1" s="3519"/>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2110</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3353</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3350</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2111</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3351</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3352</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2423</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2300</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2299</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2298</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2296</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2295</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2126</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2124</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2123</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2122</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2120</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2119</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2121</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21">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2117</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21"/>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2116</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21"/>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2109</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28"/>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2107</v>
      </c>
      <c r="B25" s="2047">
        <v>439</v>
      </c>
      <c r="C25" s="2047">
        <v>327</v>
      </c>
      <c r="D25" s="2047">
        <f>C25</f>
        <v>327</v>
      </c>
      <c r="E25" s="2047">
        <v>627</v>
      </c>
      <c r="F25" s="2048">
        <v>283</v>
      </c>
      <c r="G25" s="3524">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2108</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21"/>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21"/>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28"/>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24">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21"/>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21"/>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22"/>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20">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21"/>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21"/>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22"/>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20">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21"/>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21"/>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22"/>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25">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26"/>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26"/>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27"/>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20">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21"/>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21"/>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22"/>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20">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21">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21">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22">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20">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21">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21">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22">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20">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21">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21">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22">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20">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21">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21">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22">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20">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21">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21">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22">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20">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21">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21">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22">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20">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21">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21">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22">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20">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21">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21">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22">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20">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21">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21">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22">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20">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21">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21">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22">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07" t="str">
        <f>IF(项目基本情况!B9="房地产市场价值","估价结果一览表","结果表-2")</f>
        <v>结果表-2</v>
      </c>
      <c r="B1" s="3207"/>
      <c r="C1" s="3207"/>
      <c r="D1" s="3207"/>
      <c r="E1" s="3207"/>
      <c r="F1" s="3207"/>
      <c r="G1" s="3207"/>
      <c r="H1" s="3207"/>
      <c r="I1" s="3207"/>
    </row>
    <row r="2" spans="1:9" ht="30" customHeight="1" thickTop="1">
      <c r="A2" s="3208" t="s">
        <v>928</v>
      </c>
      <c r="B2" s="3208" t="s">
        <v>929</v>
      </c>
      <c r="C2" s="3208" t="s">
        <v>930</v>
      </c>
      <c r="D2" s="3208" t="str">
        <f>结果表!D116</f>
        <v>出让国有建设用地使用权价值</v>
      </c>
      <c r="E2" s="3208"/>
      <c r="F2" s="3208" t="str">
        <f>结果表!F116</f>
        <v>在建建筑物价值</v>
      </c>
      <c r="G2" s="3208"/>
      <c r="H2" s="3208" t="str">
        <f>IF(项目基本情况!B9="房地产市场价值","房地产市场价值","房地产价值")</f>
        <v>房地产价值</v>
      </c>
      <c r="I2" s="3208"/>
    </row>
    <row r="3" spans="1:9" ht="15">
      <c r="A3" s="3203"/>
      <c r="B3" s="3203"/>
      <c r="C3" s="3203"/>
      <c r="D3" s="800" t="s">
        <v>925</v>
      </c>
      <c r="E3" s="800" t="s">
        <v>931</v>
      </c>
      <c r="F3" s="800" t="s">
        <v>925</v>
      </c>
      <c r="G3" s="800" t="s">
        <v>926</v>
      </c>
      <c r="H3" s="800" t="s">
        <v>925</v>
      </c>
      <c r="I3" s="800" t="s">
        <v>926</v>
      </c>
    </row>
    <row r="4" spans="1:9" ht="15">
      <c r="A4" s="1402" t="str">
        <f>项目基本情况!S2</f>
        <v>北京市房地产</v>
      </c>
      <c r="B4" s="800">
        <f>项目基本情况!C17</f>
        <v>6356.88</v>
      </c>
      <c r="C4" s="800">
        <f>项目基本情况!C18</f>
        <v>0</v>
      </c>
      <c r="D4" s="800">
        <f ca="1">结果表!D118</f>
        <v>817</v>
      </c>
      <c r="E4" s="800">
        <f ca="1">结果表!E118</f>
        <v>1286</v>
      </c>
      <c r="F4" s="800">
        <f ca="1">结果表!F118</f>
        <v>6</v>
      </c>
      <c r="G4" s="800">
        <f ca="1">结果表!G118</f>
        <v>9</v>
      </c>
      <c r="H4" s="800">
        <f ca="1">结果表!H118</f>
        <v>823</v>
      </c>
      <c r="I4" s="800">
        <f ca="1">结果表!I118</f>
        <v>1295</v>
      </c>
    </row>
    <row r="5" spans="1:9" ht="30" customHeight="1">
      <c r="A5" s="3203" t="s">
        <v>927</v>
      </c>
      <c r="B5" s="3203"/>
      <c r="C5" s="3203"/>
      <c r="D5" s="3203" t="str">
        <f ca="1">结果表!D119</f>
        <v>捌佰壹拾柒万元整</v>
      </c>
      <c r="E5" s="3203"/>
      <c r="F5" s="3203" t="str">
        <f ca="1">结果表!F119</f>
        <v>陆万元整</v>
      </c>
      <c r="G5" s="3203"/>
      <c r="H5" s="3203" t="str">
        <f ca="1">结果表!H119</f>
        <v>捌佰贰拾叁万元整</v>
      </c>
      <c r="I5" s="3203"/>
    </row>
    <row r="6" spans="1:9" ht="15.75">
      <c r="A6" s="3202" t="str">
        <f>结果表!A120</f>
        <v>估价师知悉的法定优先受偿款</v>
      </c>
      <c r="B6" s="3202"/>
      <c r="C6" s="3202"/>
      <c r="D6" s="3202">
        <f>结果表!D120</f>
        <v>0</v>
      </c>
      <c r="E6" s="3202"/>
      <c r="F6" s="3202"/>
      <c r="G6" s="3202"/>
      <c r="H6" s="3202"/>
      <c r="I6" s="3202"/>
    </row>
    <row r="7" spans="1:9" ht="15">
      <c r="A7" s="3203" t="s">
        <v>927</v>
      </c>
      <c r="B7" s="3203"/>
      <c r="C7" s="3203"/>
      <c r="D7" s="3204" t="str">
        <f>结果表!D121</f>
        <v>零元整</v>
      </c>
      <c r="E7" s="3205"/>
      <c r="F7" s="3205"/>
      <c r="G7" s="3205"/>
      <c r="H7" s="3205"/>
      <c r="I7" s="3206"/>
    </row>
    <row r="8" spans="1:9" ht="15.75">
      <c r="A8" s="3202" t="str">
        <f>结果表!A122</f>
        <v>房地产抵押价值</v>
      </c>
      <c r="B8" s="3202"/>
      <c r="C8" s="3202"/>
      <c r="D8" s="3202">
        <f ca="1">结果表!D122</f>
        <v>823</v>
      </c>
      <c r="E8" s="3202"/>
      <c r="F8" s="3202"/>
      <c r="G8" s="3202"/>
      <c r="H8" s="3202"/>
      <c r="I8" s="3202"/>
    </row>
    <row r="9" spans="1:9" ht="15">
      <c r="A9" s="3203" t="s">
        <v>927</v>
      </c>
      <c r="B9" s="3203"/>
      <c r="C9" s="3203"/>
      <c r="D9" s="3203" t="str">
        <f ca="1">结果表!D123</f>
        <v>捌佰贰拾叁万元整</v>
      </c>
      <c r="E9" s="3203"/>
      <c r="F9" s="3203"/>
      <c r="G9" s="3203"/>
      <c r="H9" s="3203"/>
      <c r="I9" s="3203"/>
    </row>
    <row r="10" spans="1:9" ht="15.75">
      <c r="A10" s="3202" t="str">
        <f>结果表!A124</f>
        <v/>
      </c>
      <c r="B10" s="3202"/>
      <c r="C10" s="3202"/>
      <c r="D10" s="3202" t="str">
        <f>结果表!D124</f>
        <v>——</v>
      </c>
      <c r="E10" s="3202"/>
      <c r="F10" s="3202"/>
      <c r="G10" s="3202"/>
      <c r="H10" s="3202"/>
      <c r="I10" s="3202"/>
    </row>
    <row r="11" spans="1:9" ht="15">
      <c r="A11" s="3203" t="s">
        <v>927</v>
      </c>
      <c r="B11" s="3203"/>
      <c r="C11" s="3203"/>
      <c r="D11" s="3203" t="e">
        <f>结果表!D125</f>
        <v>#VALUE!</v>
      </c>
      <c r="E11" s="3203"/>
      <c r="F11" s="3203"/>
      <c r="G11" s="3203"/>
      <c r="H11" s="3203"/>
      <c r="I11" s="3203"/>
    </row>
    <row r="12" spans="1:9" ht="15.75">
      <c r="A12" s="3202" t="str">
        <f>结果表!A126</f>
        <v>抵押净值</v>
      </c>
      <c r="B12" s="3202"/>
      <c r="C12" s="3202"/>
      <c r="D12" s="3202">
        <f ca="1">结果表!D126</f>
        <v>794</v>
      </c>
      <c r="E12" s="3202"/>
      <c r="F12" s="3202"/>
      <c r="G12" s="3202"/>
      <c r="H12" s="3202"/>
      <c r="I12" s="3202"/>
    </row>
    <row r="13" spans="1:9" ht="15.75" thickBot="1">
      <c r="A13" s="3200" t="s">
        <v>927</v>
      </c>
      <c r="B13" s="3200"/>
      <c r="C13" s="3200"/>
      <c r="D13" s="3200" t="str">
        <f ca="1">结果表!D127</f>
        <v>柒佰玖拾肆万元整</v>
      </c>
      <c r="E13" s="3200"/>
      <c r="F13" s="3200"/>
      <c r="G13" s="3200"/>
      <c r="H13" s="3200"/>
      <c r="I13" s="3200"/>
    </row>
    <row r="14" spans="1:9" ht="15" thickTop="1">
      <c r="A14" s="3201" t="s">
        <v>932</v>
      </c>
      <c r="B14" s="3201"/>
      <c r="C14" s="3201"/>
      <c r="D14" s="3201"/>
      <c r="E14" s="3201"/>
      <c r="F14" s="3201"/>
      <c r="G14" s="3201"/>
      <c r="H14" s="3201"/>
      <c r="I14" s="3201"/>
    </row>
    <row r="16" spans="1:9" ht="18.75">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2"/>
  <sheetViews>
    <sheetView workbookViewId="0">
      <selection activeCell="H3" sqref="H3"/>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45022</v>
      </c>
      <c r="D1" s="1216" t="s">
        <v>603</v>
      </c>
      <c r="E1" s="1211">
        <f>'数据-取费表'!B22</f>
        <v>2</v>
      </c>
      <c r="F1" s="1216" t="s">
        <v>604</v>
      </c>
      <c r="G1" s="1212">
        <f ca="1">INDIRECT("d"&amp;$K$1)/100</f>
        <v>3.6499999999999998E-2</v>
      </c>
      <c r="H1" s="1216" t="s">
        <v>634</v>
      </c>
      <c r="I1" s="1212">
        <f ca="1">F4/100</f>
        <v>1.4999999999999999E-2</v>
      </c>
      <c r="J1" s="1217">
        <f>IF(C1&gt;C13,0,MATCH(C1,C$13:C$109,-1))+IF(SUMIF(C13:C109,C1,D13:D109)=0,13,12)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3.65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3.65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3.65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3.65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4.3</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2">
        <v>44795</v>
      </c>
      <c r="D13" s="1200">
        <v>3.65</v>
      </c>
      <c r="E13" s="1200">
        <f>D13</f>
        <v>3.65</v>
      </c>
      <c r="F13" s="1200">
        <f>D13</f>
        <v>3.65</v>
      </c>
      <c r="G13" s="1200">
        <f>D13</f>
        <v>3.65</v>
      </c>
      <c r="H13" s="1200">
        <v>4.3</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44701</v>
      </c>
      <c r="D14" s="1204">
        <v>3.7</v>
      </c>
      <c r="E14" s="1204">
        <f>D14</f>
        <v>3.7</v>
      </c>
      <c r="F14" s="1204">
        <f>D14</f>
        <v>3.7</v>
      </c>
      <c r="G14" s="1204">
        <f>D14</f>
        <v>3.7</v>
      </c>
      <c r="H14" s="1204">
        <v>4.45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44581</v>
      </c>
      <c r="D15" s="1204">
        <v>3.7</v>
      </c>
      <c r="E15" s="1204">
        <f>D15</f>
        <v>3.7</v>
      </c>
      <c r="F15" s="1204">
        <f>D15</f>
        <v>3.7</v>
      </c>
      <c r="G15" s="1204">
        <f>D15</f>
        <v>3.7</v>
      </c>
      <c r="H15" s="1204">
        <v>4.5999999999999996</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204"/>
      <c r="C16" s="1205">
        <v>44550</v>
      </c>
      <c r="D16" s="1204">
        <v>3.8</v>
      </c>
      <c r="E16" s="1204">
        <f>D16</f>
        <v>3.8</v>
      </c>
      <c r="F16" s="1204">
        <f>D16</f>
        <v>3.8</v>
      </c>
      <c r="G16" s="1204">
        <f>D16</f>
        <v>3.8</v>
      </c>
      <c r="H16" s="1204">
        <v>4.6500000000000004</v>
      </c>
      <c r="I16" s="1204"/>
      <c r="J16" s="1200"/>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204"/>
      <c r="C17" s="1205">
        <v>43941</v>
      </c>
      <c r="D17" s="1204">
        <v>3.85</v>
      </c>
      <c r="E17" s="1204">
        <v>3.85</v>
      </c>
      <c r="F17" s="1204">
        <v>3.85</v>
      </c>
      <c r="G17" s="1204">
        <v>3.85</v>
      </c>
      <c r="H17" s="1204">
        <v>4.6500000000000004</v>
      </c>
      <c r="I17" s="1204"/>
      <c r="J17" s="1204"/>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43881</v>
      </c>
      <c r="D18" s="1204">
        <v>4.05</v>
      </c>
      <c r="E18" s="1204">
        <v>4.05</v>
      </c>
      <c r="F18" s="1204">
        <v>4.05</v>
      </c>
      <c r="G18" s="1204">
        <v>4.05</v>
      </c>
      <c r="H18" s="1204">
        <v>4.75</v>
      </c>
      <c r="I18" s="1204"/>
      <c r="J18" s="1204"/>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4.25">
      <c r="A19" s="1198"/>
      <c r="B19" s="1204"/>
      <c r="C19" s="1205">
        <v>43789</v>
      </c>
      <c r="D19" s="1204">
        <v>4.1500000000000004</v>
      </c>
      <c r="E19" s="1204">
        <v>4.1500000000000004</v>
      </c>
      <c r="F19" s="1204">
        <v>4.1500000000000004</v>
      </c>
      <c r="G19" s="1204">
        <v>4.1500000000000004</v>
      </c>
      <c r="H19" s="1204">
        <v>4.8</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43728</v>
      </c>
      <c r="D20" s="1204">
        <v>4.2</v>
      </c>
      <c r="E20" s="1204">
        <v>4.2</v>
      </c>
      <c r="F20" s="1204">
        <v>4.2</v>
      </c>
      <c r="G20" s="1204">
        <v>4.2</v>
      </c>
      <c r="H20" s="1204">
        <v>4.8499999999999996</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t="s">
        <v>2297</v>
      </c>
      <c r="C21" s="1206">
        <v>43697</v>
      </c>
      <c r="D21" s="2571">
        <v>4.25</v>
      </c>
      <c r="E21" s="2571">
        <v>4.25</v>
      </c>
      <c r="F21" s="2571">
        <v>4.25</v>
      </c>
      <c r="G21" s="2571">
        <v>4.25</v>
      </c>
      <c r="H21" s="2571">
        <v>4.8499999999999996</v>
      </c>
      <c r="I21" s="2571"/>
      <c r="J21" s="2571"/>
      <c r="K21" s="1187"/>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2573"/>
      <c r="B22" s="2574"/>
      <c r="C22" s="2575">
        <v>42301</v>
      </c>
      <c r="D22" s="2576">
        <v>4.3499999999999996</v>
      </c>
      <c r="E22" s="2576">
        <v>4.3499999999999996</v>
      </c>
      <c r="F22" s="2576">
        <v>4.75</v>
      </c>
      <c r="G22" s="2576">
        <v>4.75</v>
      </c>
      <c r="H22" s="2576">
        <v>4.9000000000000004</v>
      </c>
      <c r="I22" s="2576"/>
      <c r="J22" s="2576"/>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c r="B23" s="1204"/>
      <c r="C23" s="1205">
        <v>42242</v>
      </c>
      <c r="D23" s="1204">
        <v>4.5999999999999996</v>
      </c>
      <c r="E23" s="1204">
        <v>4.5999999999999996</v>
      </c>
      <c r="F23" s="1204">
        <v>5</v>
      </c>
      <c r="G23" s="1204">
        <v>5</v>
      </c>
      <c r="H23" s="1204">
        <v>5.15</v>
      </c>
      <c r="I23" s="1204">
        <v>2.75</v>
      </c>
      <c r="J23" s="1204">
        <v>3.25</v>
      </c>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42183</v>
      </c>
      <c r="D24" s="1204">
        <v>4.8499999999999996</v>
      </c>
      <c r="E24" s="1204">
        <v>4.8499999999999996</v>
      </c>
      <c r="F24" s="1204">
        <v>5.25</v>
      </c>
      <c r="G24" s="1204">
        <v>5.25</v>
      </c>
      <c r="H24" s="1204">
        <v>5.4</v>
      </c>
      <c r="I24" s="1204">
        <v>3</v>
      </c>
      <c r="J24" s="1204">
        <v>3.5</v>
      </c>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42135</v>
      </c>
      <c r="D25" s="1204">
        <v>5.0999999999999996</v>
      </c>
      <c r="E25" s="1204">
        <v>5.0999999999999996</v>
      </c>
      <c r="F25" s="1204">
        <v>5.5</v>
      </c>
      <c r="G25" s="1204">
        <v>5.5</v>
      </c>
      <c r="H25" s="1204">
        <v>5.65</v>
      </c>
      <c r="I25" s="1204">
        <v>3.25</v>
      </c>
      <c r="J25" s="1204">
        <v>3.75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42064</v>
      </c>
      <c r="D26" s="1204">
        <v>5.35</v>
      </c>
      <c r="E26" s="1204">
        <v>5.35</v>
      </c>
      <c r="F26" s="1204">
        <v>5.75</v>
      </c>
      <c r="G26" s="1204">
        <v>5.75</v>
      </c>
      <c r="H26" s="1204">
        <v>5.9</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41965</v>
      </c>
      <c r="D27" s="1204">
        <v>5.6</v>
      </c>
      <c r="E27" s="1204">
        <v>5.6</v>
      </c>
      <c r="F27" s="1204">
        <v>6</v>
      </c>
      <c r="G27" s="1204">
        <v>6</v>
      </c>
      <c r="H27" s="1204">
        <v>6.15</v>
      </c>
      <c r="I27" s="1204"/>
      <c r="J27" s="120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41096</v>
      </c>
      <c r="D28" s="1204">
        <v>5.6</v>
      </c>
      <c r="E28" s="1204">
        <v>6</v>
      </c>
      <c r="F28" s="1204">
        <v>6.15</v>
      </c>
      <c r="G28" s="1204">
        <v>6.4</v>
      </c>
      <c r="H28" s="1204">
        <v>6.55</v>
      </c>
      <c r="I28" s="1204">
        <v>4</v>
      </c>
      <c r="J28" s="1204">
        <v>4.5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41068</v>
      </c>
      <c r="D29" s="1204">
        <v>5.85</v>
      </c>
      <c r="E29" s="1204">
        <v>6.31</v>
      </c>
      <c r="F29" s="1204">
        <v>6.4</v>
      </c>
      <c r="G29" s="1204">
        <v>6.65</v>
      </c>
      <c r="H29" s="1204">
        <v>6.8</v>
      </c>
      <c r="I29" s="1204">
        <v>4.2</v>
      </c>
      <c r="J29" s="1204">
        <v>4.7</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40731</v>
      </c>
      <c r="D30" s="1204">
        <v>6.1</v>
      </c>
      <c r="E30" s="1204">
        <v>6.56</v>
      </c>
      <c r="F30" s="1204">
        <v>6.65</v>
      </c>
      <c r="G30" s="1204">
        <v>6.9</v>
      </c>
      <c r="H30" s="1204">
        <v>7.05</v>
      </c>
      <c r="I30" s="1204">
        <v>4.45</v>
      </c>
      <c r="J30" s="1204">
        <v>4.9000000000000004</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40639</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40583</v>
      </c>
      <c r="D32" s="1204">
        <v>5.6</v>
      </c>
      <c r="E32" s="1204">
        <v>6.06</v>
      </c>
      <c r="F32" s="1204">
        <v>6.1</v>
      </c>
      <c r="G32" s="1204">
        <v>6.45</v>
      </c>
      <c r="H32" s="1204">
        <v>6.6</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40538</v>
      </c>
      <c r="D33" s="1204">
        <v>5.35</v>
      </c>
      <c r="E33" s="1204">
        <v>5.81</v>
      </c>
      <c r="F33" s="1204">
        <v>5.85</v>
      </c>
      <c r="G33" s="1204">
        <v>6.22</v>
      </c>
      <c r="H33" s="1204">
        <v>6.4</v>
      </c>
      <c r="I33" s="1204">
        <v>3.75</v>
      </c>
      <c r="J33" s="1204">
        <v>4.3</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40471</v>
      </c>
      <c r="D34" s="1204">
        <v>5.0999999999999996</v>
      </c>
      <c r="E34" s="1204">
        <v>5.56</v>
      </c>
      <c r="F34" s="1204">
        <v>5.6</v>
      </c>
      <c r="G34" s="1204">
        <v>5.96</v>
      </c>
      <c r="H34" s="1204">
        <v>6.14</v>
      </c>
      <c r="I34" s="1204">
        <v>3.5</v>
      </c>
      <c r="J34" s="1204">
        <v>4.05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39805</v>
      </c>
      <c r="D35" s="1204">
        <v>4.8600000000000003</v>
      </c>
      <c r="E35" s="1204">
        <v>5.31</v>
      </c>
      <c r="F35" s="1204">
        <v>5.4</v>
      </c>
      <c r="G35" s="1204">
        <v>5.76</v>
      </c>
      <c r="H35" s="1204">
        <v>5.94</v>
      </c>
      <c r="I35" s="1204">
        <v>3.33</v>
      </c>
      <c r="J35" s="1204">
        <v>3.87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39779</v>
      </c>
      <c r="D36" s="1204">
        <v>5.04</v>
      </c>
      <c r="E36" s="1204">
        <v>5.58</v>
      </c>
      <c r="F36" s="1204">
        <v>5.67</v>
      </c>
      <c r="G36" s="1204">
        <v>5.94</v>
      </c>
      <c r="H36" s="1204">
        <v>6.12</v>
      </c>
      <c r="I36" s="1204">
        <v>3.51</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39751</v>
      </c>
      <c r="D37" s="1204">
        <v>6.03</v>
      </c>
      <c r="E37" s="1204">
        <v>6.66</v>
      </c>
      <c r="F37" s="1204">
        <v>6.75</v>
      </c>
      <c r="G37" s="1204">
        <v>7.02</v>
      </c>
      <c r="H37" s="1204">
        <v>7.2</v>
      </c>
      <c r="I37" s="1204">
        <v>4.05</v>
      </c>
      <c r="J37" s="1204">
        <v>4.59</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6">
        <v>39748</v>
      </c>
      <c r="D38" s="1204">
        <v>6.12</v>
      </c>
      <c r="E38" s="1204">
        <v>6.93</v>
      </c>
      <c r="F38" s="1204">
        <v>7.02</v>
      </c>
      <c r="G38" s="1204">
        <v>7.29</v>
      </c>
      <c r="H38" s="1204">
        <v>7.47</v>
      </c>
      <c r="I38" s="1204">
        <v>4.05</v>
      </c>
      <c r="J38" s="1204">
        <v>4.59</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39730</v>
      </c>
      <c r="D39" s="1204">
        <v>6.12</v>
      </c>
      <c r="E39" s="1204">
        <v>6.93</v>
      </c>
      <c r="F39" s="1204">
        <v>7.02</v>
      </c>
      <c r="G39" s="1204">
        <v>7.29</v>
      </c>
      <c r="H39" s="1204">
        <v>7.47</v>
      </c>
      <c r="I39" s="1204">
        <v>4.32</v>
      </c>
      <c r="J39" s="1204">
        <v>4.8600000000000003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39707</v>
      </c>
      <c r="D40" s="1204">
        <v>6.21</v>
      </c>
      <c r="E40" s="1204">
        <v>7.2</v>
      </c>
      <c r="F40" s="1204">
        <v>7.29</v>
      </c>
      <c r="G40" s="1204">
        <v>7.56</v>
      </c>
      <c r="H40" s="1204">
        <v>7.74</v>
      </c>
      <c r="I40" s="1204">
        <v>4.59</v>
      </c>
      <c r="J40" s="1204">
        <v>5.13</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39437</v>
      </c>
      <c r="D41" s="1204">
        <v>6.57</v>
      </c>
      <c r="E41" s="1204">
        <v>7.47</v>
      </c>
      <c r="F41" s="1204">
        <v>7.56</v>
      </c>
      <c r="G41" s="1204">
        <v>7.74</v>
      </c>
      <c r="H41" s="1204">
        <v>7.83</v>
      </c>
      <c r="I41" s="1204">
        <v>4.7699999999999996</v>
      </c>
      <c r="J41" s="1204">
        <v>5.22</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39340</v>
      </c>
      <c r="D42" s="1204">
        <v>6.48</v>
      </c>
      <c r="E42" s="1204">
        <v>7.29</v>
      </c>
      <c r="F42" s="1204">
        <v>7.47</v>
      </c>
      <c r="G42" s="1204">
        <v>7.65</v>
      </c>
      <c r="H42" s="1204">
        <v>7.83</v>
      </c>
      <c r="I42" s="1204">
        <v>4.7699999999999996</v>
      </c>
      <c r="J42" s="1204">
        <v>5.22</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39316</v>
      </c>
      <c r="D43" s="1204">
        <v>6.21</v>
      </c>
      <c r="E43" s="1204">
        <v>7.02</v>
      </c>
      <c r="F43" s="1204">
        <v>7.2</v>
      </c>
      <c r="G43" s="1204">
        <v>7.38</v>
      </c>
      <c r="H43" s="1204">
        <v>7.56</v>
      </c>
      <c r="I43" s="1204">
        <v>4.59</v>
      </c>
      <c r="J43" s="1204">
        <v>5.04</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39284</v>
      </c>
      <c r="D44" s="1204">
        <v>6.03</v>
      </c>
      <c r="E44" s="1204">
        <v>6.84</v>
      </c>
      <c r="F44" s="1204">
        <v>7.02</v>
      </c>
      <c r="G44" s="1204">
        <v>7.2</v>
      </c>
      <c r="H44" s="1204">
        <v>7.38</v>
      </c>
      <c r="I44" s="1204">
        <v>4.5</v>
      </c>
      <c r="J44" s="1204">
        <v>4.95</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39221</v>
      </c>
      <c r="D45" s="1204">
        <v>5.85</v>
      </c>
      <c r="E45" s="1204">
        <v>6.57</v>
      </c>
      <c r="F45" s="1204">
        <v>6.75</v>
      </c>
      <c r="G45" s="1204">
        <v>6.93</v>
      </c>
      <c r="H45" s="1204">
        <v>7.2</v>
      </c>
      <c r="I45" s="1204">
        <v>4.41</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39159</v>
      </c>
      <c r="D46" s="1204">
        <v>5.67</v>
      </c>
      <c r="E46" s="1204">
        <v>6.39</v>
      </c>
      <c r="F46" s="1204">
        <v>6.57</v>
      </c>
      <c r="G46" s="1204">
        <v>6.75</v>
      </c>
      <c r="H46" s="1204">
        <v>7.11</v>
      </c>
      <c r="I46" s="1204">
        <v>4.32</v>
      </c>
      <c r="J46" s="1204">
        <v>4.7699999999999996</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38948</v>
      </c>
      <c r="D47" s="1204">
        <v>5.58</v>
      </c>
      <c r="E47" s="1204">
        <v>6.12</v>
      </c>
      <c r="F47" s="1204">
        <v>6.3</v>
      </c>
      <c r="G47" s="1204">
        <v>6.48</v>
      </c>
      <c r="H47" s="1204">
        <v>6.84</v>
      </c>
      <c r="I47" s="1204">
        <v>4.1399999999999997</v>
      </c>
      <c r="J47" s="1204">
        <v>4.59</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38835</v>
      </c>
      <c r="D48" s="1204">
        <v>5.4</v>
      </c>
      <c r="E48" s="1204">
        <v>5.85</v>
      </c>
      <c r="F48" s="1204">
        <v>6.03</v>
      </c>
      <c r="G48" s="1204">
        <v>6.12</v>
      </c>
      <c r="H48" s="1204">
        <v>6.39</v>
      </c>
      <c r="I48" s="1204">
        <v>4.1399999999999997</v>
      </c>
      <c r="J48" s="1204">
        <v>4.59</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38428</v>
      </c>
      <c r="D49" s="1204">
        <v>5.22</v>
      </c>
      <c r="E49" s="1204">
        <v>5.58</v>
      </c>
      <c r="F49" s="1204">
        <v>5.76</v>
      </c>
      <c r="G49" s="1204">
        <v>5.85</v>
      </c>
      <c r="H49" s="1204">
        <v>6.12</v>
      </c>
      <c r="I49" s="1204">
        <v>3.96</v>
      </c>
      <c r="J49" s="1204">
        <v>4.41</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38289</v>
      </c>
      <c r="D50" s="1204">
        <v>5.22</v>
      </c>
      <c r="E50" s="1204">
        <v>5.58</v>
      </c>
      <c r="F50" s="1204">
        <v>5.76</v>
      </c>
      <c r="G50" s="1204">
        <v>5.85</v>
      </c>
      <c r="H50" s="1204">
        <v>6.12</v>
      </c>
      <c r="I50" s="1204">
        <v>3.78</v>
      </c>
      <c r="J50" s="1204">
        <v>4.2300000000000004</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37308</v>
      </c>
      <c r="D51" s="1204">
        <v>5.04</v>
      </c>
      <c r="E51" s="1204">
        <v>5.31</v>
      </c>
      <c r="F51" s="1204">
        <v>5.49</v>
      </c>
      <c r="G51" s="1204">
        <v>5.58</v>
      </c>
      <c r="H51" s="1204">
        <v>5.76</v>
      </c>
      <c r="I51" s="1204">
        <v>3.6</v>
      </c>
      <c r="J51" s="1204">
        <v>4.05</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36321</v>
      </c>
      <c r="D52" s="1204">
        <v>5.58</v>
      </c>
      <c r="E52" s="1204">
        <v>5.85</v>
      </c>
      <c r="F52" s="1204">
        <v>5.94</v>
      </c>
      <c r="G52" s="1204">
        <v>6.03</v>
      </c>
      <c r="H52" s="1204">
        <v>6.21</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36136</v>
      </c>
      <c r="D53" s="1204">
        <v>6.12</v>
      </c>
      <c r="E53" s="1204">
        <v>6.39</v>
      </c>
      <c r="F53" s="1204">
        <v>6.66</v>
      </c>
      <c r="G53" s="1204">
        <v>7.2</v>
      </c>
      <c r="H53" s="1204">
        <v>7.56</v>
      </c>
      <c r="I53" s="1204">
        <v>0</v>
      </c>
      <c r="J53" s="1204">
        <v>0</v>
      </c>
      <c r="L53" s="1204"/>
      <c r="M53" s="1205"/>
      <c r="N53" s="1204"/>
      <c r="O53" s="1204"/>
      <c r="P53" s="1204"/>
      <c r="Q53" s="1204"/>
      <c r="R53" s="1204"/>
      <c r="S53" s="1204"/>
      <c r="T53" s="1204"/>
      <c r="U53" s="1204"/>
      <c r="V53" s="1204"/>
      <c r="W53" s="1204"/>
      <c r="X53" s="1204"/>
      <c r="Y53" s="1204"/>
      <c r="Z53" s="1204"/>
    </row>
    <row r="54" spans="2:26">
      <c r="B54" s="1204"/>
      <c r="C54" s="1205">
        <v>35977</v>
      </c>
      <c r="D54" s="1204">
        <v>6.57</v>
      </c>
      <c r="E54" s="1204">
        <v>6.93</v>
      </c>
      <c r="F54" s="1204">
        <v>7.11</v>
      </c>
      <c r="G54" s="1204">
        <v>7.65</v>
      </c>
      <c r="H54" s="1204">
        <v>8.01</v>
      </c>
      <c r="I54" s="1204">
        <v>0</v>
      </c>
      <c r="J54" s="1204">
        <v>0</v>
      </c>
      <c r="L54" s="1204"/>
      <c r="M54" s="1205"/>
      <c r="N54" s="1204"/>
      <c r="O54" s="1204"/>
      <c r="P54" s="1204"/>
      <c r="Q54" s="1204"/>
      <c r="R54" s="1204"/>
      <c r="S54" s="1204"/>
      <c r="T54" s="1204"/>
      <c r="U54" s="1204"/>
      <c r="V54" s="1204"/>
      <c r="W54" s="1204"/>
      <c r="X54" s="1204"/>
      <c r="Y54" s="1204"/>
      <c r="Z54" s="1204"/>
    </row>
    <row r="55" spans="2:26">
      <c r="B55" s="1204"/>
      <c r="C55" s="1205">
        <v>35879</v>
      </c>
      <c r="D55" s="1204">
        <v>7.02</v>
      </c>
      <c r="E55" s="1204">
        <v>7.92</v>
      </c>
      <c r="F55" s="1204">
        <v>9</v>
      </c>
      <c r="G55" s="1204">
        <v>9.7200000000000006</v>
      </c>
      <c r="H55" s="1204">
        <v>10.35</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35726</v>
      </c>
      <c r="D56" s="1204">
        <v>7.65</v>
      </c>
      <c r="E56" s="1204">
        <v>8.64</v>
      </c>
      <c r="F56" s="1204">
        <v>9.36</v>
      </c>
      <c r="G56" s="1204">
        <v>9.9</v>
      </c>
      <c r="H56" s="1204">
        <v>10.53</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35300</v>
      </c>
      <c r="D57" s="1204">
        <v>9.18</v>
      </c>
      <c r="E57" s="1204">
        <v>10.08</v>
      </c>
      <c r="F57" s="1204">
        <v>10.98</v>
      </c>
      <c r="G57" s="1204">
        <v>11.7</v>
      </c>
      <c r="H57" s="1204">
        <v>12.42</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35186</v>
      </c>
      <c r="D58" s="1204">
        <v>9.7200000000000006</v>
      </c>
      <c r="E58" s="1204">
        <v>10.98</v>
      </c>
      <c r="F58" s="1204">
        <v>13.14</v>
      </c>
      <c r="G58" s="1204">
        <v>14.94</v>
      </c>
      <c r="H58" s="1204">
        <v>15.12</v>
      </c>
      <c r="I58" s="1204">
        <v>0</v>
      </c>
      <c r="J58" s="1204">
        <v>0</v>
      </c>
    </row>
    <row r="59" spans="2:26">
      <c r="B59" s="1204"/>
      <c r="C59" s="1205">
        <v>34881</v>
      </c>
      <c r="D59" s="1204">
        <v>10.08</v>
      </c>
      <c r="E59" s="1204">
        <v>12.06</v>
      </c>
      <c r="F59" s="1204">
        <v>13.5</v>
      </c>
      <c r="G59" s="1204">
        <v>15.12</v>
      </c>
      <c r="H59" s="1204">
        <v>15.3</v>
      </c>
      <c r="I59" s="1204">
        <v>0</v>
      </c>
      <c r="J59" s="1204">
        <v>0</v>
      </c>
    </row>
    <row r="60" spans="2:26">
      <c r="B60" s="1204"/>
      <c r="C60" s="1205">
        <v>34700</v>
      </c>
      <c r="D60" s="1204">
        <v>9</v>
      </c>
      <c r="E60" s="1204">
        <v>10.98</v>
      </c>
      <c r="F60" s="1204">
        <v>12.96</v>
      </c>
      <c r="G60" s="1204">
        <v>14.58</v>
      </c>
      <c r="H60" s="1204">
        <v>14.76</v>
      </c>
      <c r="I60" s="1204">
        <v>0</v>
      </c>
      <c r="J60" s="1204">
        <v>0</v>
      </c>
    </row>
    <row r="61" spans="2:26">
      <c r="B61" s="1204"/>
      <c r="C61" s="1205">
        <v>34161</v>
      </c>
      <c r="D61" s="1204">
        <v>9</v>
      </c>
      <c r="E61" s="1204">
        <v>10.98</v>
      </c>
      <c r="F61" s="1204">
        <v>12.24</v>
      </c>
      <c r="G61" s="1204">
        <v>13.86</v>
      </c>
      <c r="H61" s="1204">
        <v>14.04</v>
      </c>
      <c r="I61" s="1204">
        <v>0</v>
      </c>
      <c r="J61" s="1204">
        <v>0</v>
      </c>
    </row>
    <row r="62" spans="2:26">
      <c r="B62" s="1204"/>
      <c r="C62" s="1205">
        <v>34104</v>
      </c>
      <c r="D62" s="1204">
        <v>8.82</v>
      </c>
      <c r="E62" s="1204">
        <v>9.36</v>
      </c>
      <c r="F62" s="1204">
        <v>10.8</v>
      </c>
      <c r="G62" s="1204">
        <v>12.06</v>
      </c>
      <c r="H62" s="1204">
        <v>12.24</v>
      </c>
      <c r="I62" s="1204">
        <v>0</v>
      </c>
      <c r="J62" s="1204">
        <v>0</v>
      </c>
    </row>
    <row r="63" spans="2:26">
      <c r="B63" s="1204"/>
      <c r="C63" s="1205">
        <v>33349</v>
      </c>
      <c r="D63" s="1204">
        <v>8.1</v>
      </c>
      <c r="E63" s="1204">
        <v>8.64</v>
      </c>
      <c r="F63" s="1204">
        <v>9</v>
      </c>
      <c r="G63" s="1204">
        <v>9.5399999999999991</v>
      </c>
      <c r="H63" s="1204">
        <v>9.7200000000000006</v>
      </c>
      <c r="I63" s="1204">
        <v>0</v>
      </c>
      <c r="J63" s="1204">
        <v>0</v>
      </c>
    </row>
    <row r="64" spans="2:26">
      <c r="B64" s="1204"/>
      <c r="C64" s="1205">
        <v>33318</v>
      </c>
      <c r="D64" s="1204">
        <v>9</v>
      </c>
      <c r="E64" s="1204">
        <v>10.08</v>
      </c>
      <c r="F64" s="1204">
        <v>10.8</v>
      </c>
      <c r="G64" s="1204">
        <v>11.52</v>
      </c>
      <c r="H64" s="1204">
        <v>11.88</v>
      </c>
      <c r="I64" s="1204" t="s">
        <v>633</v>
      </c>
      <c r="J64" s="1204" t="s">
        <v>633</v>
      </c>
    </row>
    <row r="65" spans="2:10">
      <c r="B65" s="1204"/>
      <c r="C65" s="1205">
        <v>33106</v>
      </c>
      <c r="D65" s="1204">
        <v>8.64</v>
      </c>
      <c r="E65" s="1204">
        <v>9.36</v>
      </c>
      <c r="F65" s="1204">
        <v>10.08</v>
      </c>
      <c r="G65" s="1204">
        <v>10.8</v>
      </c>
      <c r="H65" s="1204">
        <v>11.16</v>
      </c>
      <c r="I65" s="1204">
        <v>0</v>
      </c>
      <c r="J65" s="1204">
        <v>0</v>
      </c>
    </row>
    <row r="66" spans="2:10">
      <c r="B66" s="1204"/>
      <c r="C66" s="1205">
        <v>32540</v>
      </c>
      <c r="D66" s="1204">
        <v>11.34</v>
      </c>
      <c r="E66" s="1204">
        <v>11.34</v>
      </c>
      <c r="F66" s="1204">
        <v>12.78</v>
      </c>
      <c r="G66" s="1204">
        <v>14.4</v>
      </c>
      <c r="H66" s="1204">
        <v>19.260000000000002</v>
      </c>
      <c r="I66" s="1204">
        <v>0</v>
      </c>
      <c r="J66" s="1204">
        <v>0</v>
      </c>
    </row>
    <row r="67" spans="2:10">
      <c r="B67" s="1204"/>
      <c r="C67" s="1205"/>
      <c r="D67" s="1204"/>
      <c r="E67" s="1204"/>
      <c r="F67" s="1204"/>
      <c r="G67" s="1204"/>
      <c r="H67" s="1204"/>
      <c r="I67" s="1204"/>
      <c r="J67" s="1204"/>
    </row>
    <row r="68" spans="2:10">
      <c r="B68" s="1207"/>
      <c r="C68" s="1208"/>
      <c r="D68" s="1207"/>
      <c r="E68" s="1207"/>
      <c r="F68" s="1207"/>
      <c r="G68" s="1207"/>
      <c r="H68" s="1207"/>
      <c r="I68" s="1207"/>
      <c r="J68" s="1207"/>
    </row>
    <row r="69" spans="2:10">
      <c r="B69" s="1207"/>
      <c r="C69" s="1208"/>
      <c r="D69" s="1207"/>
      <c r="E69" s="1207"/>
      <c r="F69" s="1207"/>
      <c r="G69" s="1207"/>
      <c r="H69" s="1207"/>
      <c r="I69" s="1207"/>
      <c r="J69" s="1207"/>
    </row>
    <row r="70" spans="2:10">
      <c r="B70" s="1207"/>
      <c r="C70" s="1208"/>
      <c r="D70" s="1207"/>
      <c r="E70" s="1207"/>
      <c r="F70" s="1207"/>
      <c r="G70" s="1207"/>
      <c r="H70" s="1207"/>
      <c r="I70" s="1207"/>
      <c r="J70" s="1207"/>
    </row>
    <row r="71" spans="2:10">
      <c r="B71" s="1158"/>
      <c r="C71" s="1158"/>
      <c r="D71" s="1158"/>
      <c r="E71" s="1158"/>
      <c r="F71" s="1158"/>
      <c r="G71" s="1158"/>
      <c r="H71" s="1158"/>
      <c r="I71" s="1158"/>
      <c r="J71" s="1158"/>
    </row>
    <row r="72" spans="2:10">
      <c r="B72" s="1158"/>
      <c r="C72" s="1158"/>
      <c r="D72" s="1158"/>
      <c r="E72" s="1158"/>
      <c r="F72" s="1158"/>
      <c r="G72" s="1158"/>
      <c r="H72" s="1158"/>
      <c r="I72" s="1158"/>
      <c r="J72" s="1158"/>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15" t="s">
        <v>949</v>
      </c>
      <c r="B1" s="3215"/>
      <c r="C1" s="3215"/>
      <c r="D1" s="3215"/>
    </row>
    <row r="2" spans="1:4" ht="18">
      <c r="A2" s="3216" t="s">
        <v>933</v>
      </c>
      <c r="B2" s="3216"/>
      <c r="C2" s="3216"/>
      <c r="D2" s="3216"/>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16" t="s">
        <v>939</v>
      </c>
      <c r="B6" s="3216"/>
      <c r="C6" s="3216"/>
      <c r="D6" s="3216"/>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17" t="s">
        <v>942</v>
      </c>
      <c r="B11" s="3209"/>
      <c r="C11" s="3209"/>
      <c r="D11" s="3209"/>
    </row>
    <row r="12" spans="1:4" ht="15.75">
      <c r="A12" s="32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4"/>
      <c r="C12" s="3214"/>
      <c r="D12" s="3214"/>
    </row>
    <row r="13" spans="1:4" ht="30" customHeight="1">
      <c r="A13" s="32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4"/>
      <c r="C13" s="3214"/>
      <c r="D13" s="3214"/>
    </row>
    <row r="14" spans="1:4" ht="15.75" customHeight="1">
      <c r="A14" s="3209" t="str">
        <f>IF(项目基本情况!B8="抵押","4.本次评估估价师所知悉的法定优先受偿款情况说明如下：","——")</f>
        <v>4.本次评估估价师所知悉的法定优先受偿款情况说明如下：</v>
      </c>
      <c r="B14" s="3214"/>
      <c r="C14" s="3214"/>
      <c r="D14" s="3214"/>
    </row>
    <row r="15" spans="1:4" ht="42" customHeight="1">
      <c r="A15" s="32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9"/>
      <c r="C15" s="3209"/>
      <c r="D15" s="3209"/>
    </row>
    <row r="16" spans="1:4" ht="30" customHeight="1">
      <c r="A16" s="3211" t="s">
        <v>943</v>
      </c>
      <c r="B16" s="3211"/>
      <c r="C16" s="3211"/>
      <c r="D16" s="3211"/>
    </row>
    <row r="17" spans="1:4" ht="144" customHeight="1">
      <c r="A17" s="3211" t="s">
        <v>944</v>
      </c>
      <c r="B17" s="3211"/>
      <c r="C17" s="3211"/>
      <c r="D17" s="3211"/>
    </row>
    <row r="18" spans="1:4" ht="15.75" customHeight="1">
      <c r="A18" s="3209" t="str">
        <f>IF(项目基本情况!B8="抵押",结果表!K120,"——")</f>
        <v>故，本次评估不存在估价师知悉的法定优先受偿款</v>
      </c>
      <c r="B18" s="3209"/>
      <c r="C18" s="3209"/>
      <c r="D18" s="3209"/>
    </row>
    <row r="19" spans="1:4" ht="46.5" customHeight="1">
      <c r="A19" s="32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9"/>
      <c r="C19" s="3209"/>
      <c r="D19" s="3209"/>
    </row>
    <row r="20" spans="1:4" ht="57.75" customHeight="1">
      <c r="A20" s="32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9"/>
      <c r="C20" s="3209"/>
      <c r="D20" s="3209"/>
    </row>
    <row r="21" spans="1:4" ht="57.75" customHeight="1">
      <c r="A21" s="32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2"/>
      <c r="C21" s="3212"/>
      <c r="D21" s="3212"/>
    </row>
    <row r="22" spans="1:4" ht="18.75" customHeight="1">
      <c r="A22" s="3213" t="s">
        <v>945</v>
      </c>
      <c r="B22" s="3213"/>
      <c r="C22" s="3213"/>
      <c r="D22" s="3213"/>
    </row>
    <row r="23" spans="1:4">
      <c r="A23" s="1414"/>
      <c r="B23" s="458"/>
      <c r="C23" s="458"/>
      <c r="D23" s="458"/>
    </row>
    <row r="24" spans="1:4">
      <c r="A24" s="1414"/>
      <c r="B24" s="458"/>
      <c r="C24" s="458"/>
      <c r="D24" s="458"/>
    </row>
    <row r="25" spans="1:4" ht="18.75">
      <c r="A25" s="1415" t="s">
        <v>946</v>
      </c>
    </row>
    <row r="26" spans="1:4" ht="18">
      <c r="A26" s="1386"/>
    </row>
    <row r="27" spans="1:4" ht="18.75">
      <c r="A27" s="1386" t="s">
        <v>947</v>
      </c>
    </row>
    <row r="30" spans="1:4" ht="18.75">
      <c r="D30" s="1415" t="s">
        <v>948</v>
      </c>
    </row>
    <row r="31" spans="1:4" ht="13.5" customHeight="1">
      <c r="C31" s="3210">
        <v>42551</v>
      </c>
      <c r="D31" s="321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23" t="s">
        <v>956</v>
      </c>
      <c r="B15" s="3218" t="s">
        <v>109</v>
      </c>
      <c r="C15" s="3219"/>
    </row>
    <row r="16" spans="1:7" ht="13.5">
      <c r="A16" s="3224"/>
      <c r="B16" s="3218" t="s">
        <v>42</v>
      </c>
      <c r="C16" s="3219"/>
    </row>
    <row r="17" spans="1:3" ht="13.5">
      <c r="A17" s="3224"/>
      <c r="B17" s="3221" t="s">
        <v>957</v>
      </c>
      <c r="C17" s="1428" t="s">
        <v>956</v>
      </c>
    </row>
    <row r="18" spans="1:3" ht="13.5">
      <c r="A18" s="3224"/>
      <c r="B18" s="3221"/>
      <c r="C18" s="1428" t="s">
        <v>958</v>
      </c>
    </row>
    <row r="19" spans="1:3" ht="13.5">
      <c r="A19" s="3224"/>
      <c r="B19" s="3221"/>
      <c r="C19" s="1428" t="s">
        <v>959</v>
      </c>
    </row>
    <row r="20" spans="1:3" ht="13.5">
      <c r="A20" s="3225"/>
      <c r="B20" s="3220" t="s">
        <v>960</v>
      </c>
      <c r="C20" s="3219"/>
    </row>
    <row r="21" spans="1:3" ht="13.5">
      <c r="A21" s="1429" t="s">
        <v>961</v>
      </c>
      <c r="B21" s="1430"/>
      <c r="C21" s="1431"/>
    </row>
    <row r="22" spans="1:3" ht="13.5">
      <c r="A22" s="3222" t="s">
        <v>962</v>
      </c>
      <c r="B22" s="3220" t="s">
        <v>963</v>
      </c>
      <c r="C22" s="3219"/>
    </row>
    <row r="23" spans="1:3" ht="13.5">
      <c r="A23" s="3222"/>
      <c r="B23" s="3220" t="s">
        <v>964</v>
      </c>
      <c r="C23" s="3219"/>
    </row>
    <row r="24" spans="1:3" ht="13.5">
      <c r="A24" s="3222"/>
      <c r="B24" s="3220" t="s">
        <v>965</v>
      </c>
      <c r="C24" s="3219"/>
    </row>
    <row r="25" spans="1:3" ht="13.5">
      <c r="A25" s="3222"/>
      <c r="B25" s="3221" t="s">
        <v>966</v>
      </c>
      <c r="C25" s="1428" t="s">
        <v>967</v>
      </c>
    </row>
    <row r="26" spans="1:3" ht="13.5">
      <c r="A26" s="3222"/>
      <c r="B26" s="3221"/>
      <c r="C26" s="1428" t="s">
        <v>968</v>
      </c>
    </row>
    <row r="27" spans="1:3" ht="13.5">
      <c r="A27" s="3222"/>
      <c r="B27" s="3221"/>
      <c r="C27" s="1428" t="s">
        <v>969</v>
      </c>
    </row>
    <row r="28" spans="1:3" ht="13.5">
      <c r="A28" s="3222"/>
      <c r="B28" s="3221"/>
      <c r="C28" s="1428" t="s">
        <v>970</v>
      </c>
    </row>
    <row r="29" spans="1:3" ht="13.5">
      <c r="A29" s="3222"/>
      <c r="B29" s="3221"/>
      <c r="C29" s="1428" t="s">
        <v>971</v>
      </c>
    </row>
    <row r="30" spans="1:3" ht="13.5">
      <c r="A30" s="3222"/>
      <c r="B30" s="3221"/>
      <c r="C30" s="1428" t="s">
        <v>972</v>
      </c>
    </row>
    <row r="31" spans="1:3" ht="13.5">
      <c r="A31" s="3222"/>
      <c r="B31" s="3221"/>
      <c r="C31" s="1428" t="s">
        <v>973</v>
      </c>
    </row>
    <row r="32" spans="1:3" ht="13.5">
      <c r="A32" s="3222"/>
      <c r="B32" s="3221"/>
      <c r="C32" s="1428" t="s">
        <v>974</v>
      </c>
    </row>
    <row r="33" spans="1:3" ht="13.5">
      <c r="A33" s="3222"/>
      <c r="B33" s="3221"/>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2135</v>
      </c>
      <c r="B2" s="2155">
        <f ca="1">TODAY()</f>
        <v>45028</v>
      </c>
      <c r="C2" s="2156" t="s">
        <v>2136</v>
      </c>
      <c r="D2" s="2156"/>
      <c r="E2" s="2156"/>
      <c r="F2" s="2152"/>
      <c r="G2" s="2152"/>
      <c r="H2" s="2152"/>
    </row>
    <row r="3" spans="1:8" ht="24" customHeight="1">
      <c r="A3" s="2157" t="s">
        <v>2137</v>
      </c>
      <c r="B3" s="1218" t="s">
        <v>2138</v>
      </c>
      <c r="C3" s="1218" t="s">
        <v>2139</v>
      </c>
      <c r="D3" s="2158" t="s">
        <v>2140</v>
      </c>
      <c r="E3" s="2159" t="s">
        <v>2141</v>
      </c>
      <c r="F3" s="1218" t="s">
        <v>2142</v>
      </c>
      <c r="G3" s="1218" t="s">
        <v>2139</v>
      </c>
      <c r="H3" s="2158" t="s">
        <v>2143</v>
      </c>
    </row>
    <row r="4" spans="1:8" ht="24" customHeight="1">
      <c r="A4" s="1218" t="s">
        <v>2144</v>
      </c>
      <c r="B4" s="1218">
        <f ca="1">IF(C4&lt;B2,"已过期",1119970066)</f>
        <v>1119970066</v>
      </c>
      <c r="C4" s="2160">
        <v>45937</v>
      </c>
      <c r="D4" s="2161" t="str">
        <f ca="1">A4&amp;"（注册号："&amp;B4&amp;"）"</f>
        <v>梁津（注册号：1119970066）</v>
      </c>
      <c r="E4" s="2162" t="s">
        <v>2144</v>
      </c>
      <c r="F4" s="1218">
        <f ca="1">IF(G4&lt;B2,"已过期",96010014)</f>
        <v>96010014</v>
      </c>
      <c r="G4" s="2163">
        <v>47118</v>
      </c>
      <c r="H4" s="2164" t="str">
        <f ca="1">E4&amp;"（注册号："&amp;F4&amp;"）"</f>
        <v>梁津（注册号：96010014）</v>
      </c>
    </row>
    <row r="5" spans="1:8" ht="24" customHeight="1">
      <c r="A5" s="1218" t="s">
        <v>2145</v>
      </c>
      <c r="B5" s="1218">
        <f ca="1">IF(C5&lt;B2,"已过期",1119970111)</f>
        <v>1119970111</v>
      </c>
      <c r="C5" s="2160">
        <v>45937</v>
      </c>
      <c r="D5" s="2161" t="str">
        <f t="shared" ref="D5:D15" ca="1" si="0">A5&amp;"（注册号："&amp;B5&amp;"）"</f>
        <v>叶凌（注册号：1119970111）</v>
      </c>
      <c r="E5" s="2162" t="s">
        <v>2145</v>
      </c>
      <c r="F5" s="1218">
        <f ca="1">IF(G5&lt;B2,"已过期",94010078)</f>
        <v>94010078</v>
      </c>
      <c r="G5" s="2163">
        <v>46387</v>
      </c>
      <c r="H5" s="2164" t="str">
        <f t="shared" ref="H5:H16" ca="1" si="1">E5&amp;"（注册号："&amp;F5&amp;"）"</f>
        <v>叶凌（注册号：94010078）</v>
      </c>
    </row>
    <row r="6" spans="1:8" ht="24" customHeight="1">
      <c r="A6" s="1218" t="s">
        <v>2146</v>
      </c>
      <c r="B6" s="1218">
        <f ca="1">IF(C6&lt;B2,"已过期",1120050019)</f>
        <v>1120050019</v>
      </c>
      <c r="C6" s="2160">
        <v>45410</v>
      </c>
      <c r="D6" s="2161" t="str">
        <f t="shared" ca="1" si="0"/>
        <v>王鹏（注册号：1120050019）</v>
      </c>
      <c r="E6" s="2162" t="s">
        <v>2146</v>
      </c>
      <c r="F6" s="1218">
        <f ca="1">IF(G6&lt;B2,"已过期",2002110030)</f>
        <v>2002110030</v>
      </c>
      <c r="G6" s="2163">
        <v>46387</v>
      </c>
      <c r="H6" s="2164" t="str">
        <f t="shared" ca="1" si="1"/>
        <v>王鹏（注册号：2002110030）</v>
      </c>
    </row>
    <row r="7" spans="1:8" ht="24" customHeight="1">
      <c r="A7" s="1218" t="s">
        <v>2147</v>
      </c>
      <c r="B7" s="1218">
        <f ca="1">IF(C7&lt;B2,"已过期",1120000080)</f>
        <v>1120000080</v>
      </c>
      <c r="C7" s="2160">
        <v>45937</v>
      </c>
      <c r="D7" s="2161" t="str">
        <f t="shared" ca="1" si="0"/>
        <v>欧红伟（注册号：1120000080）</v>
      </c>
      <c r="E7" s="2162" t="s">
        <v>2147</v>
      </c>
      <c r="F7" s="1218">
        <f ca="1">IF(G7&lt;B2,"已过期",2000110082)</f>
        <v>2000110082</v>
      </c>
      <c r="G7" s="2163">
        <v>46387</v>
      </c>
      <c r="H7" s="2164" t="str">
        <f t="shared" ca="1" si="1"/>
        <v>欧红伟（注册号：2000110082）</v>
      </c>
    </row>
    <row r="8" spans="1:8" ht="24" customHeight="1">
      <c r="A8" s="1218" t="s">
        <v>2148</v>
      </c>
      <c r="B8" s="1218">
        <f ca="1">IF(C8&lt;B2,"已过期",1419970001)</f>
        <v>1419970001</v>
      </c>
      <c r="C8" s="2160">
        <v>45937</v>
      </c>
      <c r="D8" s="2161" t="str">
        <f t="shared" ca="1" si="0"/>
        <v>吴薇（注册号：1419970001）</v>
      </c>
      <c r="E8" s="2162" t="s">
        <v>2148</v>
      </c>
      <c r="F8" s="1218">
        <f ca="1">IF(G8&lt;B2,"已过期",2002110125)</f>
        <v>2002110125</v>
      </c>
      <c r="G8" s="2163">
        <v>47118</v>
      </c>
      <c r="H8" s="2164" t="str">
        <f t="shared" ca="1" si="1"/>
        <v>吴薇（注册号：2002110125）</v>
      </c>
    </row>
    <row r="9" spans="1:8" ht="24" customHeight="1">
      <c r="A9" s="1218" t="s">
        <v>2149</v>
      </c>
      <c r="B9" s="1218">
        <f ca="1">IF(C9&lt;B2,"已过期",1120060040)</f>
        <v>1120060040</v>
      </c>
      <c r="C9" s="2165">
        <v>45592</v>
      </c>
      <c r="D9" s="2161" t="str">
        <f t="shared" ca="1" si="0"/>
        <v>陈颖（注册号：1120060040）</v>
      </c>
      <c r="E9" s="2162" t="s">
        <v>2149</v>
      </c>
      <c r="F9" s="1218">
        <f ca="1">IF(G9&lt;B2,"已过期",2004110096)</f>
        <v>2004110096</v>
      </c>
      <c r="G9" s="2163">
        <v>47118</v>
      </c>
      <c r="H9" s="2164" t="str">
        <f t="shared" ca="1" si="1"/>
        <v>陈颖（注册号：2004110096）</v>
      </c>
    </row>
    <row r="10" spans="1:8" ht="24" customHeight="1">
      <c r="A10" s="1218" t="s">
        <v>2150</v>
      </c>
      <c r="B10" s="1218">
        <f ca="1">IF(C10&lt;B2,"已过期",1120100036)</f>
        <v>1120100036</v>
      </c>
      <c r="C10" s="2165">
        <v>45752</v>
      </c>
      <c r="D10" s="2161" t="str">
        <f t="shared" ca="1" si="0"/>
        <v>崔锴（注册号：1120100036）</v>
      </c>
      <c r="E10" s="2162" t="s">
        <v>2150</v>
      </c>
      <c r="F10" s="1218">
        <f ca="1">IF(G10&lt;B2,"已过期",2010110070)</f>
        <v>2010110070</v>
      </c>
      <c r="G10" s="2163">
        <v>47907</v>
      </c>
      <c r="H10" s="2164" t="str">
        <f t="shared" ca="1" si="1"/>
        <v>崔锴（注册号：2010110070）</v>
      </c>
    </row>
    <row r="11" spans="1:8" ht="24" customHeight="1">
      <c r="A11" s="1218" t="s">
        <v>2151</v>
      </c>
      <c r="B11" s="1218">
        <f ca="1">IF(C11&lt;B2,"已过期",1120070131)</f>
        <v>1120070131</v>
      </c>
      <c r="C11" s="2160">
        <v>45937</v>
      </c>
      <c r="D11" s="2161" t="str">
        <f t="shared" ca="1" si="0"/>
        <v>郑燚（注册号：1120070131）</v>
      </c>
      <c r="E11" s="2162" t="s">
        <v>2151</v>
      </c>
      <c r="F11" s="1218">
        <f ca="1">IF(G11&lt;B2,"已过期",2014110011)</f>
        <v>2014110011</v>
      </c>
      <c r="G11" s="2163">
        <v>49302</v>
      </c>
      <c r="H11" s="2164" t="str">
        <f t="shared" ca="1" si="1"/>
        <v>郑燚（注册号：2014110011）</v>
      </c>
    </row>
    <row r="12" spans="1:8" ht="24" customHeight="1">
      <c r="A12" s="1218" t="s">
        <v>2152</v>
      </c>
      <c r="B12" s="1218">
        <f ca="1">IF(C12&lt;B2,"已过期",1120040230)</f>
        <v>1120040230</v>
      </c>
      <c r="C12" s="2165">
        <v>45937</v>
      </c>
      <c r="D12" s="2161" t="str">
        <f t="shared" ca="1" si="0"/>
        <v>苏海（注册号：1120040230）</v>
      </c>
      <c r="E12" s="2162" t="s">
        <v>2152</v>
      </c>
      <c r="F12" s="1218">
        <f ca="1">IF(G12&lt;B2,"已过期",98030020)</f>
        <v>98030020</v>
      </c>
      <c r="G12" s="2163">
        <v>47118</v>
      </c>
      <c r="H12" s="2164" t="str">
        <f t="shared" ca="1" si="1"/>
        <v>苏海（注册号：98030020）</v>
      </c>
    </row>
    <row r="13" spans="1:8" ht="24" customHeight="1">
      <c r="A13" s="1218" t="s">
        <v>2153</v>
      </c>
      <c r="B13" s="1218">
        <f ca="1">IF(C13&lt;B2,"已过期",1120020033)</f>
        <v>1120020033</v>
      </c>
      <c r="C13" s="2160">
        <v>45375</v>
      </c>
      <c r="D13" s="2161" t="str">
        <f t="shared" ca="1" si="0"/>
        <v>刘敬东（注册号：1120020033）</v>
      </c>
      <c r="E13" s="2162" t="s">
        <v>2153</v>
      </c>
      <c r="F13" s="1218">
        <f ca="1">IF(G13&lt;B2,"已过期",2000110137)</f>
        <v>2000110137</v>
      </c>
      <c r="G13" s="2163">
        <v>46387</v>
      </c>
      <c r="H13" s="2164" t="str">
        <f t="shared" ca="1" si="1"/>
        <v>刘敬东（注册号：2000110137）</v>
      </c>
    </row>
    <row r="14" spans="1:8" ht="24" customHeight="1">
      <c r="A14" s="1218" t="s">
        <v>2154</v>
      </c>
      <c r="B14" s="1218" t="str">
        <f ca="1">IF(C14&lt;B2,"已过期",1119980106)</f>
        <v>已过期</v>
      </c>
      <c r="C14" s="2165">
        <v>44969</v>
      </c>
      <c r="D14" s="2161" t="str">
        <f t="shared" ca="1" si="0"/>
        <v>刘俊财（注册号：已过期）</v>
      </c>
      <c r="E14" s="2162" t="s">
        <v>2154</v>
      </c>
      <c r="F14" s="1218">
        <f ca="1">IF(G14&lt;B2,"已过期",96010063)</f>
        <v>96010063</v>
      </c>
      <c r="G14" s="2163">
        <v>47483</v>
      </c>
      <c r="H14" s="2164" t="str">
        <f t="shared" ca="1" si="1"/>
        <v>刘俊财（注册号：96010063）</v>
      </c>
    </row>
    <row r="15" spans="1:8" ht="24" customHeight="1">
      <c r="A15" s="1218" t="s">
        <v>2424</v>
      </c>
      <c r="B15" s="1218">
        <v>1120210056</v>
      </c>
      <c r="C15" s="2165">
        <v>45410</v>
      </c>
      <c r="D15" s="2161" t="str">
        <f t="shared" si="0"/>
        <v>宁小鳗（注册号：1120210056）</v>
      </c>
      <c r="E15" s="2162" t="s">
        <v>2155</v>
      </c>
      <c r="F15" s="1218">
        <f ca="1">IF(G15&lt;B2,"已过期",2011110090)</f>
        <v>2011110090</v>
      </c>
      <c r="G15" s="2163">
        <v>48302</v>
      </c>
      <c r="H15" s="2164" t="str">
        <f t="shared" ca="1" si="1"/>
        <v>赵雯（注册号：2011110090）</v>
      </c>
    </row>
    <row r="16" spans="1:8" ht="24" customHeight="1">
      <c r="A16" s="1218"/>
      <c r="B16" s="1218"/>
      <c r="C16" s="1218"/>
      <c r="D16" s="2161" t="str">
        <f>A16&amp;"（注册号："&amp;B16&amp;"）"</f>
        <v>（注册号：）</v>
      </c>
      <c r="E16" s="2162"/>
      <c r="F16" s="1218"/>
      <c r="G16" s="1218"/>
      <c r="H16" s="2166" t="str">
        <f t="shared" si="1"/>
        <v>（注册号：）</v>
      </c>
    </row>
    <row r="17" spans="1:8" ht="24" customHeight="1">
      <c r="A17" s="3226" t="s">
        <v>2156</v>
      </c>
      <c r="B17" s="3226"/>
      <c r="C17" s="3226"/>
      <c r="D17" s="3226"/>
      <c r="E17" s="3226"/>
      <c r="F17" s="3226"/>
      <c r="G17" s="3226"/>
      <c r="H17" s="3226"/>
    </row>
    <row r="18" spans="1:8" ht="24" customHeight="1">
      <c r="A18" s="3227" t="s">
        <v>2157</v>
      </c>
      <c r="B18" s="3227"/>
      <c r="C18" s="3227"/>
      <c r="D18" s="2158"/>
      <c r="E18" s="3228" t="s">
        <v>2158</v>
      </c>
      <c r="F18" s="3227"/>
      <c r="G18" s="3227"/>
    </row>
    <row r="19" spans="1:8" s="2168" customFormat="1" ht="24" customHeight="1">
      <c r="A19" s="2167" t="s">
        <v>2159</v>
      </c>
      <c r="B19" s="1218" t="s">
        <v>2160</v>
      </c>
      <c r="C19" s="1218" t="s">
        <v>2139</v>
      </c>
      <c r="D19" s="2158"/>
      <c r="E19" s="2162" t="s">
        <v>2159</v>
      </c>
      <c r="F19" s="1218" t="s">
        <v>2160</v>
      </c>
      <c r="G19" s="1218" t="s">
        <v>2139</v>
      </c>
    </row>
    <row r="20" spans="1:8" s="2168" customFormat="1" ht="24" customHeight="1">
      <c r="A20" s="2169" t="s">
        <v>2161</v>
      </c>
      <c r="B20" s="2169" t="s">
        <v>2162</v>
      </c>
      <c r="C20" s="2163">
        <v>45898</v>
      </c>
      <c r="D20" s="2170"/>
      <c r="E20" s="2171" t="s">
        <v>2163</v>
      </c>
      <c r="F20" s="2174" t="s">
        <v>2425</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154</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租约</vt:lpstr>
      <vt:lpstr>位置图</vt:lpstr>
      <vt:lpstr>净值计算</vt:lpstr>
      <vt:lpstr>数据-汇总表</vt:lpstr>
      <vt:lpstr>数据-取费表</vt:lpstr>
      <vt:lpstr>估价对象房地状况</vt:lpstr>
      <vt:lpstr>系统读取表</vt:lpstr>
      <vt:lpstr>结果表</vt:lpstr>
      <vt:lpstr>比较法-商业</vt:lpstr>
      <vt:lpstr>案例</vt:lpstr>
      <vt:lpstr>成本法 (元)</vt:lpstr>
      <vt:lpstr>基准地价修正</vt:lpstr>
      <vt:lpstr>收益法 (元)</vt:lpstr>
      <vt:lpstr>收益法</vt:lpstr>
      <vt:lpstr>成本法</vt:lpstr>
      <vt:lpstr>假设开发法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位置图!Print_Area</vt:lpstr>
      <vt:lpstr>系统读取表!Print_Area</vt:lpstr>
      <vt:lpstr>项目基本情况!Print_Area</vt:lpstr>
      <vt:lpstr>租约!Print_Area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2023-04-06T05:03:07Z</cp:lastPrinted>
  <dcterms:created xsi:type="dcterms:W3CDTF">2015-07-13T07:17:23Z</dcterms:created>
  <dcterms:modified xsi:type="dcterms:W3CDTF">2023-04-12T02:15:39Z</dcterms:modified>
</cp:coreProperties>
</file>