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估算结果一览表" sheetId="66" r:id="rId16"/>
    <sheet name="结果表 (1修多)" sheetId="57" state="hidden" r:id="rId17"/>
    <sheet name="比较法-住宅2015年" sheetId="21" state="hidden" r:id="rId18"/>
    <sheet name="比较法-住宅" sheetId="69" r:id="rId19"/>
    <sheet name="收益法（反推）" sheetId="65" r:id="rId20"/>
    <sheet name="基准地价修正" sheetId="43" r:id="rId21"/>
    <sheet name="成本法" sheetId="11" r:id="rId22"/>
    <sheet name="假设开发法" sheetId="12" state="hidden" r:id="rId23"/>
    <sheet name="收益法" sheetId="15" state="hidden" r:id="rId24"/>
    <sheet name="酒店收入计算" sheetId="58" state="hidden" r:id="rId25"/>
    <sheet name="典型户型修正" sheetId="31" r:id="rId26"/>
    <sheet name="收益法（反推）高层)" sheetId="68"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 name="2015年案例" sheetId="63" state="hidden" r:id="rId42"/>
    <sheet name="2016年案例" sheetId="64" r:id="rId43"/>
    <sheet name="Sheet7" sheetId="70" state="hidden" r:id="rId44"/>
  </sheets>
  <externalReferences>
    <externalReference r:id="rId45"/>
    <externalReference r:id="rId46"/>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8" hidden="1">'比较法-住宅'!$A$1:$L$49</definedName>
    <definedName name="_xlnm._FilterDatabase" localSheetId="17" hidden="1">'比较法-住宅2015年'!$A$1:$L$49</definedName>
    <definedName name="_xlnm._FilterDatabase" localSheetId="33" hidden="1">'土地比较法-工业'!$A$1:$L$43</definedName>
    <definedName name="_xlnm._FilterDatabase" localSheetId="32" hidden="1">'土地比较法-住宅、综合'!$A$1:$L$48</definedName>
    <definedName name="_xlnm._FilterDatabase" localSheetId="9" hidden="1">项目基本情况!#REF!</definedName>
    <definedName name="_xlnm.Print_Area" localSheetId="19">'收益法（反推）'!$A$1:$I$44</definedName>
    <definedName name="_xlnm.Print_Area" localSheetId="26">'收益法（反推）高层)'!$A$1:$I$43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'比较法-住宅2015年'!$B$88:$M$88</definedName>
    <definedName name="住宅房型" localSheetId="18">'比较法-住宅'!$B$118:$M$118</definedName>
    <definedName name="住宅房型">'比较法-住宅2015年'!$B$118:$M$118</definedName>
    <definedName name="住宅公共部分装修" localSheetId="18">'比较法-住宅'!$B$109:$M$109</definedName>
    <definedName name="住宅公共部分装修">'比较法-住宅2015年'!$B$109:$M$109</definedName>
    <definedName name="住宅基础设施水平" localSheetId="18">'比较法-住宅'!$B$116:$M$116</definedName>
    <definedName name="住宅基础设施水平">'比较法-住宅2015年'!$B$116:$M$116</definedName>
    <definedName name="住宅建筑结构" localSheetId="18">'比较法-住宅'!$B$105:$M$105</definedName>
    <definedName name="住宅建筑结构">'比较法-住宅2015年'!$B$105:$M$105</definedName>
    <definedName name="住宅建筑类型" localSheetId="18">'比较法-住宅'!$B$100:$M$100</definedName>
    <definedName name="住宅建筑类型">'比较法-住宅2015年'!$B$100:$M$100</definedName>
    <definedName name="住宅建筑品质" localSheetId="18">'比较法-住宅'!$B$107:$M$107</definedName>
    <definedName name="住宅建筑品质">'比较法-住宅2015年'!$B$107:$M$107</definedName>
    <definedName name="住宅交易情况" localSheetId="18">'比较法-住宅'!$A$61:$M$61</definedName>
    <definedName name="住宅交易情况">'比较法-住宅2015年'!$A$61:$M$61</definedName>
    <definedName name="住宅楼层" localSheetId="18">'比较法-住宅'!$B$86:$M$86</definedName>
    <definedName name="住宅楼层">'比较法-住宅2015年'!$B$86:$M$86</definedName>
    <definedName name="住宅内部装修" localSheetId="18">'比较法-住宅'!$B$122:$M$122</definedName>
    <definedName name="住宅内部装修">'比较法-住宅2015年'!$B$122:$M$122</definedName>
    <definedName name="住宅物业管理" localSheetId="18">'比较法-住宅'!$B$114:$M$114</definedName>
    <definedName name="住宅物业管理">'比较法-住宅2015年'!$B$114:$M$114</definedName>
    <definedName name="住宅用途" localSheetId="18">'比较法-住宅'!$B$63:$M$63</definedName>
    <definedName name="住宅用途">'比较法-住宅2015年'!$B$63:$M$63</definedName>
    <definedName name="住宅主力户型面积" localSheetId="18">'比较法-住宅'!$B$120:$M$120</definedName>
    <definedName name="住宅主力户型面积">'比较法-住宅2015年'!$B$120:$M$120</definedName>
    <definedName name="注册房地产估价师">估价师及机构信息!$A$3:$A$24</definedName>
  </definedNames>
  <calcPr calcId="125725"/>
</workbook>
</file>

<file path=xl/calcChain.xml><?xml version="1.0" encoding="utf-8"?>
<calcChain xmlns="http://schemas.openxmlformats.org/spreadsheetml/2006/main">
  <c r="E20" i="1"/>
  <c r="I22"/>
  <c r="L21"/>
  <c r="K22" s="1"/>
  <c r="I15"/>
  <c r="N20" l="1"/>
  <c r="F30" i="66" l="1"/>
  <c r="A30"/>
  <c r="F27"/>
  <c r="A27"/>
  <c r="G41" i="65" l="1"/>
  <c r="I36"/>
  <c r="H36"/>
  <c r="I35"/>
  <c r="I37" s="1"/>
  <c r="I5"/>
  <c r="B41"/>
  <c r="E25"/>
  <c r="I11"/>
  <c r="I3"/>
  <c r="D12" i="66"/>
  <c r="H38" i="65" l="1"/>
  <c r="H39" s="1"/>
  <c r="J38"/>
  <c r="J39" s="1"/>
  <c r="C145" i="69" l="1"/>
  <c r="K139" s="1"/>
  <c r="J142"/>
  <c r="J140"/>
  <c r="B130"/>
  <c r="B128"/>
  <c r="B126"/>
  <c r="D125"/>
  <c r="E125" s="1"/>
  <c r="F125" s="1"/>
  <c r="G125" s="1"/>
  <c r="D123"/>
  <c r="E123" s="1"/>
  <c r="F123" s="1"/>
  <c r="G123" s="1"/>
  <c r="H123" s="1"/>
  <c r="I123" s="1"/>
  <c r="J123" s="1"/>
  <c r="K123" s="1"/>
  <c r="L123" s="1"/>
  <c r="M123" s="1"/>
  <c r="D119"/>
  <c r="E119" s="1"/>
  <c r="F119" s="1"/>
  <c r="G119" s="1"/>
  <c r="H119" s="1"/>
  <c r="I119" s="1"/>
  <c r="J119" s="1"/>
  <c r="K119" s="1"/>
  <c r="L119" s="1"/>
  <c r="M119" s="1"/>
  <c r="D117"/>
  <c r="E117" s="1"/>
  <c r="F117" s="1"/>
  <c r="G117" s="1"/>
  <c r="D115"/>
  <c r="E115" s="1"/>
  <c r="F115" s="1"/>
  <c r="G115" s="1"/>
  <c r="H115" s="1"/>
  <c r="I115" s="1"/>
  <c r="J115" s="1"/>
  <c r="K115" s="1"/>
  <c r="L115" s="1"/>
  <c r="M115" s="1"/>
  <c r="E113"/>
  <c r="F113" s="1"/>
  <c r="G113" s="1"/>
  <c r="D113"/>
  <c r="H111"/>
  <c r="G111"/>
  <c r="F111"/>
  <c r="E111"/>
  <c r="D111"/>
  <c r="C111"/>
  <c r="D110"/>
  <c r="E110" s="1"/>
  <c r="F110" s="1"/>
  <c r="G110" s="1"/>
  <c r="H110" s="1"/>
  <c r="I110" s="1"/>
  <c r="J110" s="1"/>
  <c r="K110" s="1"/>
  <c r="L110" s="1"/>
  <c r="M110" s="1"/>
  <c r="D108"/>
  <c r="E108" s="1"/>
  <c r="F108" s="1"/>
  <c r="G108" s="1"/>
  <c r="H108" s="1"/>
  <c r="I108" s="1"/>
  <c r="J108" s="1"/>
  <c r="K108" s="1"/>
  <c r="L108" s="1"/>
  <c r="M108" s="1"/>
  <c r="D106"/>
  <c r="E106" s="1"/>
  <c r="F106" s="1"/>
  <c r="G106" s="1"/>
  <c r="H106" s="1"/>
  <c r="I106" s="1"/>
  <c r="J106" s="1"/>
  <c r="K106" s="1"/>
  <c r="L106" s="1"/>
  <c r="M106" s="1"/>
  <c r="M102"/>
  <c r="L102"/>
  <c r="K102"/>
  <c r="J102"/>
  <c r="I102"/>
  <c r="H102"/>
  <c r="G102"/>
  <c r="F102"/>
  <c r="E102"/>
  <c r="D102"/>
  <c r="C102"/>
  <c r="D101"/>
  <c r="E101" s="1"/>
  <c r="B98"/>
  <c r="B96"/>
  <c r="B94"/>
  <c r="B92"/>
  <c r="B90"/>
  <c r="D89"/>
  <c r="E89" s="1"/>
  <c r="F89" s="1"/>
  <c r="M87"/>
  <c r="L87"/>
  <c r="K87"/>
  <c r="J87"/>
  <c r="I87"/>
  <c r="H87"/>
  <c r="G87"/>
  <c r="F87"/>
  <c r="E87"/>
  <c r="D87"/>
  <c r="D85"/>
  <c r="E85" s="1"/>
  <c r="F85" s="1"/>
  <c r="G85" s="1"/>
  <c r="D83"/>
  <c r="E83" s="1"/>
  <c r="F83" s="1"/>
  <c r="G83" s="1"/>
  <c r="D81"/>
  <c r="E81" s="1"/>
  <c r="F81" s="1"/>
  <c r="G81" s="1"/>
  <c r="D79"/>
  <c r="E79" s="1"/>
  <c r="D77"/>
  <c r="E77" s="1"/>
  <c r="F77" s="1"/>
  <c r="G77" s="1"/>
  <c r="B74"/>
  <c r="B72"/>
  <c r="B70"/>
  <c r="D69"/>
  <c r="E69" s="1"/>
  <c r="F69" s="1"/>
  <c r="G69" s="1"/>
  <c r="H69" s="1"/>
  <c r="I69" s="1"/>
  <c r="J69" s="1"/>
  <c r="K69" s="1"/>
  <c r="L69" s="1"/>
  <c r="M69" s="1"/>
  <c r="M67"/>
  <c r="L67"/>
  <c r="K67"/>
  <c r="J67"/>
  <c r="I67"/>
  <c r="H67"/>
  <c r="G67"/>
  <c r="F67"/>
  <c r="E67"/>
  <c r="D67"/>
  <c r="C67"/>
  <c r="D66"/>
  <c r="E66" s="1"/>
  <c r="F66" s="1"/>
  <c r="G66" s="1"/>
  <c r="H66" s="1"/>
  <c r="I66" s="1"/>
  <c r="C63"/>
  <c r="I54"/>
  <c r="J54" s="1"/>
  <c r="G54"/>
  <c r="H54" s="1"/>
  <c r="E54"/>
  <c r="F54" s="1"/>
  <c r="P49"/>
  <c r="P48"/>
  <c r="V47"/>
  <c r="T47"/>
  <c r="R47"/>
  <c r="P47"/>
  <c r="Q46"/>
  <c r="Z46" s="1"/>
  <c r="J46"/>
  <c r="AC46" s="1"/>
  <c r="H46"/>
  <c r="AB46" s="1"/>
  <c r="F46"/>
  <c r="AA46" s="1"/>
  <c r="Q45"/>
  <c r="Z45" s="1"/>
  <c r="J45"/>
  <c r="AC45" s="1"/>
  <c r="H45"/>
  <c r="AB45" s="1"/>
  <c r="F45"/>
  <c r="AA45" s="1"/>
  <c r="Q44"/>
  <c r="Z44" s="1"/>
  <c r="J44"/>
  <c r="AC44" s="1"/>
  <c r="H44"/>
  <c r="AB44" s="1"/>
  <c r="F44"/>
  <c r="AA44" s="1"/>
  <c r="Q43"/>
  <c r="Z43" s="1"/>
  <c r="J43"/>
  <c r="AC43" s="1"/>
  <c r="H43"/>
  <c r="AB43" s="1"/>
  <c r="F43"/>
  <c r="AA43" s="1"/>
  <c r="Q42"/>
  <c r="Z42" s="1"/>
  <c r="J42"/>
  <c r="AC42" s="1"/>
  <c r="H42"/>
  <c r="AB42" s="1"/>
  <c r="F42"/>
  <c r="AA42" s="1"/>
  <c r="Q41"/>
  <c r="Z41" s="1"/>
  <c r="J41"/>
  <c r="AC41" s="1"/>
  <c r="H41"/>
  <c r="AB41" s="1"/>
  <c r="F41"/>
  <c r="AA41" s="1"/>
  <c r="Q40"/>
  <c r="Z40" s="1"/>
  <c r="J40"/>
  <c r="AC40" s="1"/>
  <c r="H40"/>
  <c r="AB40" s="1"/>
  <c r="F40"/>
  <c r="AA40" s="1"/>
  <c r="Q39"/>
  <c r="Z39" s="1"/>
  <c r="J39"/>
  <c r="AC39" s="1"/>
  <c r="H39"/>
  <c r="AB39" s="1"/>
  <c r="F39"/>
  <c r="AA39" s="1"/>
  <c r="Q38"/>
  <c r="Z38" s="1"/>
  <c r="J38"/>
  <c r="AC38" s="1"/>
  <c r="H38"/>
  <c r="AB38" s="1"/>
  <c r="F38"/>
  <c r="AA38" s="1"/>
  <c r="Q37"/>
  <c r="Z37" s="1"/>
  <c r="Q36"/>
  <c r="Z36" s="1"/>
  <c r="J36"/>
  <c r="AC36" s="1"/>
  <c r="H36"/>
  <c r="AB36" s="1"/>
  <c r="F36"/>
  <c r="AA36" s="1"/>
  <c r="Q35"/>
  <c r="Z35" s="1"/>
  <c r="J35"/>
  <c r="AC35" s="1"/>
  <c r="H35"/>
  <c r="AB35" s="1"/>
  <c r="F35"/>
  <c r="AA35" s="1"/>
  <c r="Q34"/>
  <c r="Z34" s="1"/>
  <c r="J34"/>
  <c r="AC34" s="1"/>
  <c r="H34"/>
  <c r="AB34" s="1"/>
  <c r="F34"/>
  <c r="AA34" s="1"/>
  <c r="Q33"/>
  <c r="Z33" s="1"/>
  <c r="J33"/>
  <c r="AC33" s="1"/>
  <c r="H33"/>
  <c r="AB33" s="1"/>
  <c r="F33"/>
  <c r="AA33" s="1"/>
  <c r="Q32"/>
  <c r="Z32" s="1"/>
  <c r="J32"/>
  <c r="AC32" s="1"/>
  <c r="H32"/>
  <c r="AB32" s="1"/>
  <c r="Q31"/>
  <c r="Z31" s="1"/>
  <c r="J31"/>
  <c r="AC31" s="1"/>
  <c r="H31"/>
  <c r="AB31" s="1"/>
  <c r="F31"/>
  <c r="AA31" s="1"/>
  <c r="Q30"/>
  <c r="Z30" s="1"/>
  <c r="J30"/>
  <c r="AC30" s="1"/>
  <c r="H30"/>
  <c r="AB30" s="1"/>
  <c r="F30"/>
  <c r="AA30" s="1"/>
  <c r="Q29"/>
  <c r="Z29" s="1"/>
  <c r="J29"/>
  <c r="AC29" s="1"/>
  <c r="H29"/>
  <c r="AB29" s="1"/>
  <c r="F29"/>
  <c r="AA29" s="1"/>
  <c r="Q28"/>
  <c r="Z28" s="1"/>
  <c r="J28"/>
  <c r="AC28" s="1"/>
  <c r="H28"/>
  <c r="AB28" s="1"/>
  <c r="F28"/>
  <c r="AA28" s="1"/>
  <c r="Q27"/>
  <c r="Z27" s="1"/>
  <c r="J27"/>
  <c r="AC27" s="1"/>
  <c r="H27"/>
  <c r="AB27" s="1"/>
  <c r="F27"/>
  <c r="AA27" s="1"/>
  <c r="Q26"/>
  <c r="Z26" s="1"/>
  <c r="Q25"/>
  <c r="Z25" s="1"/>
  <c r="J25"/>
  <c r="AC25" s="1"/>
  <c r="H25"/>
  <c r="AB25" s="1"/>
  <c r="F25"/>
  <c r="AA25" s="1"/>
  <c r="Q23"/>
  <c r="Z23" s="1"/>
  <c r="J23"/>
  <c r="AC23" s="1"/>
  <c r="H23"/>
  <c r="AB23" s="1"/>
  <c r="F23"/>
  <c r="AA23" s="1"/>
  <c r="C23"/>
  <c r="Q21"/>
  <c r="Z21" s="1"/>
  <c r="J21"/>
  <c r="AC21" s="1"/>
  <c r="H21"/>
  <c r="AB21" s="1"/>
  <c r="F21"/>
  <c r="AA21" s="1"/>
  <c r="C21"/>
  <c r="Q19"/>
  <c r="Z19" s="1"/>
  <c r="J19"/>
  <c r="AC19" s="1"/>
  <c r="H19"/>
  <c r="AB19" s="1"/>
  <c r="F19"/>
  <c r="AA19" s="1"/>
  <c r="C19"/>
  <c r="Q17"/>
  <c r="Z17" s="1"/>
  <c r="H17"/>
  <c r="AB17" s="1"/>
  <c r="C17"/>
  <c r="Q15"/>
  <c r="Z15" s="1"/>
  <c r="J15"/>
  <c r="AC15" s="1"/>
  <c r="H15"/>
  <c r="AB15" s="1"/>
  <c r="F15"/>
  <c r="AA15" s="1"/>
  <c r="C15"/>
  <c r="Q14"/>
  <c r="Z14" s="1"/>
  <c r="J14"/>
  <c r="AC14" s="1"/>
  <c r="H14"/>
  <c r="AB14" s="1"/>
  <c r="F14"/>
  <c r="AA14" s="1"/>
  <c r="Q13"/>
  <c r="Z13" s="1"/>
  <c r="J13"/>
  <c r="AC13" s="1"/>
  <c r="H13"/>
  <c r="AB13" s="1"/>
  <c r="F13"/>
  <c r="AA13" s="1"/>
  <c r="Q12"/>
  <c r="Z12" s="1"/>
  <c r="J12"/>
  <c r="AC12" s="1"/>
  <c r="H12"/>
  <c r="AB12" s="1"/>
  <c r="F12"/>
  <c r="AA12" s="1"/>
  <c r="Q11"/>
  <c r="Z11" s="1"/>
  <c r="J11"/>
  <c r="AC11" s="1"/>
  <c r="H11"/>
  <c r="AB11" s="1"/>
  <c r="F11"/>
  <c r="AA11" s="1"/>
  <c r="Q10"/>
  <c r="Z10" s="1"/>
  <c r="J10"/>
  <c r="AC10" s="1"/>
  <c r="H10"/>
  <c r="AB10" s="1"/>
  <c r="F10"/>
  <c r="AA10" s="1"/>
  <c r="Q9"/>
  <c r="Z9" s="1"/>
  <c r="J9"/>
  <c r="AC9" s="1"/>
  <c r="H9"/>
  <c r="AB9" s="1"/>
  <c r="F9"/>
  <c r="AA9" s="1"/>
  <c r="J8"/>
  <c r="W8" s="1"/>
  <c r="H8"/>
  <c r="AB8" s="1"/>
  <c r="F8"/>
  <c r="S8" s="1"/>
  <c r="E2"/>
  <c r="U8" l="1"/>
  <c r="K143"/>
  <c r="H26"/>
  <c r="AB26" s="1"/>
  <c r="J26"/>
  <c r="AC26" s="1"/>
  <c r="F79"/>
  <c r="G79" s="1"/>
  <c r="J17"/>
  <c r="F17"/>
  <c r="F26"/>
  <c r="G89"/>
  <c r="H89" s="1"/>
  <c r="I89" s="1"/>
  <c r="J89" s="1"/>
  <c r="K89" s="1"/>
  <c r="L89" s="1"/>
  <c r="M89" s="1"/>
  <c r="F32"/>
  <c r="F101"/>
  <c r="G101" s="1"/>
  <c r="H101" s="1"/>
  <c r="I101" s="1"/>
  <c r="J101" s="1"/>
  <c r="K101" s="1"/>
  <c r="L101" s="1"/>
  <c r="M101" s="1"/>
  <c r="H113"/>
  <c r="H37"/>
  <c r="J37"/>
  <c r="F37"/>
  <c r="AA8"/>
  <c r="AC8"/>
  <c r="S9"/>
  <c r="W9"/>
  <c r="U10"/>
  <c r="S11"/>
  <c r="W11"/>
  <c r="U12"/>
  <c r="S13"/>
  <c r="W13"/>
  <c r="U14"/>
  <c r="U15"/>
  <c r="U17"/>
  <c r="U19"/>
  <c r="U21"/>
  <c r="U23"/>
  <c r="S25"/>
  <c r="W25"/>
  <c r="U26"/>
  <c r="S27"/>
  <c r="W27"/>
  <c r="U28"/>
  <c r="S29"/>
  <c r="W29"/>
  <c r="U30"/>
  <c r="S31"/>
  <c r="W31"/>
  <c r="U32"/>
  <c r="S33"/>
  <c r="W33"/>
  <c r="U34"/>
  <c r="S35"/>
  <c r="W35"/>
  <c r="U36"/>
  <c r="U38"/>
  <c r="S39"/>
  <c r="W39"/>
  <c r="U40"/>
  <c r="S41"/>
  <c r="W41"/>
  <c r="U42"/>
  <c r="S43"/>
  <c r="W43"/>
  <c r="U44"/>
  <c r="S45"/>
  <c r="W45"/>
  <c r="U46"/>
  <c r="K144"/>
  <c r="K145"/>
  <c r="U9"/>
  <c r="S10"/>
  <c r="W10"/>
  <c r="U11"/>
  <c r="S12"/>
  <c r="W12"/>
  <c r="U13"/>
  <c r="S14"/>
  <c r="W14"/>
  <c r="S15"/>
  <c r="W15"/>
  <c r="S19"/>
  <c r="W19"/>
  <c r="S21"/>
  <c r="W21"/>
  <c r="S23"/>
  <c r="W23"/>
  <c r="U25"/>
  <c r="W26"/>
  <c r="U27"/>
  <c r="S28"/>
  <c r="W28"/>
  <c r="U29"/>
  <c r="S30"/>
  <c r="W30"/>
  <c r="U31"/>
  <c r="W32"/>
  <c r="U33"/>
  <c r="S34"/>
  <c r="W34"/>
  <c r="U35"/>
  <c r="S36"/>
  <c r="W36"/>
  <c r="S38"/>
  <c r="W38"/>
  <c r="U39"/>
  <c r="S40"/>
  <c r="W40"/>
  <c r="U41"/>
  <c r="S42"/>
  <c r="W42"/>
  <c r="U43"/>
  <c r="S44"/>
  <c r="W44"/>
  <c r="U45"/>
  <c r="S46"/>
  <c r="W46"/>
  <c r="K141"/>
  <c r="C2"/>
  <c r="F2" s="1"/>
  <c r="AA37" l="1"/>
  <c r="S37"/>
  <c r="AB37"/>
  <c r="U37"/>
  <c r="AA17"/>
  <c r="S17"/>
  <c r="AC37"/>
  <c r="W37"/>
  <c r="AA32"/>
  <c r="S32"/>
  <c r="AA26"/>
  <c r="S26"/>
  <c r="AC17"/>
  <c r="W17"/>
  <c r="C36" i="68" l="1"/>
  <c r="D35"/>
  <c r="H28"/>
  <c r="E28"/>
  <c r="H27"/>
  <c r="H26"/>
  <c r="I20"/>
  <c r="F19"/>
  <c r="I17"/>
  <c r="F16"/>
  <c r="H15"/>
  <c r="C21" s="1"/>
  <c r="E19" s="1"/>
  <c r="E15"/>
  <c r="C15"/>
  <c r="H14"/>
  <c r="H12"/>
  <c r="I11"/>
  <c r="M10"/>
  <c r="H10"/>
  <c r="P9"/>
  <c r="O10" s="1"/>
  <c r="H9"/>
  <c r="I8"/>
  <c r="I7"/>
  <c r="M4"/>
  <c r="I4"/>
  <c r="I3"/>
  <c r="D11" i="66"/>
  <c r="D10"/>
  <c r="D9"/>
  <c r="D8"/>
  <c r="D7"/>
  <c r="D6"/>
  <c r="D5"/>
  <c r="D4"/>
  <c r="D3"/>
  <c r="C3"/>
  <c r="C6" s="1"/>
  <c r="H9" i="65"/>
  <c r="F15" i="66"/>
  <c r="H16" s="1"/>
  <c r="D15"/>
  <c r="D17" s="1"/>
  <c r="D18" s="1"/>
  <c r="H10" i="65"/>
  <c r="H12"/>
  <c r="I4"/>
  <c r="H28"/>
  <c r="E28" s="1"/>
  <c r="H27"/>
  <c r="H26"/>
  <c r="I20"/>
  <c r="I17"/>
  <c r="H15"/>
  <c r="C15" s="1"/>
  <c r="H14"/>
  <c r="I8"/>
  <c r="I7"/>
  <c r="C11"/>
  <c r="M4"/>
  <c r="P9"/>
  <c r="M10"/>
  <c r="O10"/>
  <c r="E15"/>
  <c r="F16"/>
  <c r="F19"/>
  <c r="D35"/>
  <c r="J8" s="1"/>
  <c r="C36"/>
  <c r="C21" l="1"/>
  <c r="E19" s="1"/>
  <c r="C8" i="68"/>
  <c r="C12" s="1"/>
  <c r="C11"/>
  <c r="C18" i="65"/>
  <c r="E16" s="1"/>
  <c r="C18" i="68"/>
  <c r="E16" s="1"/>
  <c r="J8"/>
  <c r="C5" i="66"/>
  <c r="C7"/>
  <c r="C4"/>
  <c r="C8" i="65"/>
  <c r="C9" s="1"/>
  <c r="H17" i="66"/>
  <c r="C12" i="65" l="1"/>
  <c r="C10"/>
  <c r="C13" s="1"/>
  <c r="C14" s="1"/>
  <c r="C20" s="1"/>
  <c r="C19" s="1"/>
  <c r="C10" i="68"/>
  <c r="C9"/>
  <c r="C13" s="1"/>
  <c r="C14" s="1"/>
  <c r="C17" s="1"/>
  <c r="C16" s="1"/>
  <c r="E18" i="66"/>
  <c r="E20" s="1"/>
  <c r="H18"/>
  <c r="H20" s="1"/>
  <c r="W8" i="63"/>
  <c r="W7"/>
  <c r="W6"/>
  <c r="W5"/>
  <c r="W4"/>
  <c r="W3"/>
  <c r="W2"/>
  <c r="W1"/>
  <c r="C20" i="68" l="1"/>
  <c r="C19" s="1"/>
  <c r="C17" i="65"/>
  <c r="C16" l="1"/>
  <c r="AH5" i="59" l="1"/>
  <c r="AG5"/>
  <c r="AE5"/>
  <c r="AF5" s="1"/>
  <c r="AD5"/>
  <c r="Q5"/>
  <c r="P5"/>
  <c r="O5"/>
  <c r="N5"/>
  <c r="L3" l="1"/>
  <c r="K3"/>
  <c r="J3"/>
  <c r="I3"/>
  <c r="AH6" l="1"/>
  <c r="AG6"/>
  <c r="AE6"/>
  <c r="AF6" s="1"/>
  <c r="AD6"/>
  <c r="Q6" l="1"/>
  <c r="P6"/>
  <c r="O6"/>
  <c r="N6"/>
  <c r="Q7"/>
  <c r="P7"/>
  <c r="O7"/>
  <c r="N7"/>
  <c r="D7"/>
  <c r="E6" l="1"/>
  <c r="U6" s="1"/>
  <c r="F6"/>
  <c r="C6"/>
  <c r="T6" s="1"/>
  <c r="B6"/>
  <c r="S6" s="1"/>
  <c r="A2" i="50"/>
  <c r="E5" i="59" l="1"/>
  <c r="F5"/>
  <c r="V6"/>
  <c r="B5"/>
  <c r="D6"/>
  <c r="C5"/>
  <c r="D5" s="1"/>
  <c r="K60" i="15" l="1"/>
  <c r="P72" s="1"/>
  <c r="P59" l="1"/>
  <c r="A126" i="57"/>
  <c r="A123" i="9"/>
  <c r="A16" i="54"/>
  <c r="A14"/>
  <c r="A19" i="55" l="1"/>
  <c r="A13"/>
  <c r="A1" i="52"/>
  <c r="A4" i="50"/>
  <c r="P8" i="59" l="1"/>
  <c r="O8"/>
  <c r="N8"/>
  <c r="Q8"/>
  <c r="H23" i="31"/>
  <c r="B2" i="1" l="1"/>
  <c r="C7" i="69" s="1"/>
  <c r="C58" s="1"/>
  <c r="D58" l="1"/>
  <c r="E58" s="1"/>
  <c r="F58" s="1"/>
  <c r="G58" s="1"/>
  <c r="H58" s="1"/>
  <c r="I58" s="1"/>
  <c r="J58" s="1"/>
  <c r="K58" s="1"/>
  <c r="L58" s="1"/>
  <c r="M58" s="1"/>
  <c r="N58" s="1"/>
  <c r="O58" s="1"/>
  <c r="F7"/>
  <c r="J7"/>
  <c r="C76" i="9"/>
  <c r="C77" i="57"/>
  <c r="F30" i="1"/>
  <c r="H7" i="69" l="1"/>
  <c r="U7" s="1"/>
  <c r="AA7"/>
  <c r="R48" s="1"/>
  <c r="S7"/>
  <c r="AC7"/>
  <c r="V48" s="1"/>
  <c r="I48" s="1"/>
  <c r="W7"/>
  <c r="J56" i="57"/>
  <c r="K55" i="9"/>
  <c r="J55"/>
  <c r="I6" i="4"/>
  <c r="K56" i="9" s="1"/>
  <c r="AB7" i="69" l="1"/>
  <c r="T48" s="1"/>
  <c r="G48" s="1"/>
  <c r="G52" s="1"/>
  <c r="H52" s="1"/>
  <c r="I52"/>
  <c r="J52" s="1"/>
  <c r="R49"/>
  <c r="E48"/>
  <c r="I53" s="1"/>
  <c r="J53" s="1"/>
  <c r="G53"/>
  <c r="H53" s="1"/>
  <c r="J57" i="57"/>
  <c r="J58" s="1"/>
  <c r="J60" s="1"/>
  <c r="J62" s="1"/>
  <c r="N57"/>
  <c r="K57"/>
  <c r="N56" i="9"/>
  <c r="J56"/>
  <c r="J57" s="1"/>
  <c r="J59" s="1"/>
  <c r="J61" s="1"/>
  <c r="C48" i="69" l="1"/>
  <c r="C49"/>
  <c r="R27" i="31" s="1"/>
  <c r="E52" i="69"/>
  <c r="F52" s="1"/>
  <c r="E53"/>
  <c r="F53" s="1"/>
  <c r="E15" i="62"/>
  <c r="F15"/>
  <c r="E16"/>
  <c r="F16"/>
  <c r="E17"/>
  <c r="F17"/>
  <c r="E18"/>
  <c r="F18"/>
  <c r="E19"/>
  <c r="F19"/>
  <c r="E20"/>
  <c r="F20"/>
  <c r="E21"/>
  <c r="F21"/>
  <c r="E22"/>
  <c r="F22"/>
  <c r="E23"/>
  <c r="F23"/>
  <c r="B3" i="69" l="1"/>
  <c r="C14" i="62"/>
  <c r="B2" s="1"/>
  <c r="B14"/>
  <c r="B1" s="1"/>
  <c r="B3"/>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4" i="61"/>
  <c r="F5"/>
  <c r="F6"/>
  <c r="F3"/>
  <c r="D7"/>
  <c r="I1" l="1"/>
  <c r="B30" i="1" s="1"/>
  <c r="D6" i="61"/>
  <c r="D5"/>
  <c r="D3"/>
  <c r="D4"/>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E48"/>
  <c r="P47" s="1"/>
  <c r="D47"/>
  <c r="Q46"/>
  <c r="P46"/>
  <c r="O46"/>
  <c r="N46"/>
  <c r="Q45"/>
  <c r="P45"/>
  <c r="O45"/>
  <c r="N45"/>
  <c r="Q44"/>
  <c r="P44"/>
  <c r="O44"/>
  <c r="N44"/>
  <c r="Q43"/>
  <c r="F44" s="1"/>
  <c r="F45" s="1"/>
  <c r="F46" s="1"/>
  <c r="V46" s="1"/>
  <c r="P43"/>
  <c r="E44" s="1"/>
  <c r="O43"/>
  <c r="C44" s="1"/>
  <c r="N43"/>
  <c r="B44" s="1"/>
  <c r="B45" s="1"/>
  <c r="B46" s="1"/>
  <c r="S46" s="1"/>
  <c r="D43"/>
  <c r="Q42"/>
  <c r="P42"/>
  <c r="O42"/>
  <c r="N42"/>
  <c r="Q41"/>
  <c r="P41"/>
  <c r="O41"/>
  <c r="N41"/>
  <c r="F41"/>
  <c r="F42" s="1"/>
  <c r="V42" s="1"/>
  <c r="Q40"/>
  <c r="P40"/>
  <c r="O40"/>
  <c r="N40"/>
  <c r="C40"/>
  <c r="Q39"/>
  <c r="F40" s="1"/>
  <c r="P39"/>
  <c r="E40" s="1"/>
  <c r="O39"/>
  <c r="N39"/>
  <c r="B40" s="1"/>
  <c r="B41" s="1"/>
  <c r="B42" s="1"/>
  <c r="S42" s="1"/>
  <c r="D39"/>
  <c r="Q38"/>
  <c r="P38"/>
  <c r="O38"/>
  <c r="N38"/>
  <c r="Q37"/>
  <c r="P37"/>
  <c r="O37"/>
  <c r="N37"/>
  <c r="F37"/>
  <c r="F38" s="1"/>
  <c r="V38" s="1"/>
  <c r="Q36"/>
  <c r="P36"/>
  <c r="O36"/>
  <c r="N36"/>
  <c r="C36"/>
  <c r="Q35"/>
  <c r="F36" s="1"/>
  <c r="P35"/>
  <c r="E36" s="1"/>
  <c r="O35"/>
  <c r="N35"/>
  <c r="B36" s="1"/>
  <c r="B37" s="1"/>
  <c r="B38" s="1"/>
  <c r="S38" s="1"/>
  <c r="D35"/>
  <c r="Q34"/>
  <c r="P34"/>
  <c r="O34"/>
  <c r="N34"/>
  <c r="Q33"/>
  <c r="P33"/>
  <c r="O33"/>
  <c r="N33"/>
  <c r="Q32"/>
  <c r="P32"/>
  <c r="O32"/>
  <c r="N32"/>
  <c r="Q31"/>
  <c r="F32" s="1"/>
  <c r="P31"/>
  <c r="E32" s="1"/>
  <c r="E33" s="1"/>
  <c r="E34" s="1"/>
  <c r="U34" s="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F20"/>
  <c r="F21" s="1"/>
  <c r="F22" s="1"/>
  <c r="V22" s="1"/>
  <c r="Q19"/>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B12" l="1"/>
  <c r="B13" s="1"/>
  <c r="B14" s="1"/>
  <c r="S14" s="1"/>
  <c r="X11"/>
  <c r="E12"/>
  <c r="E13" s="1"/>
  <c r="E14" s="1"/>
  <c r="U14" s="1"/>
  <c r="AA11"/>
  <c r="B16"/>
  <c r="B17" s="1"/>
  <c r="B18" s="1"/>
  <c r="S18" s="1"/>
  <c r="X15"/>
  <c r="E16"/>
  <c r="E17" s="1"/>
  <c r="E18" s="1"/>
  <c r="U18" s="1"/>
  <c r="AA15"/>
  <c r="B20"/>
  <c r="B21" s="1"/>
  <c r="B22" s="1"/>
  <c r="S22" s="1"/>
  <c r="X19"/>
  <c r="P50"/>
  <c r="U50"/>
  <c r="Y5"/>
  <c r="Z5" s="1"/>
  <c r="Y6"/>
  <c r="Z6" s="1"/>
  <c r="E20"/>
  <c r="E21" s="1"/>
  <c r="E22" s="1"/>
  <c r="AA19"/>
  <c r="X5"/>
  <c r="X6"/>
  <c r="C12"/>
  <c r="Y11"/>
  <c r="Z11" s="1"/>
  <c r="AB11"/>
  <c r="X12"/>
  <c r="AA12"/>
  <c r="X13"/>
  <c r="AA13"/>
  <c r="X14"/>
  <c r="AA14"/>
  <c r="C16"/>
  <c r="Y15"/>
  <c r="Z15" s="1"/>
  <c r="AB15"/>
  <c r="X16"/>
  <c r="AA16"/>
  <c r="X17"/>
  <c r="AA17"/>
  <c r="X18"/>
  <c r="AA18"/>
  <c r="C20"/>
  <c r="Y19"/>
  <c r="Z19" s="1"/>
  <c r="AB19"/>
  <c r="X20"/>
  <c r="AA20"/>
  <c r="F33"/>
  <c r="F34" s="1"/>
  <c r="V34" s="1"/>
  <c r="N50"/>
  <c r="C10"/>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5" l="1"/>
  <c r="AB6"/>
  <c r="AA5"/>
  <c r="AA6"/>
  <c r="U22"/>
  <c r="M19" i="43"/>
  <c r="B9" i="5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75" i="43"/>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V27"/>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C12" s="1"/>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C8" i="66" s="1"/>
  <c r="L5" i="31"/>
  <c r="K5"/>
  <c r="J5"/>
  <c r="I5"/>
  <c r="H5"/>
  <c r="G5"/>
  <c r="F5"/>
  <c r="E5"/>
  <c r="D5"/>
  <c r="C5"/>
  <c r="B124" i="57"/>
  <c r="S422" i="31"/>
  <c r="S416"/>
  <c r="S410"/>
  <c r="S406"/>
  <c r="S400"/>
  <c r="S394"/>
  <c r="S390"/>
  <c r="S384"/>
  <c r="S378"/>
  <c r="S374"/>
  <c r="S368"/>
  <c r="S362"/>
  <c r="S358"/>
  <c r="S352"/>
  <c r="S346"/>
  <c r="S342"/>
  <c r="S336"/>
  <c r="S330"/>
  <c r="S326"/>
  <c r="S322"/>
  <c r="S316"/>
  <c r="S312"/>
  <c r="S306"/>
  <c r="S300"/>
  <c r="S296"/>
  <c r="S290"/>
  <c r="S284"/>
  <c r="S280"/>
  <c r="S274"/>
  <c r="S268"/>
  <c r="S264"/>
  <c r="S258"/>
  <c r="S257"/>
  <c r="S256"/>
  <c r="S255"/>
  <c r="S254"/>
  <c r="S253"/>
  <c r="S252"/>
  <c r="S251"/>
  <c r="S250"/>
  <c r="S249"/>
  <c r="S248"/>
  <c r="S247"/>
  <c r="S246"/>
  <c r="S245"/>
  <c r="S244"/>
  <c r="S243"/>
  <c r="S242"/>
  <c r="S241"/>
  <c r="S240"/>
  <c r="S239"/>
  <c r="S238"/>
  <c r="S237"/>
  <c r="S236"/>
  <c r="S235"/>
  <c r="S234"/>
  <c r="S233"/>
  <c r="S232"/>
  <c r="S231"/>
  <c r="S230"/>
  <c r="S229"/>
  <c r="S228"/>
  <c r="S227"/>
  <c r="S226"/>
  <c r="S428"/>
  <c r="S222"/>
  <c r="S218"/>
  <c r="S214"/>
  <c r="S210"/>
  <c r="S206"/>
  <c r="S202"/>
  <c r="S198"/>
  <c r="S194"/>
  <c r="S190"/>
  <c r="S186"/>
  <c r="S182"/>
  <c r="S178"/>
  <c r="S174"/>
  <c r="S170"/>
  <c r="S166"/>
  <c r="S162"/>
  <c r="S158"/>
  <c r="S154"/>
  <c r="S150"/>
  <c r="S146"/>
  <c r="S142"/>
  <c r="S138"/>
  <c r="S134"/>
  <c r="S130"/>
  <c r="S126"/>
  <c r="S499"/>
  <c r="S491"/>
  <c r="S483"/>
  <c r="S475"/>
  <c r="S440"/>
  <c r="S124"/>
  <c r="S120"/>
  <c r="S116"/>
  <c r="S503"/>
  <c r="S468"/>
  <c r="S460"/>
  <c r="S51"/>
  <c r="S43"/>
  <c r="S35"/>
  <c r="S72"/>
  <c r="S68"/>
  <c r="S64"/>
  <c r="S60"/>
  <c r="S100"/>
  <c r="S96"/>
  <c r="S92"/>
  <c r="S88"/>
  <c r="S84"/>
  <c r="S34"/>
  <c r="S32"/>
  <c r="S102"/>
  <c r="S106"/>
  <c r="S110"/>
  <c r="S114"/>
  <c r="S450"/>
  <c r="S510"/>
  <c r="S514"/>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s="1"/>
  <c r="Q28"/>
  <c r="Z28" s="1"/>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B77"/>
  <c r="B75"/>
  <c r="B73"/>
  <c r="H23" s="1"/>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U14"/>
  <c r="AC14"/>
  <c r="S46" i="33"/>
  <c r="AC13" i="36"/>
  <c r="AC11"/>
  <c r="U32"/>
  <c r="AB45" i="33"/>
  <c r="U31"/>
  <c r="AC29"/>
  <c r="W29"/>
  <c r="AB28"/>
  <c r="U42"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C31"/>
  <c r="AB10"/>
  <c r="S11"/>
  <c r="AC33" i="21"/>
  <c r="W10" i="36"/>
  <c r="W38" i="37"/>
  <c r="H37" i="21"/>
  <c r="U37" s="1"/>
  <c r="J37"/>
  <c r="W37" s="1"/>
  <c r="H19" i="34"/>
  <c r="U19" s="1"/>
  <c r="F36" i="35"/>
  <c r="AA36" s="1"/>
  <c r="J9" i="37"/>
  <c r="W9" s="1"/>
  <c r="H9"/>
  <c r="AB9" s="1"/>
  <c r="F9"/>
  <c r="AA9" s="1"/>
  <c r="F11"/>
  <c r="S11" s="1"/>
  <c r="J42" i="39"/>
  <c r="AC42" s="1"/>
  <c r="S37" i="21"/>
  <c r="AC9" i="37"/>
  <c r="AB27" i="40"/>
  <c r="AC31" i="39"/>
  <c r="U31"/>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8" i="57"/>
  <c r="D18" s="1"/>
  <c r="D47" i="15"/>
  <c r="AB12" i="37"/>
  <c r="J37"/>
  <c r="W37" s="1"/>
  <c r="AB40"/>
  <c r="U40"/>
  <c r="AA16" i="35"/>
  <c r="S14" i="39"/>
  <c r="AB29" i="35"/>
  <c r="U29"/>
  <c r="AA35" i="39"/>
  <c r="AB21"/>
  <c r="U25" i="35"/>
  <c r="W44" i="33"/>
  <c r="U36" i="37"/>
  <c r="AB46" i="34"/>
  <c r="S14"/>
  <c r="AA14"/>
  <c r="AB38"/>
  <c r="U38"/>
  <c r="F40"/>
  <c r="AA40" s="1"/>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s="1"/>
  <c r="F48"/>
  <c r="H51" s="1"/>
  <c r="M9"/>
  <c r="M1"/>
  <c r="N3"/>
  <c r="A121" i="9"/>
  <c r="N5" i="43"/>
  <c r="F101" i="9"/>
  <c r="M4" i="43"/>
  <c r="F33" i="9"/>
  <c r="C25" i="57"/>
  <c r="N102" i="43"/>
  <c r="G103"/>
  <c r="D103"/>
  <c r="M105"/>
  <c r="G4" i="47"/>
  <c r="F59" i="43"/>
  <c r="H63" s="1"/>
  <c r="G15" i="47"/>
  <c r="U15" i="37"/>
  <c r="H25" i="34"/>
  <c r="U25" s="1"/>
  <c r="AC40" i="37"/>
  <c r="AC36"/>
  <c r="S27"/>
  <c r="AA12"/>
  <c r="AA34" i="35"/>
  <c r="S34"/>
  <c r="AB24"/>
  <c r="J17" i="34"/>
  <c r="AC17" s="1"/>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AA44" s="1"/>
  <c r="F126"/>
  <c r="G126" s="1"/>
  <c r="J44"/>
  <c r="AC44" s="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S44" i="34"/>
  <c r="S27" i="36"/>
  <c r="AB25" i="34"/>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C9" i="35" l="1"/>
  <c r="W9"/>
  <c r="AA9" i="21"/>
  <c r="S9"/>
  <c r="AC11" i="34"/>
  <c r="AB35" i="39"/>
  <c r="AB24" i="36"/>
  <c r="W40" i="40"/>
  <c r="C109" i="57"/>
  <c r="H103" s="1"/>
  <c r="AC37" i="34"/>
  <c r="AB25" i="39"/>
  <c r="AA23" i="37"/>
  <c r="AA30" i="33"/>
  <c r="AA13"/>
  <c r="U23" i="37"/>
  <c r="W36" i="33"/>
  <c r="W28" i="37"/>
  <c r="AB14" i="33"/>
  <c r="W13" i="35"/>
  <c r="U15" i="34"/>
  <c r="F9" i="35"/>
  <c r="D1" i="58"/>
  <c r="E10" s="1"/>
  <c r="C10" i="66"/>
  <c r="C9"/>
  <c r="C11"/>
  <c r="H25" i="68"/>
  <c r="H22"/>
  <c r="C22" s="1"/>
  <c r="C23" s="1"/>
  <c r="H22" i="65"/>
  <c r="C22" s="1"/>
  <c r="C23" s="1"/>
  <c r="H25"/>
  <c r="U27" i="31"/>
  <c r="U25" s="1"/>
  <c r="Y27"/>
  <c r="J100" i="43"/>
  <c r="F100"/>
  <c r="M100"/>
  <c r="I100"/>
  <c r="E100"/>
  <c r="E26" i="58"/>
  <c r="C30"/>
  <c r="S516" i="31"/>
  <c r="S512"/>
  <c r="S452"/>
  <c r="S448"/>
  <c r="S112"/>
  <c r="S108"/>
  <c r="S104"/>
  <c r="S82"/>
  <c r="S86"/>
  <c r="S90"/>
  <c r="S94"/>
  <c r="S98"/>
  <c r="S58"/>
  <c r="S62"/>
  <c r="S66"/>
  <c r="S70"/>
  <c r="S74"/>
  <c r="S456"/>
  <c r="S464"/>
  <c r="S118"/>
  <c r="S122"/>
  <c r="S436"/>
  <c r="S444"/>
  <c r="S128"/>
  <c r="S132"/>
  <c r="S136"/>
  <c r="S140"/>
  <c r="S144"/>
  <c r="S148"/>
  <c r="S152"/>
  <c r="S156"/>
  <c r="S160"/>
  <c r="S164"/>
  <c r="S168"/>
  <c r="S172"/>
  <c r="S176"/>
  <c r="S180"/>
  <c r="S184"/>
  <c r="S188"/>
  <c r="S192"/>
  <c r="S196"/>
  <c r="S200"/>
  <c r="S204"/>
  <c r="S208"/>
  <c r="S212"/>
  <c r="S216"/>
  <c r="S220"/>
  <c r="S224"/>
  <c r="S432"/>
  <c r="S260"/>
  <c r="S266"/>
  <c r="S272"/>
  <c r="S276"/>
  <c r="S282"/>
  <c r="S288"/>
  <c r="S292"/>
  <c r="S298"/>
  <c r="S304"/>
  <c r="S308"/>
  <c r="S314"/>
  <c r="S320"/>
  <c r="S426"/>
  <c r="S328"/>
  <c r="S334"/>
  <c r="S338"/>
  <c r="S344"/>
  <c r="S350"/>
  <c r="S354"/>
  <c r="S360"/>
  <c r="S366"/>
  <c r="S370"/>
  <c r="S376"/>
  <c r="S382"/>
  <c r="S386"/>
  <c r="S392"/>
  <c r="S398"/>
  <c r="S402"/>
  <c r="S408"/>
  <c r="S414"/>
  <c r="S418"/>
  <c r="S424"/>
  <c r="F7" i="15"/>
  <c r="D3" i="69"/>
  <c r="B2" s="1"/>
  <c r="E103" i="43"/>
  <c r="F107"/>
  <c r="C113" i="57"/>
  <c r="H108" s="1"/>
  <c r="B74" i="43"/>
  <c r="C27" i="39"/>
  <c r="S40" i="21"/>
  <c r="W44"/>
  <c r="S44"/>
  <c r="AB37"/>
  <c r="AB38"/>
  <c r="AC38"/>
  <c r="AB34"/>
  <c r="S10"/>
  <c r="AC27"/>
  <c r="S23"/>
  <c r="S19"/>
  <c r="W17"/>
  <c r="U15"/>
  <c r="AC15"/>
  <c r="S33"/>
  <c r="F31" i="15"/>
  <c r="C6"/>
  <c r="H106" i="43"/>
  <c r="K104"/>
  <c r="C102"/>
  <c r="H72"/>
  <c r="H74"/>
  <c r="G26" i="47"/>
  <c r="H56" i="43"/>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D19" i="11"/>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7" i="65" l="1"/>
  <c r="C27" s="1"/>
  <c r="C26"/>
  <c r="E24" i="68"/>
  <c r="E25"/>
  <c r="E24" i="65"/>
  <c r="C7" i="68"/>
  <c r="C27" s="1"/>
  <c r="C26"/>
  <c r="AA9" i="35"/>
  <c r="S9"/>
  <c r="D68" i="39"/>
  <c r="M20" i="43"/>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W7"/>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24" i="68" l="1"/>
  <c r="C24" i="65"/>
  <c r="F7" i="36"/>
  <c r="J7"/>
  <c r="C5" i="43"/>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6" i="43" l="1"/>
  <c r="C35"/>
  <c r="C34"/>
  <c r="C33"/>
  <c r="C67" i="15"/>
  <c r="C61"/>
  <c r="S7" i="33"/>
  <c r="B33" i="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I5" i="68"/>
  <c r="D117" i="57"/>
  <c r="D118" s="1"/>
  <c r="I114" s="1"/>
  <c r="D131" s="1"/>
  <c r="G40" i="36"/>
  <c r="H40" s="1"/>
  <c r="R37"/>
  <c r="C37" s="1"/>
  <c r="G53" i="33"/>
  <c r="H53" s="1"/>
  <c r="C16" i="12"/>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30" i="43"/>
  <c r="E30" s="1"/>
  <c r="G36"/>
  <c r="I36" s="1"/>
  <c r="E36"/>
  <c r="G35"/>
  <c r="I35" s="1"/>
  <c r="E35"/>
  <c r="E33"/>
  <c r="G33"/>
  <c r="I33" s="1"/>
  <c r="D133" i="57"/>
  <c r="C36" i="36" l="1"/>
  <c r="C49" i="34"/>
  <c r="C49" i="21"/>
  <c r="C49" i="33"/>
  <c r="C39" i="11"/>
  <c r="C20" i="15"/>
  <c r="C23" s="1"/>
  <c r="I63" i="40"/>
  <c r="H65"/>
  <c r="I68" i="39"/>
  <c r="H70"/>
  <c r="C26" i="43"/>
  <c r="B2" s="1"/>
  <c r="B3" s="1"/>
  <c r="C27"/>
  <c r="C32" i="57" l="1"/>
  <c r="T27" i="31"/>
  <c r="S27"/>
  <c r="R28"/>
  <c r="M57" i="57"/>
  <c r="C43" i="11"/>
  <c r="C41" s="1"/>
  <c r="C46"/>
  <c r="C45" s="1"/>
  <c r="C26" i="15"/>
  <c r="C29" s="1"/>
  <c r="J60" s="1"/>
  <c r="J61" s="1"/>
  <c r="J68" i="39"/>
  <c r="I70"/>
  <c r="J63" i="40"/>
  <c r="I65"/>
  <c r="S28" i="31" l="1"/>
  <c r="S25" s="1"/>
  <c r="T28"/>
  <c r="T25" s="1"/>
  <c r="Q46" i="15"/>
  <c r="C49" i="11"/>
  <c r="C51" s="1"/>
  <c r="C13" i="15"/>
  <c r="Q47"/>
  <c r="J19"/>
  <c r="J17" s="1"/>
  <c r="C33"/>
  <c r="C31" s="1"/>
  <c r="J14"/>
  <c r="C58"/>
  <c r="C36"/>
  <c r="K68" i="39"/>
  <c r="J70"/>
  <c r="K63" i="40"/>
  <c r="J65"/>
  <c r="D20" i="57"/>
  <c r="R25" i="31" l="1"/>
  <c r="B24" s="1"/>
  <c r="B3" s="1"/>
  <c r="C34" i="57" s="1"/>
  <c r="I124" s="1"/>
  <c r="B23" i="31"/>
  <c r="B2" s="1"/>
  <c r="C33" i="57" s="1"/>
  <c r="H124" s="1"/>
  <c r="D119"/>
  <c r="I115"/>
  <c r="D132" s="1"/>
  <c r="I14" i="62" s="1"/>
  <c r="B8" s="1"/>
  <c r="D103" i="57"/>
  <c r="J22" i="15"/>
  <c r="J13"/>
  <c r="J23" s="1"/>
  <c r="C62"/>
  <c r="C60" s="1"/>
  <c r="C65"/>
  <c r="J34"/>
  <c r="Q68"/>
  <c r="C37"/>
  <c r="C30" s="1"/>
  <c r="C39" s="1"/>
  <c r="C57"/>
  <c r="C66" s="1"/>
  <c r="L63" i="40"/>
  <c r="K65"/>
  <c r="L68" i="39"/>
  <c r="K70"/>
  <c r="I103" i="57" l="1"/>
  <c r="C106"/>
  <c r="D109"/>
  <c r="D115" s="1"/>
  <c r="H125"/>
  <c r="D14" i="62"/>
  <c r="I104" i="57"/>
  <c r="D110"/>
  <c r="C107"/>
  <c r="D120"/>
  <c r="I116" s="1"/>
  <c r="C8" i="62"/>
  <c r="D8"/>
  <c r="C59" i="15"/>
  <c r="C68" s="1"/>
  <c r="C69" s="1"/>
  <c r="C72" s="1"/>
  <c r="J16"/>
  <c r="J25" s="1"/>
  <c r="J26" s="1"/>
  <c r="J29" s="1"/>
  <c r="C40"/>
  <c r="Q67"/>
  <c r="Q66" s="1"/>
  <c r="J38"/>
  <c r="M68" i="39"/>
  <c r="L70"/>
  <c r="M63" i="40"/>
  <c r="L65"/>
  <c r="E14" i="62" l="1"/>
  <c r="F14"/>
  <c r="I113" i="57"/>
  <c r="D46"/>
  <c r="M49"/>
  <c r="I111"/>
  <c r="D128" s="1"/>
  <c r="G14" i="62" s="1"/>
  <c r="D116" i="57"/>
  <c r="I112" s="1"/>
  <c r="D129" s="1"/>
  <c r="C47" i="15"/>
  <c r="J39"/>
  <c r="J41"/>
  <c r="J42" s="1"/>
  <c r="C43"/>
  <c r="L52"/>
  <c r="Q63"/>
  <c r="Q45"/>
  <c r="Q51" s="1"/>
  <c r="Q54"/>
  <c r="N63" i="40"/>
  <c r="M65"/>
  <c r="N68" i="39"/>
  <c r="M70"/>
  <c r="C19" i="57"/>
  <c r="E2" i="36"/>
  <c r="E2" i="37"/>
  <c r="E2" i="34"/>
  <c r="E2" i="35"/>
  <c r="E2" i="21"/>
  <c r="C20" i="57"/>
  <c r="E2" i="33"/>
  <c r="E2" i="11"/>
  <c r="M50" i="57" l="1"/>
  <c r="D130"/>
  <c r="H14" i="62" s="1"/>
  <c r="D53" i="57"/>
  <c r="D54"/>
  <c r="D49" s="1"/>
  <c r="M53" s="1"/>
  <c r="C73"/>
  <c r="C65"/>
  <c r="C64" s="1"/>
  <c r="C68" s="1"/>
  <c r="C69" s="1"/>
  <c r="D55" s="1"/>
  <c r="C79"/>
  <c r="C74" s="1"/>
  <c r="C86"/>
  <c r="C94"/>
  <c r="C87" s="1"/>
  <c r="D56"/>
  <c r="M54" s="1"/>
  <c r="B2" i="36"/>
  <c r="B3" s="1"/>
  <c r="B2" i="34"/>
  <c r="B3" s="1"/>
  <c r="B2" i="35"/>
  <c r="B2" i="37"/>
  <c r="B3" s="1"/>
  <c r="B2" i="33"/>
  <c r="B3" s="1"/>
  <c r="B2" i="21"/>
  <c r="C102" i="57"/>
  <c r="G20"/>
  <c r="C103"/>
  <c r="Q65" i="15"/>
  <c r="L58"/>
  <c r="L61" s="1"/>
  <c r="L47" s="1"/>
  <c r="O68" i="39"/>
  <c r="O70" s="1"/>
  <c r="N70"/>
  <c r="O63" i="40"/>
  <c r="O65" s="1"/>
  <c r="N65"/>
  <c r="D19" i="57"/>
  <c r="D19" i="9"/>
  <c r="C96" i="57" l="1"/>
  <c r="L68"/>
  <c r="M68" s="1"/>
  <c r="L66"/>
  <c r="M66" s="1"/>
  <c r="L64"/>
  <c r="M64" s="1"/>
  <c r="M70" s="1"/>
  <c r="N70" s="1"/>
  <c r="L69"/>
  <c r="M69" s="1"/>
  <c r="L67"/>
  <c r="M67" s="1"/>
  <c r="L65"/>
  <c r="M65" s="1"/>
  <c r="C80"/>
  <c r="C97"/>
  <c r="E97" s="1"/>
  <c r="E98" s="1"/>
  <c r="D101" i="9"/>
  <c r="B3" i="21"/>
  <c r="B2" i="15"/>
  <c r="B3"/>
  <c r="Q64"/>
  <c r="Q73" s="1"/>
  <c r="Q55"/>
  <c r="Q60" s="1"/>
  <c r="D22" i="57"/>
  <c r="D102"/>
  <c r="G19"/>
  <c r="C105" s="1"/>
  <c r="H7" i="40"/>
  <c r="F7"/>
  <c r="J7"/>
  <c r="H7" i="39"/>
  <c r="F7"/>
  <c r="J7"/>
  <c r="D20" i="9"/>
  <c r="C98" i="57" l="1"/>
  <c r="D59" s="1"/>
  <c r="D57" s="1"/>
  <c r="M55" s="1"/>
  <c r="N58" s="1"/>
  <c r="P58" s="1"/>
  <c r="C81"/>
  <c r="E81" s="1"/>
  <c r="E82" s="1"/>
  <c r="D102" i="9"/>
  <c r="C104" i="57"/>
  <c r="W7" i="39"/>
  <c r="AC7"/>
  <c r="V47" s="1"/>
  <c r="I47" s="1"/>
  <c r="I51" s="1"/>
  <c r="J51" s="1"/>
  <c r="AB7"/>
  <c r="T47" s="1"/>
  <c r="G47" s="1"/>
  <c r="U7"/>
  <c r="AA7" i="40"/>
  <c r="R42" s="1"/>
  <c r="S7"/>
  <c r="AA7" i="39"/>
  <c r="R47" s="1"/>
  <c r="S7"/>
  <c r="AC7" i="40"/>
  <c r="V42" s="1"/>
  <c r="I42" s="1"/>
  <c r="W7"/>
  <c r="AB7"/>
  <c r="T42" s="1"/>
  <c r="G42" s="1"/>
  <c r="U7"/>
  <c r="N59" i="57" l="1"/>
  <c r="N60"/>
  <c r="N61" s="1"/>
  <c r="C82"/>
  <c r="B5" i="62"/>
  <c r="G47" i="40"/>
  <c r="H47" s="1"/>
  <c r="G46"/>
  <c r="H46" s="1"/>
  <c r="I46"/>
  <c r="J46" s="1"/>
  <c r="R48" i="39"/>
  <c r="E47"/>
  <c r="R43" i="40"/>
  <c r="E42"/>
  <c r="G51" i="39"/>
  <c r="H51" s="1"/>
  <c r="G52"/>
  <c r="H52" s="1"/>
  <c r="N62" i="57" l="1"/>
  <c r="D5" i="62"/>
  <c r="C5"/>
  <c r="E46" i="40"/>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B6"/>
  <c r="F61" i="40"/>
  <c r="B2" s="1"/>
  <c r="B3" s="1"/>
  <c r="F66" i="39"/>
  <c r="B2" s="1"/>
  <c r="B3" s="1"/>
  <c r="D6" i="62" l="1"/>
  <c r="C6"/>
  <c r="M56" i="9" l="1"/>
  <c r="D130"/>
  <c r="D13" i="52" s="1"/>
  <c r="D35" i="9" l="1"/>
  <c r="D34" l="1"/>
  <c r="I112" l="1"/>
  <c r="M49" s="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C8" i="11"/>
  <c r="C18" i="12" s="1"/>
  <c r="C21" s="1"/>
  <c r="C22" l="1"/>
  <c r="C27" s="1"/>
  <c r="C25" s="1"/>
  <c r="C5" i="11"/>
  <c r="C30" i="12" l="1"/>
  <c r="C28" s="1"/>
  <c r="C32" s="1"/>
  <c r="B3" s="1"/>
  <c r="C23" i="11"/>
  <c r="C20"/>
  <c r="C25" s="1"/>
  <c r="B2" i="12" l="1"/>
  <c r="C22" i="11"/>
  <c r="C28"/>
  <c r="C27" s="1"/>
  <c r="C31" l="1"/>
  <c r="C52" s="1"/>
  <c r="B3" s="1"/>
  <c r="C20" i="9"/>
  <c r="F8" i="66" l="1"/>
  <c r="C102" i="9"/>
  <c r="G20"/>
  <c r="C56" i="11"/>
  <c r="C57" s="1"/>
  <c r="B2"/>
  <c r="C19" i="9"/>
  <c r="F4" i="66" l="1"/>
  <c r="F6"/>
  <c r="F7"/>
  <c r="G8"/>
  <c r="G9" s="1"/>
  <c r="G10" s="1"/>
  <c r="G11" s="1"/>
  <c r="C3" i="68" s="1"/>
  <c r="F10" i="66"/>
  <c r="F11"/>
  <c r="F9"/>
  <c r="F3"/>
  <c r="F5"/>
  <c r="D22" i="9"/>
  <c r="C101"/>
  <c r="G19"/>
  <c r="C4" i="68" s="1"/>
  <c r="C29" s="1"/>
  <c r="C30" s="1"/>
  <c r="D36" l="1"/>
  <c r="E41"/>
  <c r="G3" i="66"/>
  <c r="C32" i="9"/>
  <c r="H121" s="1"/>
  <c r="G7" i="66" l="1"/>
  <c r="C35" i="9"/>
  <c r="F121" s="1"/>
  <c r="F4" i="52" s="1"/>
  <c r="B40" i="60" s="1"/>
  <c r="J9" i="68"/>
  <c r="D37"/>
  <c r="G35"/>
  <c r="G4" i="66"/>
  <c r="G5"/>
  <c r="G6" s="1"/>
  <c r="C103" i="9"/>
  <c r="I102"/>
  <c r="D106"/>
  <c r="D112" s="1"/>
  <c r="H4" i="52"/>
  <c r="I121" i="9"/>
  <c r="H122"/>
  <c r="H5" i="52" s="1"/>
  <c r="G12" i="66" l="1"/>
  <c r="F122" i="9"/>
  <c r="F5" i="52" s="1"/>
  <c r="B42" i="60" s="1"/>
  <c r="G121" i="9"/>
  <c r="G4" i="52" s="1"/>
  <c r="B41" i="60" s="1"/>
  <c r="C34" i="9"/>
  <c r="D121" s="1"/>
  <c r="D122" s="1"/>
  <c r="D5" i="52" s="1"/>
  <c r="B39" i="60" s="1"/>
  <c r="E38" i="68"/>
  <c r="E39" s="1"/>
  <c r="C38"/>
  <c r="C39" s="1"/>
  <c r="J10"/>
  <c r="D107" i="9"/>
  <c r="D113" s="1"/>
  <c r="I103"/>
  <c r="I4" i="52"/>
  <c r="C104" i="9"/>
  <c r="D117"/>
  <c r="D28" i="50"/>
  <c r="D29" s="1"/>
  <c r="D45" i="9"/>
  <c r="I110"/>
  <c r="M48"/>
  <c r="D7" i="50"/>
  <c r="C3" i="65" l="1"/>
  <c r="C4" s="1"/>
  <c r="C29" s="1"/>
  <c r="C30" s="1"/>
  <c r="C41" s="1"/>
  <c r="E121" i="9"/>
  <c r="E4" i="52" s="1"/>
  <c r="B38" i="60" s="1"/>
  <c r="D4" i="52"/>
  <c r="B37" i="60" s="1"/>
  <c r="D52" i="9"/>
  <c r="C93"/>
  <c r="C86" s="1"/>
  <c r="C72"/>
  <c r="C78"/>
  <c r="C73" s="1"/>
  <c r="C64"/>
  <c r="C63" s="1"/>
  <c r="C67" s="1"/>
  <c r="C68" s="1"/>
  <c r="D54" s="1"/>
  <c r="D59"/>
  <c r="M55" s="1"/>
  <c r="D53"/>
  <c r="D48" s="1"/>
  <c r="M52" s="1"/>
  <c r="C85"/>
  <c r="C95" s="1"/>
  <c r="D55"/>
  <c r="M53" s="1"/>
  <c r="D8" i="50"/>
  <c r="B22" i="60" s="1"/>
  <c r="B19"/>
  <c r="D125" i="9"/>
  <c r="D8" i="52" s="1"/>
  <c r="D36" i="50"/>
  <c r="D37" s="1"/>
  <c r="D15"/>
  <c r="I115" i="9"/>
  <c r="D23" i="50" s="1"/>
  <c r="B34" i="60" s="1"/>
  <c r="D44" i="50"/>
  <c r="I111" i="9"/>
  <c r="D38" i="50"/>
  <c r="B62" i="60" s="1"/>
  <c r="D30" i="50"/>
  <c r="D9"/>
  <c r="B21" i="60" s="1"/>
  <c r="D41" i="65" l="1"/>
  <c r="B27" i="66"/>
  <c r="D36" i="65"/>
  <c r="J9" s="1"/>
  <c r="D16" i="50"/>
  <c r="B30" i="60" s="1"/>
  <c r="B29"/>
  <c r="D126" i="9"/>
  <c r="D9" i="52" s="1"/>
  <c r="D17" i="50"/>
  <c r="C79" i="9"/>
  <c r="C96"/>
  <c r="E96" s="1"/>
  <c r="E97" s="1"/>
  <c r="C27" i="66" l="1"/>
  <c r="B30"/>
  <c r="C30" s="1"/>
  <c r="D37" i="65"/>
  <c r="E38" s="1"/>
  <c r="E39" s="1"/>
  <c r="C97" i="9"/>
  <c r="D58" s="1"/>
  <c r="D56" s="1"/>
  <c r="M54" s="1"/>
  <c r="N57" s="1"/>
  <c r="N58" s="1"/>
  <c r="C80"/>
  <c r="E80" s="1"/>
  <c r="E81" s="1"/>
  <c r="J10" i="65" l="1"/>
  <c r="C38"/>
  <c r="C39" s="1"/>
  <c r="P57" i="9"/>
  <c r="N59"/>
  <c r="N61" s="1"/>
  <c r="C81"/>
  <c r="N60" l="1"/>
  <c r="H41" i="65" l="1"/>
  <c r="G27" i="66" l="1"/>
  <c r="I41" i="65"/>
  <c r="H27" i="66" l="1"/>
  <c r="G30"/>
  <c r="H3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<sst xmlns="http://schemas.openxmlformats.org/spreadsheetml/2006/main" count="7827" uniqueCount="3157">
  <si>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</si>
  <si>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</si>
  <si>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</si>
  <si>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</si>
  <si>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</si>
  <si>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</si>
  <si>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</si>
  <si>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</si>
  <si>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</si>
  <si>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</si>
  <si>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</si>
  <si>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</si>
  <si>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</si>
  <si>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</si>
  <si>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</si>
  <si>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</si>
  <si>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</si>
  <si>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</si>
  <si>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</si>
  <si>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</si>
  <si>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</si>
  <si>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</si>
  <si>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</si>
  <si>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</si>
  <si>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</si>
  <si>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</si>
  <si>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</si>
  <si>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</si>
  <si>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</si>
  <si>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</si>
  <si>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</si>
  <si>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</si>
  <si>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</si>
  <si>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</si>
  <si>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</si>
  <si>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</si>
  <si>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</si>
  <si>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</si>
  <si>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</si>
  <si>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</si>
  <si>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</si>
  <si>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</si>
  <si>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</si>
  <si>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</si>
  <si>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</si>
  <si>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</si>
  <si>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</si>
  <si>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</si>
  <si>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</si>
  <si>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</si>
  <si>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</si>
  <si>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</si>
  <si>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</si>
  <si>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</si>
  <si>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</si>
  <si>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</si>
  <si>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</si>
  <si>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</si>
  <si>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</si>
  <si>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</si>
  <si>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</si>
  <si>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</si>
  <si>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</si>
  <si>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</si>
  <si>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</si>
  <si>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</si>
  <si>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</si>
  <si>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</si>
  <si>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</si>
  <si>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</si>
  <si>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</si>
  <si>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</si>
  <si>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</si>
  <si>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</si>
  <si>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</si>
  <si>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</si>
  <si>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</si>
  <si>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</si>
  <si>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</si>
  <si>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</si>
  <si>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</si>
  <si>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</si>
  <si>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</si>
  <si>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</si>
  <si>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</si>
  <si>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</si>
  <si>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</si>
  <si>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</si>
  <si>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</si>
  <si>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</si>
  <si>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</si>
  <si>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</si>
  <si>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</si>
  <si>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</si>
  <si>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</si>
  <si>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</si>
  <si>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</si>
  <si>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</si>
  <si>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</si>
  <si>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</si>
  <si>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</si>
  <si>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</si>
  <si>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</si>
  <si>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</si>
  <si>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</si>
  <si>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</si>
  <si>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</si>
  <si>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</si>
  <si>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</si>
  <si>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</si>
  <si>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</si>
  <si>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</si>
  <si>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</si>
  <si>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</si>
  <si>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</si>
  <si>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</si>
  <si>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</si>
  <si>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</si>
  <si>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</si>
  <si>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</si>
  <si>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</si>
  <si>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</si>
  <si>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</si>
  <si>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</si>
  <si>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</si>
  <si>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</si>
  <si>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</si>
  <si>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</si>
  <si>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</si>
  <si>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</si>
  <si>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</si>
  <si>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</si>
  <si>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</si>
  <si>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</si>
  <si>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</si>
  <si>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</si>
  <si>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</si>
  <si>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</si>
  <si>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</si>
  <si>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</si>
  <si>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</si>
  <si>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</si>
  <si>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</si>
  <si>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</si>
  <si>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</si>
  <si>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</si>
  <si>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</si>
  <si>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</si>
  <si>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</si>
  <si>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</si>
  <si>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</si>
  <si>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</si>
  <si>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</si>
  <si>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</si>
  <si>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</si>
  <si>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</si>
  <si>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</si>
  <si>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</si>
  <si>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</si>
  <si>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</si>
  <si>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</si>
  <si>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</si>
  <si>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</si>
  <si>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</si>
  <si>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</si>
  <si>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</si>
  <si>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</si>
  <si>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</si>
  <si>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</si>
  <si>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</si>
  <si>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</si>
  <si>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</si>
  <si>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</si>
  <si>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</si>
  <si>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</si>
  <si>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</si>
  <si>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</si>
  <si>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</si>
  <si>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</si>
  <si>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</si>
  <si>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</si>
  <si>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</si>
  <si>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</si>
  <si>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</si>
  <si>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</si>
  <si>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</si>
  <si>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</si>
  <si>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</si>
  <si>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</si>
  <si>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</si>
  <si>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</si>
  <si>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</si>
  <si>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</si>
  <si>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</si>
  <si>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</si>
  <si>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</si>
  <si>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</si>
  <si>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</si>
  <si>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</si>
  <si>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</si>
  <si>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</si>
  <si>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</si>
  <si>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</si>
  <si>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</si>
  <si>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</si>
  <si>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</si>
  <si>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</si>
  <si>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</si>
  <si>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</si>
  <si>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</si>
  <si>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</si>
  <si>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</si>
  <si>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</si>
  <si>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</si>
  <si>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</si>
  <si>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</si>
  <si>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</si>
  <si>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</si>
  <si>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</si>
  <si>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</si>
  <si>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</si>
  <si>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</si>
  <si>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</si>
  <si>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</si>
  <si>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</si>
  <si>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</si>
  <si>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</si>
  <si>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</si>
  <si>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</si>
  <si>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</si>
  <si>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</si>
  <si>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</si>
  <si>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</si>
  <si>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</si>
  <si>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</si>
  <si>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</si>
  <si>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</si>
  <si>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</si>
  <si>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</si>
  <si>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</si>
  <si>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</si>
  <si>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</si>
  <si>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</si>
  <si>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</si>
  <si>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</si>
  <si>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</si>
  <si>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</si>
  <si>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</si>
  <si>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</si>
  <si>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</si>
  <si>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</si>
  <si>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</si>
  <si>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</si>
  <si>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</si>
  <si>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</si>
  <si>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</si>
  <si>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</si>
  <si>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</si>
  <si>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</si>
  <si>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</si>
  <si>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</si>
  <si>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</si>
  <si>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</si>
  <si>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</si>
  <si>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</si>
  <si>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</si>
  <si>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</si>
  <si>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</si>
  <si>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</si>
  <si>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</si>
  <si>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</si>
  <si>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</si>
  <si>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</si>
  <si>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</si>
  <si>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</si>
  <si>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</si>
  <si>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</si>
  <si>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</si>
  <si>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</si>
  <si>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</si>
  <si>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</si>
  <si>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</si>
  <si>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</si>
  <si>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</si>
  <si>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</si>
  <si>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</si>
  <si>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</si>
  <si>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</si>
  <si>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</si>
  <si>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</si>
  <si>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</si>
  <si>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</si>
  <si>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</si>
  <si>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</si>
  <si>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</si>
  <si>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</si>
  <si>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</si>
  <si>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</si>
  <si>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</si>
  <si>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</si>
  <si>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</si>
  <si>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</si>
  <si>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</si>
  <si>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</si>
  <si>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</si>
  <si>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</si>
  <si>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</si>
  <si>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</si>
  <si>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</si>
  <si>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</si>
  <si>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</si>
  <si>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</si>
  <si>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</si>
  <si>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</si>
  <si>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</si>
  <si>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</si>
  <si>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</si>
  <si>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</si>
  <si>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</si>
  <si>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</si>
  <si>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</si>
  <si>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</si>
  <si>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</si>
  <si>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</si>
  <si>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</si>
  <si>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</si>
  <si>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</si>
  <si>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</si>
  <si>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</si>
  <si>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</si>
  <si>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</si>
  <si>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</si>
  <si>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</si>
  <si>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</si>
  <si>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</si>
  <si>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</si>
  <si>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</si>
  <si>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</si>
  <si>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</si>
  <si>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</si>
  <si>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</si>
  <si>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</si>
  <si>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</si>
  <si>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</si>
  <si>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</si>
  <si>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</si>
  <si>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</si>
  <si>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</si>
  <si>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</si>
  <si>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</si>
  <si>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</si>
  <si>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</si>
  <si>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</si>
  <si>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</si>
  <si>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</si>
  <si>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</si>
  <si>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</si>
  <si>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</si>
  <si>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</si>
  <si>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</si>
  <si>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</si>
  <si>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</si>
  <si>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</si>
  <si>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</si>
  <si>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</si>
  <si>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</si>
  <si>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</si>
  <si>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</si>
  <si>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</si>
  <si>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</si>
  <si>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</si>
  <si>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</si>
  <si>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</si>
  <si>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</si>
  <si>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</si>
  <si>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</si>
  <si>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</si>
  <si>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</si>
  <si>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</si>
  <si>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</si>
  <si>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</si>
  <si>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</si>
  <si>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</si>
  <si>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</si>
  <si>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</si>
  <si>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</si>
  <si>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</si>
  <si>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</si>
  <si>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</si>
  <si>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</si>
  <si>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</si>
  <si>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</si>
  <si>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</si>
  <si>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</si>
  <si>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</si>
  <si>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</si>
  <si>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</si>
  <si>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</si>
  <si>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</si>
  <si>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</si>
  <si>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</si>
  <si>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</si>
  <si>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</si>
  <si>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</si>
  <si>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</si>
  <si>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</si>
  <si>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</si>
  <si>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</si>
  <si>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</si>
  <si>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</si>
  <si>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</si>
  <si>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</si>
  <si>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</si>
  <si>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</si>
  <si>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</si>
  <si>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</si>
  <si>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</si>
  <si>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</si>
  <si>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</si>
  <si>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</si>
  <si>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</si>
  <si>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</si>
  <si>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</si>
  <si>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</si>
  <si>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</si>
  <si>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</si>
  <si>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</si>
  <si>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</si>
  <si>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</si>
  <si>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</si>
  <si>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</si>
  <si>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</si>
  <si>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</si>
  <si>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</si>
  <si>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</si>
  <si>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</si>
  <si>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</si>
  <si>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</si>
  <si>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</si>
  <si>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</si>
  <si>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</si>
  <si>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</si>
  <si>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</si>
  <si>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</si>
  <si>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</si>
  <si>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</si>
  <si>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</si>
  <si>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</si>
  <si>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</si>
  <si>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</si>
  <si>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</si>
  <si>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</si>
  <si>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</si>
  <si>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</si>
  <si>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</si>
  <si>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</si>
  <si>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</si>
  <si>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</si>
  <si>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</si>
  <si>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</si>
  <si>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</si>
  <si>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</si>
  <si>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</si>
  <si>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</si>
  <si>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</si>
  <si>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</si>
  <si>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</si>
  <si>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</si>
  <si>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</si>
  <si>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</si>
  <si>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</si>
  <si>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</si>
  <si>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</si>
  <si>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</si>
  <si>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</si>
  <si>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</si>
  <si>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</si>
  <si>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</si>
  <si>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</si>
  <si>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</si>
  <si>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</si>
  <si>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</si>
  <si>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</si>
  <si>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</si>
  <si>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</si>
  <si>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</si>
  <si>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</si>
  <si>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</si>
  <si>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</si>
  <si>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</si>
  <si>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</si>
  <si>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</si>
  <si>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</si>
  <si>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</si>
  <si>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</si>
  <si>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</si>
  <si>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</si>
  <si>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</si>
  <si>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</si>
  <si>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</si>
  <si>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</si>
  <si>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</si>
  <si>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</si>
  <si>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</si>
  <si>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</si>
  <si>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</si>
  <si>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</si>
  <si>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</si>
  <si>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</si>
  <si>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</si>
  <si>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</si>
  <si>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</si>
  <si>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</si>
  <si>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</si>
  <si>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</si>
  <si>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</si>
  <si>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</si>
  <si>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</si>
  <si>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</si>
  <si>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</si>
  <si>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</si>
  <si>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</si>
  <si>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</si>
  <si>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</si>
  <si>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</si>
  <si>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</si>
  <si>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</si>
  <si>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</si>
  <si>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</si>
  <si>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</si>
  <si>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</si>
  <si>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</si>
  <si>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</si>
  <si>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</si>
  <si>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</si>
  <si>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</si>
  <si>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</si>
  <si>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</si>
  <si>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</si>
  <si>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</si>
  <si>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</si>
  <si>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</si>
  <si>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</si>
  <si>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</si>
  <si>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</si>
  <si>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</si>
  <si>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</si>
  <si>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</si>
  <si>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</si>
  <si>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</si>
  <si>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</si>
  <si>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</si>
  <si>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</si>
  <si>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</si>
  <si>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</si>
  <si>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</si>
  <si>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</si>
  <si>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</si>
  <si>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</si>
  <si>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</si>
  <si>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</si>
  <si>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</si>
  <si>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</si>
  <si>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</si>
  <si>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</si>
  <si>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</si>
  <si>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</si>
  <si>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</si>
  <si>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</si>
  <si>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</si>
  <si>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</si>
  <si>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</si>
  <si>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</si>
  <si>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</si>
  <si>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</si>
  <si>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</si>
  <si>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</si>
  <si>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</si>
  <si>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</si>
  <si>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</si>
  <si>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</si>
  <si>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</si>
  <si>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</si>
  <si>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</si>
  <si>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</si>
  <si>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</si>
  <si>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</si>
  <si>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</si>
  <si>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</si>
  <si>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</si>
  <si>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</si>
  <si>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</si>
  <si>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</si>
  <si>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</si>
  <si>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</si>
  <si>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</si>
  <si>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</si>
  <si>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</si>
  <si>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</si>
  <si>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</si>
  <si>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</si>
  <si>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</si>
  <si>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</si>
  <si>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</si>
  <si>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</si>
  <si>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</si>
  <si>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</si>
  <si>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</si>
  <si>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</si>
  <si>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</si>
  <si>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</si>
  <si>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</si>
  <si>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</si>
  <si>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</si>
  <si>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</si>
  <si>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</si>
  <si>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</si>
  <si>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</si>
  <si>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</si>
  <si>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</si>
  <si>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</si>
  <si>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</si>
  <si>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</si>
  <si>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</si>
  <si>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</si>
  <si>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</si>
  <si>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</si>
  <si>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</si>
  <si>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</si>
  <si>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</si>
  <si>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</si>
  <si>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</si>
  <si>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</si>
  <si>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</si>
  <si>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</si>
  <si>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</si>
  <si>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</si>
  <si>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</si>
  <si>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</si>
  <si>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</si>
  <si>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</si>
  <si>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</si>
  <si>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</si>
  <si>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</si>
  <si>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</si>
  <si>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</si>
  <si>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</si>
  <si>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</si>
  <si>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</si>
  <si>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</si>
  <si>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</si>
  <si>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</si>
  <si>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</si>
  <si>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</si>
  <si>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</si>
  <si>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</si>
  <si>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</si>
  <si>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</si>
  <si>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</si>
  <si>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</si>
  <si>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</si>
  <si>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</si>
  <si>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</si>
  <si>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</si>
  <si>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</si>
  <si>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</si>
  <si>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</si>
  <si>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</si>
  <si>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</si>
  <si>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</si>
  <si>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</si>
  <si>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</si>
  <si>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</si>
  <si>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</si>
  <si>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</si>
  <si>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</si>
  <si>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</si>
  <si>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</si>
  <si>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</si>
  <si>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</si>
  <si>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</si>
  <si>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</si>
  <si>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</si>
  <si>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</si>
  <si>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</si>
  <si>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</si>
  <si>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</si>
  <si>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</si>
  <si>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</si>
  <si>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</si>
  <si>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</si>
  <si>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</si>
  <si>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</si>
  <si>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</si>
  <si>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</si>
  <si>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</si>
  <si>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</si>
  <si>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</si>
  <si>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</si>
  <si>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</si>
  <si>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</si>
  <si>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</si>
  <si>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</si>
  <si>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</si>
  <si>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</si>
  <si>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</si>
  <si>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</si>
  <si>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</si>
  <si>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</si>
  <si>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</si>
  <si>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</si>
  <si>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</si>
  <si>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</si>
  <si>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</si>
  <si>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</si>
  <si>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</si>
  <si>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</si>
  <si>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</si>
  <si>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</si>
  <si>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</si>
  <si>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</si>
  <si>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</si>
  <si>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</si>
  <si>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</si>
  <si>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</si>
  <si>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</si>
  <si>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</si>
  <si>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</si>
  <si>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</si>
  <si>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</si>
  <si>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</si>
  <si>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</si>
  <si>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</si>
  <si>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</si>
  <si>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</si>
  <si>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</si>
  <si>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</si>
  <si>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</si>
  <si>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</si>
  <si>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</si>
  <si>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</si>
  <si>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</si>
  <si>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</si>
  <si>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</si>
  <si>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</si>
  <si>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</si>
  <si>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</si>
  <si>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</si>
  <si>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</si>
  <si>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</si>
  <si>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</si>
  <si>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</si>
  <si>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</si>
  <si>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</si>
  <si>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</si>
  <si>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</si>
  <si>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</si>
  <si>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</si>
  <si>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</si>
  <si>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</si>
  <si>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</si>
  <si>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</si>
  <si>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</si>
  <si>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</si>
  <si>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</si>
  <si>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</si>
  <si>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</si>
  <si>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</si>
  <si>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</si>
  <si>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</si>
  <si>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</si>
  <si>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</si>
  <si>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</si>
  <si>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</si>
  <si>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</si>
  <si>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</si>
  <si>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</si>
  <si>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</si>
  <si>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</si>
  <si>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</si>
  <si>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</si>
  <si>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</si>
  <si>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</si>
  <si>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</si>
  <si>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</si>
  <si>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</si>
  <si>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</si>
  <si>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</si>
  <si>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</si>
  <si>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</si>
  <si>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</si>
  <si>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</si>
  <si>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</si>
  <si>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</si>
  <si>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</si>
  <si>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</si>
  <si>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</si>
  <si>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</si>
  <si>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</si>
  <si>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</si>
  <si>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</si>
  <si>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</si>
  <si>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</si>
  <si>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</si>
  <si>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</si>
  <si>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</si>
  <si>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</si>
  <si>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</si>
  <si>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</si>
  <si>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</si>
  <si>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</si>
  <si>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</si>
  <si>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</si>
  <si>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</si>
  <si>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</si>
  <si>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</si>
  <si>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</si>
  <si>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</si>
  <si>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</si>
  <si>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</si>
  <si>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</si>
  <si>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</si>
  <si>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</si>
  <si>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</si>
  <si>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</si>
  <si>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</si>
  <si>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</si>
  <si>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</si>
  <si>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</si>
  <si>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</si>
  <si>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</si>
  <si>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</si>
  <si>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</si>
  <si>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</si>
  <si>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</si>
  <si>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</si>
  <si>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</si>
  <si>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</si>
  <si>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</si>
  <si>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</si>
  <si>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</si>
  <si>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</si>
  <si>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</si>
  <si>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</si>
  <si>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</si>
  <si>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</si>
  <si>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</si>
  <si>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</si>
  <si>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</si>
  <si>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</si>
  <si>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</si>
  <si>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</si>
  <si>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</si>
  <si>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</si>
  <si>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</si>
  <si>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</si>
  <si>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</si>
  <si>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</si>
  <si>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</si>
  <si>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</si>
  <si>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</si>
  <si>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</si>
  <si>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</si>
  <si>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</si>
  <si>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</si>
  <si>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</si>
  <si>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</si>
  <si>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</si>
  <si>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</si>
  <si>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</si>
  <si>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</si>
  <si>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</si>
  <si>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</si>
  <si>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</si>
  <si>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</si>
  <si>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</si>
  <si>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</si>
  <si>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</si>
  <si>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</si>
  <si>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</si>
  <si>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</si>
  <si>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</si>
  <si>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</si>
  <si>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</si>
  <si>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</si>
  <si>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</si>
  <si>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</si>
  <si>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</si>
  <si>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</si>
  <si>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</si>
  <si>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</si>
  <si>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</si>
  <si>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</si>
  <si>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</si>
  <si>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</si>
  <si>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</si>
  <si>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</si>
  <si>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</si>
  <si>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</si>
  <si>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</si>
  <si>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</si>
  <si>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</si>
  <si>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</si>
  <si>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</si>
  <si>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</si>
  <si>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</si>
  <si>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</si>
  <si>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</si>
  <si>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</si>
  <si>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</si>
  <si>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</si>
  <si>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</si>
  <si>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</si>
  <si>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</si>
  <si>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</si>
  <si>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</si>
  <si>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</si>
  <si>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</si>
  <si>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</si>
  <si>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</si>
  <si>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</si>
  <si>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</si>
  <si>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</si>
  <si>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</si>
  <si>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</si>
  <si>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</si>
  <si>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</si>
  <si>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</si>
  <si>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</si>
  <si>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</si>
  <si>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</si>
  <si>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</si>
  <si>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</si>
  <si>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</si>
  <si>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</si>
  <si>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</si>
  <si>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</si>
  <si>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</si>
  <si>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</si>
  <si>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</si>
  <si>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</si>
  <si>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</si>
  <si>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</si>
  <si>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</si>
  <si>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</si>
  <si>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</si>
  <si>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</si>
  <si>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</si>
  <si>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</si>
  <si>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</si>
  <si>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</si>
  <si>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</si>
  <si>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</si>
  <si>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</si>
  <si>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</si>
  <si>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</si>
  <si>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</si>
  <si>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</si>
  <si>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</si>
  <si>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</si>
  <si>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</si>
  <si>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</si>
  <si>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</si>
  <si>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</si>
  <si>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</si>
  <si>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</si>
  <si>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</si>
  <si>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</si>
  <si>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</si>
  <si>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</si>
  <si>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</si>
  <si>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</si>
  <si>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</si>
  <si>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</si>
  <si>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</si>
  <si>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</si>
  <si>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</si>
  <si>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</si>
  <si>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</si>
  <si>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</si>
  <si>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</si>
  <si>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</si>
  <si>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</si>
  <si>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</si>
  <si>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</si>
  <si>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</si>
  <si>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</si>
  <si>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</si>
  <si>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</si>
  <si>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</si>
  <si>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</si>
  <si>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</si>
  <si>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</si>
  <si>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</si>
  <si>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</si>
  <si>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</si>
  <si>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</si>
  <si>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</si>
  <si>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</si>
  <si>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</si>
  <si>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</si>
  <si>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</si>
  <si>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</si>
  <si>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</si>
  <si>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</si>
  <si>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</si>
  <si>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</si>
  <si>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</si>
  <si>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</si>
  <si>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</si>
  <si>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</si>
  <si>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</si>
  <si>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</si>
  <si>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</si>
  <si>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</si>
  <si>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</si>
  <si>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</si>
  <si>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</si>
  <si>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</si>
  <si>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</si>
  <si>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</si>
  <si>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</si>
  <si>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</si>
  <si>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</si>
  <si>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</si>
  <si>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</si>
  <si>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</si>
  <si>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</si>
  <si>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</si>
  <si>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</si>
  <si>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</si>
  <si>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</si>
  <si>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</si>
  <si>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</si>
  <si>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</si>
  <si>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</si>
  <si>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</si>
  <si>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</si>
  <si>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</si>
  <si>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</si>
  <si>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</si>
  <si>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</si>
  <si>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</si>
  <si>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</si>
  <si>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</si>
  <si>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</si>
  <si>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</si>
  <si>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</si>
  <si>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</si>
  <si>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</si>
  <si>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</si>
  <si>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</si>
  <si>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</si>
  <si>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</si>
  <si>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</si>
  <si>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</si>
  <si>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</si>
  <si>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</si>
  <si>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</si>
  <si>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</si>
  <si>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</si>
  <si>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</si>
  <si>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</si>
  <si>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</si>
  <si>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</si>
  <si>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</si>
  <si>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</si>
  <si>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</si>
  <si>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</si>
  <si>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</si>
  <si>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</si>
  <si>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</si>
  <si>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</si>
  <si>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</si>
  <si>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</si>
  <si>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</si>
  <si>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</si>
  <si>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</si>
  <si>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</si>
  <si>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</si>
  <si>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</si>
  <si>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</si>
  <si>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</si>
  <si>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</si>
  <si>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</si>
  <si>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</si>
  <si>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</si>
  <si>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</si>
  <si>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</si>
  <si>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</si>
  <si>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</si>
  <si>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</si>
  <si>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</si>
  <si>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</si>
  <si>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</si>
  <si>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</si>
  <si>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</si>
  <si>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</si>
  <si>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</si>
  <si>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</si>
  <si>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</si>
  <si>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</si>
  <si>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</si>
  <si>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</si>
  <si>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</si>
  <si>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</si>
  <si>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</si>
  <si>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</si>
  <si>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</si>
  <si>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</si>
  <si>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</si>
  <si>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</si>
  <si>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</si>
  <si>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</si>
  <si>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</si>
  <si>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</si>
  <si>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</si>
  <si>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</si>
  <si>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</si>
  <si>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</si>
  <si>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</si>
  <si>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</si>
  <si>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</si>
  <si>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</si>
  <si>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</si>
  <si>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</si>
  <si>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</si>
  <si>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</si>
  <si>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</si>
  <si>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</si>
  <si>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</si>
  <si>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</si>
  <si>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</si>
  <si>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</si>
  <si>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</si>
  <si>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</si>
  <si>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</si>
  <si>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</si>
  <si>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</si>
  <si>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</si>
  <si>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</si>
  <si>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</si>
  <si>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</si>
  <si>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</si>
  <si>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</si>
  <si>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</si>
  <si>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</si>
  <si>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</si>
  <si>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</si>
  <si>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</si>
  <si>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</si>
  <si>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</si>
  <si>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</si>
  <si>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</si>
  <si>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</si>
  <si>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</si>
  <si>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</si>
  <si>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</si>
  <si>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</si>
  <si>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</si>
  <si>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</si>
  <si>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</si>
  <si>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</si>
  <si>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</si>
  <si>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</si>
  <si>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</si>
  <si>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</si>
  <si>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</si>
  <si>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</si>
  <si>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</si>
  <si>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</si>
  <si>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</si>
  <si>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</si>
  <si>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</si>
  <si>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</si>
  <si>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</si>
  <si>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</si>
  <si>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</si>
  <si>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</si>
  <si>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</si>
  <si>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</si>
  <si>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</si>
  <si>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</si>
  <si>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</si>
  <si>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</si>
  <si>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</si>
  <si>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</si>
  <si>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</si>
  <si>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</si>
  <si>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</si>
  <si>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</si>
  <si>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</si>
  <si>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</si>
  <si>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</si>
  <si>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</si>
  <si>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</si>
  <si>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</si>
  <si>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</si>
  <si>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</si>
  <si>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</si>
  <si>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</si>
  <si>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</si>
  <si>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</si>
  <si>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</si>
  <si>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</si>
  <si>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</si>
  <si>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</si>
  <si>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</si>
  <si>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</si>
  <si>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</si>
  <si>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</si>
  <si>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</si>
  <si>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</si>
  <si>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</si>
  <si>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</si>
  <si>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</si>
  <si>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</si>
  <si>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</si>
  <si>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</si>
  <si>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</si>
  <si>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</si>
  <si>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</si>
  <si>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</si>
  <si>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</si>
  <si>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</si>
  <si>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</si>
  <si>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</si>
  <si>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</si>
  <si>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</si>
  <si>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</si>
  <si>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</si>
  <si>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</si>
  <si>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</si>
  <si>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</si>
  <si>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</si>
  <si>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</si>
  <si>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</si>
  <si>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</si>
  <si>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</si>
  <si>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</si>
  <si>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</si>
  <si>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</si>
  <si>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</si>
  <si>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</si>
  <si>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</si>
  <si>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</si>
  <si>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</si>
  <si>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</si>
  <si>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</si>
  <si>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</si>
  <si>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</si>
  <si>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</si>
  <si>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</si>
  <si>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</si>
  <si>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</si>
  <si>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</si>
  <si>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</si>
  <si>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</si>
  <si>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</si>
  <si>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</si>
  <si>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</si>
  <si>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</si>
  <si>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</si>
  <si>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</si>
  <si>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</si>
  <si>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</si>
  <si>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</si>
  <si>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</si>
  <si>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</si>
  <si>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</si>
  <si>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</si>
  <si>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</si>
  <si>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</si>
  <si>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</si>
  <si>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</si>
  <si>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</si>
  <si>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</si>
  <si>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</si>
  <si>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</si>
  <si>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</si>
  <si>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</si>
  <si>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</si>
  <si>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</si>
  <si>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</si>
  <si>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</si>
  <si>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</si>
  <si>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</si>
  <si>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</si>
  <si>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</si>
  <si>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</si>
  <si>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</si>
  <si>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</si>
  <si>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</si>
  <si>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</si>
  <si>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</si>
  <si>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</si>
  <si>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</si>
  <si>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</si>
  <si>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</si>
  <si>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</si>
  <si>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</si>
  <si>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</si>
  <si>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</si>
  <si>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</si>
  <si>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</si>
  <si>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</si>
  <si>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</si>
  <si>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</si>
  <si>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</si>
  <si>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</si>
  <si>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</si>
  <si>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</si>
  <si>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</si>
  <si>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</si>
  <si>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</si>
  <si>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</si>
  <si>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</si>
  <si>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</si>
  <si>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</si>
  <si>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</si>
  <si>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</si>
  <si>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</si>
  <si>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</si>
  <si>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</si>
  <si>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</si>
  <si>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</si>
  <si>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</si>
  <si>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</si>
  <si>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</si>
  <si>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</si>
  <si>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</si>
  <si>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</si>
  <si>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</si>
  <si>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</si>
  <si>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</si>
  <si>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</si>
  <si>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</si>
  <si>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</si>
  <si>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</si>
  <si>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</si>
  <si>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</si>
  <si>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</si>
  <si>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</si>
  <si>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</si>
  <si>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</si>
  <si>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</si>
  <si>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</si>
  <si>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</si>
  <si>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</si>
  <si>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</si>
  <si>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</si>
  <si>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</si>
  <si>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</si>
  <si>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</si>
  <si>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</si>
  <si>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</si>
  <si>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</si>
  <si>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</si>
  <si>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</si>
  <si>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</si>
  <si>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</si>
  <si>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</si>
  <si>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</si>
  <si>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</si>
  <si>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</si>
  <si>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</si>
  <si>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</si>
  <si>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</si>
  <si>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</si>
  <si>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</si>
  <si>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</si>
  <si>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</si>
  <si>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</si>
  <si>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</si>
  <si>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</si>
  <si>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</si>
  <si>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</si>
  <si>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</si>
  <si>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</si>
  <si>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</si>
  <si>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</si>
  <si>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</si>
  <si>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</si>
  <si>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</si>
  <si>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</si>
  <si>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</si>
  <si>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</si>
  <si>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</si>
  <si>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</si>
  <si>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</si>
  <si>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</si>
  <si>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</si>
  <si>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</si>
  <si>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</si>
  <si>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</si>
  <si>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</si>
  <si>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</si>
  <si>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</si>
  <si>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</si>
  <si>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</si>
  <si>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</si>
  <si>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</si>
  <si>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</si>
  <si>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</si>
  <si>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</si>
  <si>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</si>
  <si>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</si>
  <si>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</si>
  <si>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</si>
  <si>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</si>
  <si>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</si>
  <si>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</si>
  <si>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</si>
  <si>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</si>
  <si>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</si>
  <si>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</si>
  <si>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</si>
  <si>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</si>
  <si>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</si>
  <si>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</si>
  <si>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</si>
  <si>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</si>
  <si>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</si>
  <si>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</si>
  <si>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</si>
  <si>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</si>
  <si>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</si>
  <si>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</si>
  <si>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</si>
  <si>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</si>
  <si>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</si>
  <si>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</si>
  <si>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</si>
  <si>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</si>
  <si>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</si>
  <si>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</si>
  <si>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</si>
  <si>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</si>
  <si>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</si>
  <si>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</si>
  <si>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</si>
  <si>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</si>
  <si>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</si>
  <si>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</si>
  <si>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</si>
  <si>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</si>
  <si>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</si>
  <si>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</si>
  <si>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</si>
  <si>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</si>
  <si>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</si>
  <si>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</si>
  <si>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</si>
  <si>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</si>
  <si>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</si>
  <si>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</si>
  <si>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</si>
  <si>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</si>
  <si>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</si>
  <si>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</si>
  <si>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</si>
  <si>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</si>
  <si>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</si>
  <si>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</si>
  <si>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</si>
  <si>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</si>
  <si>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</si>
  <si>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</si>
  <si>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</si>
  <si>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</si>
  <si>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</si>
  <si>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</si>
  <si>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</si>
  <si>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</si>
  <si>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</si>
  <si>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</si>
  <si>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</si>
  <si>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</si>
  <si>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</si>
  <si>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</si>
  <si>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</si>
  <si>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</si>
  <si>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</si>
  <si>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</si>
  <si>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</si>
  <si>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</si>
  <si>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</si>
  <si>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</si>
  <si>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</si>
  <si>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</si>
  <si>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</si>
  <si>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</si>
  <si>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</si>
  <si>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</si>
  <si>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</si>
  <si>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</si>
  <si>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</si>
  <si>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</si>
  <si>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</si>
  <si>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</si>
  <si>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</si>
  <si>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</si>
  <si>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</si>
  <si>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</si>
  <si>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</si>
  <si>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</si>
  <si>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</si>
  <si>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</si>
  <si>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</si>
  <si>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</si>
  <si>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</si>
  <si>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</si>
  <si>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</si>
  <si>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</si>
  <si>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</si>
  <si>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</si>
  <si>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</si>
  <si>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</si>
  <si>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</si>
  <si>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</si>
  <si>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</si>
  <si>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</si>
  <si>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</si>
  <si>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</si>
  <si>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</si>
  <si>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</si>
  <si>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</si>
  <si>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</si>
  <si>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</si>
  <si>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</si>
  <si>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</si>
  <si>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</si>
  <si>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</si>
  <si>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</si>
  <si>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</si>
  <si>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</si>
  <si>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</si>
  <si>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</si>
  <si>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</si>
  <si>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</si>
  <si>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</si>
  <si>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</si>
  <si>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</si>
  <si>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</si>
  <si>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</si>
  <si>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</si>
  <si>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</si>
  <si>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</si>
  <si>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</si>
  <si>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</si>
  <si>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</si>
  <si>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</si>
  <si>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</si>
  <si>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</si>
  <si>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</si>
  <si>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</si>
  <si>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</si>
  <si>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</si>
  <si>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</si>
  <si>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</si>
  <si>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</si>
  <si>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</si>
  <si>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</si>
  <si>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</si>
  <si>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</si>
  <si>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</si>
  <si>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</si>
  <si>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</si>
  <si>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</si>
  <si>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</si>
  <si>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</si>
  <si>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</si>
  <si>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</si>
  <si>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</si>
  <si>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</si>
  <si>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</si>
  <si>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</si>
  <si>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</si>
  <si>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</si>
  <si>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</si>
  <si>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</si>
  <si>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</si>
  <si>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</si>
  <si>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</si>
  <si>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</si>
  <si>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</si>
  <si>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</si>
  <si>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</si>
  <si>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</si>
  <si>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</si>
  <si>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</si>
  <si>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</si>
  <si>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</si>
  <si>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</si>
  <si>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</si>
  <si>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</si>
  <si>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</si>
  <si>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</si>
  <si>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</si>
  <si>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</si>
  <si>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</si>
  <si>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</si>
  <si>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</si>
  <si>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</si>
  <si>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</si>
  <si>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</si>
  <si>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</si>
  <si>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</si>
  <si>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</si>
  <si>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</si>
  <si>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</si>
  <si>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</si>
  <si>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</si>
  <si>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</si>
  <si>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</si>
  <si>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</si>
  <si>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</si>
  <si>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</si>
  <si>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</si>
  <si>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</si>
  <si>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</si>
  <si>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</si>
  <si>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</si>
  <si>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</si>
  <si>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</si>
  <si>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</si>
  <si>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</si>
  <si>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</si>
  <si>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</si>
  <si>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</si>
  <si>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</si>
  <si>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</si>
  <si>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</si>
  <si>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</si>
  <si>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</si>
  <si>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</si>
  <si>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</si>
  <si>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</si>
  <si>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</si>
  <si>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</si>
  <si>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</si>
  <si>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</si>
  <si>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</si>
  <si>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</si>
  <si>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</si>
  <si>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</si>
  <si>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</si>
  <si>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</si>
  <si>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</si>
  <si>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</si>
  <si>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</si>
  <si>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</si>
  <si>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</si>
  <si>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</si>
  <si>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</si>
  <si>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</si>
  <si>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</si>
  <si>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</si>
  <si>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</si>
  <si>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</si>
  <si>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</si>
  <si>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</si>
  <si>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</si>
  <si>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</si>
  <si>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</si>
  <si>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</si>
  <si>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</si>
  <si>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</si>
  <si>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</si>
  <si>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</si>
  <si>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</si>
  <si>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</si>
  <si>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</si>
  <si>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</si>
  <si>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</si>
  <si>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</si>
  <si>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</si>
  <si>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</si>
  <si>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</si>
  <si>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</si>
  <si>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</si>
  <si>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</si>
  <si>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</si>
  <si>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</si>
  <si>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</si>
  <si>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</si>
  <si>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</si>
  <si>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</si>
  <si>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</si>
  <si>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</si>
  <si>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</si>
  <si>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</si>
  <si>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</si>
  <si>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</si>
  <si>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</si>
  <si>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</si>
  <si>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</si>
  <si>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</si>
  <si>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</si>
  <si>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</si>
  <si>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</si>
  <si>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</si>
  <si>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</si>
  <si>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</si>
  <si>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</si>
  <si>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</si>
  <si>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</si>
  <si>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</si>
  <si>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</si>
  <si>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</si>
  <si>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</si>
  <si>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</si>
  <si>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</si>
  <si>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</si>
  <si>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</si>
  <si>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</si>
  <si>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</si>
  <si>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</si>
  <si>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</si>
  <si>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</si>
  <si>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</si>
  <si>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</si>
  <si>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</si>
  <si>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</si>
  <si>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</si>
  <si>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</si>
  <si>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</si>
  <si>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</si>
  <si>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</si>
  <si>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</si>
  <si>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</si>
  <si>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</si>
  <si>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</si>
  <si>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</si>
  <si>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</si>
  <si>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</si>
  <si>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</si>
  <si>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</si>
  <si>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</si>
  <si>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</si>
  <si>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</si>
  <si>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</si>
  <si>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</si>
  <si>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</si>
  <si>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</si>
  <si>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</si>
  <si>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</si>
  <si>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</si>
  <si>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</si>
  <si>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</si>
  <si>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</si>
  <si>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</si>
  <si>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</si>
  <si>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</si>
  <si>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</si>
  <si>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</si>
  <si>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</si>
  <si>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</si>
  <si>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</si>
  <si>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</si>
  <si>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</si>
  <si>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</si>
  <si>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</si>
  <si>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</si>
  <si>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</si>
  <si>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</si>
  <si>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</si>
  <si>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</si>
  <si>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</si>
  <si>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</si>
  <si>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</si>
  <si>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</si>
  <si>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</si>
  <si>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</si>
  <si>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</si>
  <si>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</si>
  <si>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</si>
  <si>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</si>
  <si>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</si>
  <si>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</si>
  <si>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</si>
  <si>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</si>
  <si>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</si>
  <si>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</si>
  <si>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</si>
  <si>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</si>
  <si>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</si>
  <si>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</si>
  <si>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</si>
  <si>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</si>
  <si>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</si>
  <si>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</si>
  <si>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</si>
  <si>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</si>
  <si>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</si>
  <si>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</si>
  <si>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</si>
  <si>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</si>
  <si>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</si>
  <si>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</si>
  <si>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</si>
  <si>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</si>
  <si>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</si>
  <si>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</si>
  <si>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</si>
  <si>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</si>
  <si>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</si>
  <si>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</si>
  <si>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</si>
  <si>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</si>
  <si>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</si>
  <si>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</si>
  <si>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</si>
  <si>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</si>
  <si>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</si>
  <si>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</si>
  <si>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</si>
  <si>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</si>
  <si>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</si>
  <si>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</si>
  <si>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</si>
  <si>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</si>
  <si>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</si>
  <si>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</si>
  <si>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</si>
  <si>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</si>
  <si>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</si>
  <si>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</si>
  <si>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</si>
  <si>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</si>
  <si>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</si>
  <si>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</si>
  <si>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</si>
  <si>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</si>
  <si>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</si>
  <si>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</si>
  <si>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</si>
  <si>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</si>
  <si>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</si>
  <si>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</si>
  <si>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</si>
  <si>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</si>
  <si>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</si>
  <si>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</si>
  <si>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</si>
  <si>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</si>
  <si>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</si>
  <si>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</si>
  <si>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</si>
  <si>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</si>
  <si>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</si>
  <si>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</si>
  <si>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</si>
  <si>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</si>
  <si>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</si>
  <si>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</si>
  <si>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</si>
  <si>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</si>
  <si>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</si>
  <si>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</si>
  <si>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</si>
  <si>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</si>
  <si>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</si>
  <si>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</si>
  <si>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</si>
  <si>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</si>
  <si>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</si>
  <si>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</si>
  <si>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</si>
  <si>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</si>
  <si>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</si>
  <si>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</si>
  <si>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</si>
  <si>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</si>
  <si>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</si>
  <si>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</si>
  <si>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</si>
  <si>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</si>
  <si>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</si>
  <si>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</si>
  <si>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</si>
  <si>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</si>
  <si>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</si>
  <si>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</si>
  <si>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</si>
  <si>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</si>
  <si>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</si>
  <si>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</si>
  <si>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</si>
  <si>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</si>
  <si>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</si>
  <si>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</si>
  <si>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</si>
  <si>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</si>
  <si>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</si>
  <si>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</si>
  <si>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</si>
  <si>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</si>
  <si>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</si>
  <si>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</si>
  <si>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</si>
  <si>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</si>
  <si>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</si>
  <si>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</si>
  <si>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</si>
  <si>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</si>
  <si>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</si>
  <si>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</si>
  <si>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</si>
  <si>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</si>
  <si>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</si>
  <si>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</si>
  <si>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</si>
  <si>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</si>
  <si>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</si>
  <si>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</si>
  <si>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</si>
  <si>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</si>
  <si>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</si>
  <si>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</si>
  <si>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</si>
  <si>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</si>
  <si>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</si>
  <si>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</si>
  <si>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</si>
  <si>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</si>
  <si>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</si>
  <si>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</si>
  <si>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</si>
  <si>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</si>
  <si>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</si>
  <si>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</si>
  <si>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</si>
  <si>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</si>
  <si>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</si>
  <si>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</si>
  <si>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</si>
  <si>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</si>
  <si>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</si>
  <si>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</si>
  <si>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</si>
  <si>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</si>
  <si>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</si>
  <si>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</si>
  <si>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</si>
  <si>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</si>
  <si>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</si>
  <si>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</si>
  <si>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</si>
  <si>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</si>
  <si>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</si>
  <si>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</si>
  <si>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</si>
  <si>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</si>
  <si>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</si>
  <si>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</si>
  <si>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</si>
  <si>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</si>
  <si>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</si>
  <si>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</si>
  <si>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</si>
  <si>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</si>
  <si>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</si>
  <si>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</si>
  <si>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</si>
  <si>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</si>
  <si>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</si>
  <si>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</si>
  <si>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</si>
  <si>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</si>
  <si>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</si>
  <si>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</si>
  <si>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</si>
  <si>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</si>
  <si>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</si>
  <si>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</si>
  <si>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</si>
  <si>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</si>
  <si>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</si>
  <si>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</si>
  <si>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</si>
  <si>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</si>
  <si>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</si>
  <si>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</si>
  <si>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</si>
  <si>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</si>
  <si>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</si>
  <si>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</si>
  <si>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</si>
  <si>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</si>
  <si>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</si>
  <si>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</si>
  <si>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</si>
  <si>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</si>
  <si>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</si>
  <si>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</si>
  <si>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</si>
  <si>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</si>
  <si>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</si>
  <si>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</si>
  <si>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</si>
  <si>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</si>
  <si>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</si>
  <si>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</si>
  <si>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</si>
  <si>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</si>
  <si>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</si>
  <si>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</si>
  <si>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</si>
  <si>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</si>
  <si>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</si>
  <si>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</si>
  <si>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</si>
  <si>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</si>
  <si>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</si>
  <si>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</si>
  <si>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</si>
  <si>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</si>
  <si>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</si>
  <si>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</si>
  <si>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</si>
  <si>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</si>
  <si>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</si>
  <si>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</si>
  <si>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</si>
  <si>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</si>
  <si>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</si>
  <si>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</si>
  <si>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</si>
  <si>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</si>
  <si>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</si>
  <si>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</si>
  <si>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</si>
  <si>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</si>
  <si>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</si>
  <si>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</si>
  <si>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</si>
  <si>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</si>
  <si>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</si>
  <si>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</si>
  <si>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</si>
  <si>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</si>
  <si>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</si>
  <si>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</si>
  <si>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</si>
  <si>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</si>
  <si>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</si>
  <si>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</si>
  <si>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</si>
  <si>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</si>
  <si>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</si>
  <si>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</si>
  <si>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</si>
  <si>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</si>
  <si>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</si>
  <si>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</si>
  <si>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</si>
  <si>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</si>
  <si>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</si>
  <si>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</si>
  <si>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</si>
  <si>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</si>
  <si>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</si>
  <si>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</si>
  <si>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</si>
  <si>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</si>
  <si>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</si>
  <si>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</si>
  <si>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</si>
  <si>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</si>
  <si>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</si>
  <si>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</si>
  <si>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</si>
  <si>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</si>
  <si>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</si>
  <si>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</si>
  <si>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</si>
  <si>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</si>
  <si>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</si>
  <si>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</si>
  <si>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</si>
  <si>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</si>
  <si>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</si>
  <si>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</si>
  <si>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</si>
  <si>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</si>
  <si>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</si>
  <si>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</si>
  <si>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</si>
  <si>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</si>
  <si>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</si>
  <si>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</si>
  <si>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</si>
  <si>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</si>
  <si>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</si>
  <si>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</si>
  <si>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</si>
  <si>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</si>
  <si>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</si>
  <si>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</si>
  <si>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</si>
  <si>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</si>
  <si>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</si>
  <si>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</si>
  <si>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</si>
  <si>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</si>
  <si>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</si>
  <si>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</si>
  <si>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</si>
  <si>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</si>
  <si>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</si>
  <si>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</si>
  <si>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</si>
  <si>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</si>
  <si>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</si>
  <si>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</si>
  <si>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</si>
  <si>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</si>
  <si>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</si>
  <si>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</si>
  <si>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</si>
  <si>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</si>
  <si>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</si>
  <si>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</si>
  <si>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</si>
  <si>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</si>
  <si>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</si>
  <si>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</si>
  <si>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</si>
  <si>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</si>
  <si>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</si>
  <si>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</si>
  <si>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</si>
  <si>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</si>
  <si>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</si>
  <si>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</si>
  <si>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</si>
  <si>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</si>
  <si>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</si>
  <si>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</si>
  <si>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</si>
  <si>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</si>
  <si>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</si>
  <si>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</si>
  <si>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</si>
  <si>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</si>
  <si>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</si>
  <si>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</si>
  <si>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</si>
  <si>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</si>
  <si>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</si>
  <si>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</si>
  <si>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</si>
  <si>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</si>
  <si>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</si>
  <si>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</si>
  <si>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</si>
  <si>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</si>
  <si>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</si>
  <si>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</si>
  <si>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</si>
  <si>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</si>
  <si>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</si>
  <si>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</si>
  <si>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</si>
  <si>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</si>
  <si>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</si>
  <si>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</si>
  <si>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</si>
  <si>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</si>
  <si>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</si>
  <si>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</si>
  <si>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</si>
  <si>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</si>
  <si>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</si>
  <si>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</si>
  <si>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</si>
  <si>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</si>
  <si>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</si>
  <si>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</si>
  <si>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</si>
  <si>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</si>
  <si>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</si>
  <si>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</si>
  <si>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</si>
  <si>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</si>
  <si>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</si>
  <si>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</si>
  <si>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</si>
  <si>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</si>
  <si>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</si>
  <si>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</si>
  <si>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</si>
  <si>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</si>
  <si>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</si>
  <si>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</si>
  <si>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</si>
  <si>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</si>
  <si>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</si>
  <si>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</si>
  <si>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</si>
  <si>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</si>
  <si>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</si>
  <si>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</si>
  <si>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</si>
  <si>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</si>
  <si>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</si>
  <si>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</si>
  <si>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</si>
  <si>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</si>
  <si>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</si>
  <si>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</si>
  <si>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</si>
  <si>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</si>
  <si>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</si>
  <si>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</si>
  <si>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</si>
  <si>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</si>
  <si>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</si>
  <si>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</si>
  <si>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</si>
  <si>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</si>
  <si>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</si>
  <si>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</si>
  <si>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</si>
  <si>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</si>
  <si>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</si>
  <si>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</si>
  <si>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</si>
  <si>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</si>
  <si>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</si>
  <si>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</si>
  <si>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</si>
  <si>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</si>
  <si>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</si>
  <si>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</si>
  <si>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</si>
  <si>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</si>
  <si>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</si>
  <si>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</si>
  <si>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</si>
  <si>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</si>
  <si>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</si>
  <si>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</si>
  <si>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</si>
  <si>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</si>
  <si>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</si>
  <si>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</si>
  <si>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</si>
  <si>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</si>
  <si>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</si>
  <si>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</si>
  <si>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</si>
  <si>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</si>
  <si>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</si>
  <si>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</si>
  <si>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</si>
  <si>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</si>
  <si>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</si>
  <si>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</si>
  <si>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</si>
  <si>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</si>
  <si>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</si>
  <si>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</si>
  <si>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</si>
  <si>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</si>
  <si>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</si>
  <si>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</si>
  <si>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</si>
  <si>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</si>
  <si>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</si>
  <si>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</si>
  <si>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</si>
  <si>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</si>
  <si>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</si>
  <si>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</si>
  <si>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</si>
  <si>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</si>
  <si>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</si>
  <si>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</si>
  <si>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</si>
  <si>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</si>
  <si>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</si>
  <si>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</si>
  <si>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</si>
  <si>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</si>
  <si>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</si>
  <si>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</si>
  <si>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</si>
  <si>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</si>
  <si>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</si>
  <si>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</si>
  <si>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</si>
  <si>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</si>
  <si>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</si>
  <si>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</si>
  <si>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</si>
  <si>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</si>
  <si>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</si>
  <si>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</si>
  <si>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</si>
  <si>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</si>
  <si>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</si>
  <si>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</si>
  <si>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</si>
  <si>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</si>
  <si>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</si>
  <si>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</si>
  <si>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</si>
  <si>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</si>
  <si>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</si>
  <si>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</si>
  <si>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</si>
  <si>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</si>
  <si>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</si>
  <si>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</si>
  <si>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</si>
  <si>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</si>
  <si>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</si>
  <si>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</si>
  <si>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</si>
  <si>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</si>
  <si>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</si>
  <si>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</si>
  <si>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</si>
  <si>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</si>
  <si>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</si>
  <si>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</si>
  <si>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</si>
  <si>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</si>
  <si>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</si>
  <si>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</si>
  <si>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</si>
  <si>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</si>
  <si>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</si>
  <si>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</si>
  <si>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</si>
  <si>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</si>
  <si>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</si>
  <si>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</si>
  <si>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</si>
  <si>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</si>
  <si>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</si>
  <si>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</si>
  <si>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</si>
  <si>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</si>
  <si>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</si>
  <si>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</si>
  <si>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</si>
  <si>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</si>
  <si>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</si>
  <si>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</si>
  <si>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</si>
  <si>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</si>
  <si>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</si>
  <si>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</si>
  <si>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</si>
  <si>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</si>
  <si>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</si>
  <si>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</si>
  <si>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</si>
  <si>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</si>
  <si>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</si>
  <si>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</si>
  <si>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</si>
  <si>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</si>
  <si>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</si>
  <si>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</si>
  <si>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</si>
  <si>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</si>
  <si>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</si>
  <si>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</si>
  <si>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</si>
  <si>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</si>
  <si>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</si>
  <si>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</si>
  <si>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</si>
  <si>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</si>
  <si>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</si>
  <si>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</si>
  <si>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</si>
  <si>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</si>
  <si>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</si>
  <si>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</si>
  <si>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</si>
  <si>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</si>
  <si>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</si>
  <si>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</si>
  <si>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</si>
  <si>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</si>
  <si>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</si>
  <si>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</si>
  <si>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</si>
  <si>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</si>
  <si>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</si>
  <si>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</si>
  <si>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</si>
  <si>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</si>
  <si>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</si>
  <si>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</si>
  <si>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</si>
  <si>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</si>
  <si>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</si>
  <si>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</si>
  <si>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</si>
  <si>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</si>
  <si>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</si>
  <si>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</si>
  <si>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</si>
  <si>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</si>
  <si>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</si>
  <si>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</si>
  <si>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</si>
  <si>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</si>
  <si>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</si>
  <si>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</si>
  <si>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</si>
  <si>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</si>
  <si>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</si>
  <si>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</si>
  <si>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</si>
  <si>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</si>
  <si>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</si>
  <si>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</si>
  <si>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</si>
  <si>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</si>
  <si>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</si>
  <si>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</si>
  <si>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</si>
  <si>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</si>
  <si>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</si>
  <si>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</si>
  <si>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</si>
  <si>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</si>
  <si>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</si>
  <si>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</si>
  <si>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</si>
  <si>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</si>
  <si>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</si>
  <si>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</si>
  <si>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</si>
  <si>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</si>
  <si>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</si>
  <si>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</si>
  <si>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</si>
  <si>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</si>
  <si>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</si>
  <si>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</si>
  <si>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</si>
  <si>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</si>
  <si>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</si>
  <si>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</si>
  <si>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</si>
  <si>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</si>
  <si>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</si>
  <si>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</si>
  <si>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</si>
  <si>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</si>
  <si>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</si>
  <si>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</si>
  <si>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</si>
  <si>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</si>
  <si>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</si>
  <si>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</si>
  <si>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</si>
  <si>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</si>
  <si>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</si>
  <si>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</si>
  <si>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</si>
  <si>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</si>
  <si>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</si>
  <si>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</si>
  <si>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</si>
  <si>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</si>
  <si>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</si>
  <si>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</si>
  <si>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</si>
  <si>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</si>
  <si>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</si>
  <si>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</si>
  <si>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</si>
  <si>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</si>
  <si>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</si>
  <si>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</si>
  <si>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</si>
  <si>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</si>
  <si>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</si>
  <si>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</si>
  <si>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</si>
  <si>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</si>
  <si>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</si>
  <si>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</si>
  <si>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</si>
  <si>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</si>
  <si>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</si>
  <si>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</si>
  <si>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</si>
  <si>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</si>
  <si>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</si>
  <si>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</si>
  <si>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</si>
  <si>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</si>
  <si>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</si>
  <si>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</si>
  <si>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</si>
  <si>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</si>
  <si>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</si>
  <si>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</si>
  <si>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</si>
  <si>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</si>
  <si>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</si>
  <si>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</si>
  <si>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</si>
  <si>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</si>
  <si>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</si>
  <si>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</si>
  <si>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</si>
  <si>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</si>
  <si>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</si>
  <si>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</si>
  <si>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</si>
  <si>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</si>
  <si>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</si>
  <si>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</si>
  <si>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</si>
  <si>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</si>
  <si>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</si>
  <si>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</si>
  <si>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</si>
  <si>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</si>
  <si>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</si>
  <si>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</si>
  <si>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</si>
  <si>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</si>
  <si>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</si>
  <si>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</si>
  <si>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</si>
  <si>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</si>
  <si>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</si>
  <si>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</si>
  <si>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</si>
  <si>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</si>
  <si>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</si>
  <si>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</si>
  <si>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</si>
  <si>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</si>
  <si>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</si>
  <si>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</si>
  <si>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</si>
  <si>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</si>
  <si>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</si>
  <si>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</si>
  <si>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</si>
  <si>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</si>
  <si>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</si>
  <si>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</si>
  <si>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</si>
  <si>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</si>
  <si>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</si>
  <si>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</si>
  <si>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</si>
  <si>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</si>
  <si>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</si>
  <si>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</si>
  <si>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</si>
  <si>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</si>
  <si>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</si>
  <si>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</si>
  <si>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</si>
  <si>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</si>
  <si>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</si>
  <si>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</si>
  <si>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</si>
  <si>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</si>
  <si>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</si>
  <si>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</si>
  <si>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</si>
  <si>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</si>
  <si>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</si>
  <si>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</si>
  <si>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</si>
  <si>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</si>
  <si>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</si>
  <si>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</si>
  <si>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</si>
  <si>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</si>
  <si>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</si>
  <si>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</si>
  <si>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</si>
  <si>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</si>
  <si>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</si>
  <si>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</si>
  <si>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</si>
  <si>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</si>
  <si>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</si>
  <si>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</si>
  <si>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</si>
  <si>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</si>
  <si>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</si>
  <si>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</si>
  <si>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</si>
  <si>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</si>
  <si>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</si>
  <si>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</si>
  <si>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</si>
  <si>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</si>
  <si>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</si>
  <si>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</si>
  <si>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</si>
  <si>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</si>
  <si>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</si>
  <si>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</si>
  <si>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</si>
  <si>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</si>
  <si>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</si>
  <si>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</si>
  <si>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</si>
  <si>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</si>
  <si>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</si>
  <si>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</si>
  <si>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</si>
  <si>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</si>
  <si>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</si>
  <si>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</si>
  <si>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</si>
  <si>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</si>
  <si>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</si>
  <si>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</si>
  <si>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</si>
  <si>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</si>
  <si>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</si>
  <si>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</si>
  <si>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</si>
  <si>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</si>
  <si>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</si>
  <si>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</si>
  <si>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</si>
  <si>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</si>
  <si>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</si>
  <si>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</si>
  <si>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</si>
  <si>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</si>
  <si>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</si>
  <si>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</si>
  <si>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</si>
  <si>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</si>
  <si>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</si>
  <si>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</si>
  <si>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</si>
  <si>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</si>
  <si>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</si>
  <si>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</si>
  <si>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</si>
  <si>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</si>
  <si>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</si>
  <si>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</si>
  <si>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</si>
  <si>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</si>
  <si>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</si>
  <si>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</si>
  <si>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</si>
  <si>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</si>
  <si>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</si>
  <si>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</si>
  <si>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</si>
  <si>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</si>
  <si>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</si>
  <si>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</si>
  <si>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</si>
  <si>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</si>
  <si>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</si>
  <si>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</si>
  <si>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</si>
  <si>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</si>
  <si>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</si>
  <si>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</si>
  <si>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</si>
  <si>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</si>
  <si>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</si>
  <si>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</si>
  <si>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</si>
  <si>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</si>
  <si>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</si>
  <si>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</si>
  <si>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</si>
  <si>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</si>
  <si>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</si>
  <si>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</si>
  <si>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</si>
  <si>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</si>
  <si>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</si>
  <si>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</si>
  <si>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</si>
  <si>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</si>
  <si>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</si>
  <si>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</si>
  <si>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</si>
  <si>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</si>
  <si>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</si>
  <si>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</si>
  <si>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</si>
  <si>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</si>
  <si>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</si>
  <si>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</si>
  <si>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</si>
  <si>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</si>
  <si>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</si>
  <si>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</si>
  <si>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</si>
  <si>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</si>
  <si>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</si>
  <si>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</si>
  <si>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</si>
  <si>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</si>
  <si>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</si>
  <si>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</si>
  <si>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</si>
  <si>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</si>
  <si>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</si>
  <si>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</si>
  <si>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</si>
  <si>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</si>
  <si>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</si>
  <si>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</si>
  <si>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</si>
  <si>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</si>
  <si>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</si>
  <si>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</si>
  <si>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</si>
  <si>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</si>
  <si>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</si>
  <si>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</si>
  <si>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</si>
  <si>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</si>
  <si>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</si>
  <si>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</si>
  <si>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</si>
  <si>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</si>
  <si>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</si>
  <si>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</si>
  <si>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</si>
  <si>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</si>
  <si>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</si>
  <si>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</si>
  <si>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</si>
  <si>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</si>
  <si>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</si>
  <si>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</si>
  <si>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</si>
  <si>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</si>
  <si>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</si>
  <si>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</si>
  <si>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</si>
  <si>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</si>
  <si>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</si>
  <si>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</si>
  <si>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</si>
  <si>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</si>
  <si>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</si>
  <si>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</si>
  <si>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</si>
  <si>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</si>
  <si>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</si>
  <si>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</si>
  <si>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</si>
  <si>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</si>
  <si>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</si>
  <si>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</si>
  <si>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</si>
  <si>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</si>
  <si>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</si>
  <si>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</si>
  <si>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</si>
  <si>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</si>
  <si>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</si>
  <si>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</si>
  <si>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</si>
  <si>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</si>
  <si>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</si>
  <si>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</si>
  <si>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</si>
  <si>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</si>
  <si>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</si>
  <si>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</si>
  <si>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</si>
  <si>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</si>
  <si>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</si>
  <si>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</si>
  <si>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</si>
  <si>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</si>
  <si>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</si>
  <si>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</si>
  <si>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</si>
  <si>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</si>
  <si>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</si>
  <si>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</si>
  <si>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</si>
  <si>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</si>
  <si>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</si>
  <si>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</si>
  <si>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</si>
  <si>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</si>
  <si>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</si>
  <si>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</si>
  <si>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</si>
  <si>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</si>
  <si>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</si>
  <si>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</si>
  <si>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</si>
  <si>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</si>
  <si>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</si>
  <si>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</si>
  <si>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</si>
  <si>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</si>
  <si>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</si>
  <si>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北京市</t>
  </si>
  <si>
    <t>自然人</t>
  </si>
  <si>
    <t>与房产证证载一致</t>
  </si>
  <si>
    <t>住宅</t>
  </si>
  <si>
    <t>住宅</t>
    <phoneticPr fontId="7" type="noConversion"/>
  </si>
  <si>
    <t>Ⅵ-通1</t>
  </si>
  <si>
    <t>是</t>
  </si>
  <si>
    <t>居住用地（指二类居住用地）</t>
  </si>
  <si>
    <t>有</t>
  </si>
  <si>
    <t>1000米以外</t>
  </si>
  <si>
    <t>七通一平</t>
  </si>
  <si>
    <t>一致</t>
  </si>
  <si>
    <t>按公示增长率计算</t>
  </si>
  <si>
    <t>估价对象</t>
  </si>
  <si>
    <t>未包含在土地购买价格中</t>
  </si>
  <si>
    <t>已包含在土地取得成本中</t>
  </si>
  <si>
    <t>元</t>
  </si>
  <si>
    <t>总价</t>
  </si>
  <si>
    <t>成本法</t>
  </si>
  <si>
    <t>比较法-住宅</t>
  </si>
  <si>
    <t>无租约</t>
  </si>
  <si>
    <t>设定收益年期(n)</t>
  </si>
  <si>
    <t>钢混</t>
  </si>
  <si>
    <t>非生产用房</t>
  </si>
  <si>
    <t>售价</t>
  </si>
  <si>
    <t>新华西街</t>
    <phoneticPr fontId="4" type="noConversion"/>
  </si>
  <si>
    <t>A</t>
    <phoneticPr fontId="146" type="noConversion"/>
  </si>
  <si>
    <t>b</t>
    <phoneticPr fontId="146" type="noConversion"/>
  </si>
  <si>
    <t>C</t>
    <phoneticPr fontId="146" type="noConversion"/>
  </si>
  <si>
    <t>楼层</t>
    <phoneticPr fontId="20" type="noConversion"/>
  </si>
  <si>
    <r>
      <rPr>
        <sz val="11"/>
        <rFont val="宋体"/>
        <family val="3"/>
        <charset val="134"/>
      </rPr>
      <t>中层</t>
    </r>
    <r>
      <rPr>
        <sz val="11"/>
        <rFont val="Arial"/>
        <family val="2"/>
      </rPr>
      <t>/22</t>
    </r>
    <phoneticPr fontId="20" type="noConversion"/>
  </si>
  <si>
    <t>塔楼</t>
    <phoneticPr fontId="20" type="noConversion"/>
  </si>
  <si>
    <t>精装修</t>
  </si>
  <si>
    <t>精装修</t>
    <phoneticPr fontId="20" type="noConversion"/>
  </si>
  <si>
    <t>南</t>
  </si>
  <si>
    <t>南</t>
    <phoneticPr fontId="20" type="noConversion"/>
  </si>
  <si>
    <t>东南</t>
    <phoneticPr fontId="20" type="noConversion"/>
  </si>
  <si>
    <r>
      <rPr>
        <sz val="11"/>
        <rFont val="宋体"/>
        <family val="3"/>
        <charset val="134"/>
      </rPr>
      <t>中层</t>
    </r>
    <r>
      <rPr>
        <sz val="11"/>
        <rFont val="Arial"/>
        <family val="2"/>
      </rPr>
      <t>/20</t>
    </r>
    <phoneticPr fontId="20" type="noConversion"/>
  </si>
  <si>
    <t>板塔结合</t>
  </si>
  <si>
    <t>板塔结合</t>
    <phoneticPr fontId="20" type="noConversion"/>
  </si>
  <si>
    <t>建成年代</t>
    <phoneticPr fontId="20" type="noConversion"/>
  </si>
  <si>
    <t>板楼</t>
    <phoneticPr fontId="20" type="noConversion"/>
  </si>
  <si>
    <r>
      <rPr>
        <sz val="11"/>
        <rFont val="宋体"/>
        <family val="3"/>
        <charset val="134"/>
      </rPr>
      <t>低层</t>
    </r>
    <r>
      <rPr>
        <sz val="11"/>
        <rFont val="Arial"/>
        <family val="2"/>
      </rPr>
      <t>/10</t>
    </r>
    <phoneticPr fontId="20" type="noConversion"/>
  </si>
  <si>
    <t>南北</t>
    <phoneticPr fontId="20" type="noConversion"/>
  </si>
  <si>
    <t>住宅</t>
    <phoneticPr fontId="20" type="noConversion"/>
  </si>
  <si>
    <t>50-60（含）</t>
  </si>
  <si>
    <t>富力金禧</t>
    <phoneticPr fontId="4" type="noConversion"/>
  </si>
  <si>
    <t>百合湾</t>
    <phoneticPr fontId="4" type="noConversion"/>
  </si>
  <si>
    <t>七通</t>
  </si>
  <si>
    <t>城市支路——新城南街</t>
    <phoneticPr fontId="20" type="noConversion"/>
  </si>
  <si>
    <t>60-70（含）</t>
  </si>
  <si>
    <t>城市主干道——通胡大街</t>
    <phoneticPr fontId="20" type="noConversion"/>
  </si>
  <si>
    <t>城市主干道——新华西街</t>
    <phoneticPr fontId="20" type="noConversion"/>
  </si>
  <si>
    <r>
      <rPr>
        <sz val="11"/>
        <rFont val="宋体"/>
        <family val="3"/>
        <charset val="134"/>
      </rPr>
      <t>中层</t>
    </r>
    <r>
      <rPr>
        <sz val="11"/>
        <rFont val="Arial"/>
        <family val="2"/>
      </rPr>
      <t>/26</t>
    </r>
    <phoneticPr fontId="20" type="noConversion"/>
  </si>
  <si>
    <r>
      <rPr>
        <sz val="11"/>
        <rFont val="宋体"/>
        <family val="3"/>
        <charset val="134"/>
      </rPr>
      <t>中层</t>
    </r>
    <r>
      <rPr>
        <sz val="11"/>
        <rFont val="Arial"/>
        <family val="2"/>
      </rPr>
      <t>/22</t>
    </r>
    <phoneticPr fontId="20" type="noConversion"/>
  </si>
  <si>
    <t>板楼</t>
    <phoneticPr fontId="20" type="noConversion"/>
  </si>
  <si>
    <t>塔楼</t>
    <phoneticPr fontId="20" type="noConversion"/>
  </si>
  <si>
    <t>钢混</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</si>
  <si>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</si>
  <si>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</si>
  <si>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</si>
  <si>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</si>
  <si>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</si>
  <si>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</si>
  <si>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</si>
  <si>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</si>
  <si>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</si>
  <si>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</si>
  <si>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</si>
  <si>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</si>
  <si>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</si>
  <si>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</si>
  <si>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</si>
  <si>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</si>
  <si>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</si>
  <si>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</si>
  <si>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平层</t>
    <phoneticPr fontId="4" type="noConversion"/>
  </si>
  <si>
    <r>
      <t>新华经典丽园（北京one）</t>
    </r>
    <r>
      <rPr>
        <b/>
        <sz val="10"/>
        <color indexed="10"/>
        <rFont val="宋体"/>
        <family val="3"/>
        <charset val="134"/>
      </rPr>
      <t>（抵押）</t>
    </r>
    <phoneticPr fontId="4" type="noConversion"/>
  </si>
  <si>
    <t>2#住宅楼（二层以上住宅部分）</t>
    <phoneticPr fontId="4" type="noConversion"/>
  </si>
  <si>
    <t>通州区</t>
  </si>
  <si>
    <t>北京实地房地产开发有限责任公司</t>
    <phoneticPr fontId="4" type="noConversion"/>
  </si>
  <si>
    <t>钢混</t>
    <phoneticPr fontId="4" type="noConversion"/>
  </si>
  <si>
    <t>京通国用（2005出）第080号</t>
    <phoneticPr fontId="4" type="noConversion"/>
  </si>
  <si>
    <t>通州区新华大街南、中山大街北侧</t>
    <phoneticPr fontId="4" type="noConversion"/>
  </si>
  <si>
    <t>商业、住宅、办公</t>
    <phoneticPr fontId="4" type="noConversion"/>
  </si>
  <si>
    <t>2006规（通）地字0002号</t>
    <phoneticPr fontId="4" type="noConversion"/>
  </si>
  <si>
    <t>2009规（通）建字0154号、2010规（通）复函字0073号</t>
    <phoneticPr fontId="4" type="noConversion"/>
  </si>
  <si>
    <t>[2009]施建字1279号</t>
    <phoneticPr fontId="4" type="noConversion"/>
  </si>
  <si>
    <t>京房售证字（2010）253号</t>
    <phoneticPr fontId="4" type="noConversion"/>
  </si>
  <si>
    <t>北京宏鑫花园二期B地块2#、3#、4#、5#住宅楼地上一层非配套商业及二层以上住宅部分(扣除3#住宅楼102）</t>
    <phoneticPr fontId="4" type="noConversion"/>
  </si>
  <si>
    <t>期房（基本完工20120823）</t>
    <phoneticPr fontId="4" type="noConversion"/>
  </si>
  <si>
    <t>范永刚</t>
    <phoneticPr fontId="4" type="noConversion"/>
  </si>
  <si>
    <t>新增</t>
    <phoneticPr fontId="4" type="noConversion"/>
  </si>
  <si>
    <t>五</t>
    <phoneticPr fontId="4" type="noConversion"/>
  </si>
  <si>
    <t>四级资质</t>
    <phoneticPr fontId="4" type="noConversion"/>
  </si>
  <si>
    <t>房地产开发、销售商品房</t>
    <phoneticPr fontId="4" type="noConversion"/>
  </si>
  <si>
    <t>已封顶</t>
    <phoneticPr fontId="4" type="noConversion"/>
  </si>
  <si>
    <t>3#住宅楼（二层以上住宅部分、扣除102）</t>
    <phoneticPr fontId="4" type="noConversion"/>
  </si>
  <si>
    <t>4#住宅楼（二层以上住宅部分）</t>
  </si>
  <si>
    <t>5#住宅楼（二层以上住宅部分）</t>
  </si>
  <si>
    <t>16-0067</t>
  </si>
  <si>
    <t>新华经典丽园（同鑫家园）</t>
    <phoneticPr fontId="4" type="noConversion"/>
  </si>
  <si>
    <t>1#A座</t>
    <phoneticPr fontId="4" type="noConversion"/>
  </si>
  <si>
    <t>北京实地房地产开发有限公司</t>
  </si>
  <si>
    <t>框架剪力墙</t>
  </si>
  <si>
    <t>京通国用（2002出）字第049号</t>
  </si>
  <si>
    <t>通州区中山街北侧</t>
  </si>
  <si>
    <t>商品住宅</t>
  </si>
  <si>
    <t>新华大街</t>
  </si>
  <si>
    <t>通州区财政局</t>
  </si>
  <si>
    <t>中山街</t>
  </si>
  <si>
    <t>新仓路</t>
  </si>
  <si>
    <t>2000-规地字-0032</t>
  </si>
  <si>
    <t>2002-通规建字-甲03号</t>
  </si>
  <si>
    <t>施0020010865（建）</t>
  </si>
  <si>
    <t>京房售证字（ ）908号</t>
  </si>
  <si>
    <t>1#A座、B座</t>
  </si>
  <si>
    <t>2003.6-2005.6</t>
  </si>
  <si>
    <t>现房</t>
    <phoneticPr fontId="4" type="noConversion"/>
  </si>
  <si>
    <t>具备</t>
    <phoneticPr fontId="4" type="noConversion"/>
  </si>
  <si>
    <t>陈颖</t>
  </si>
  <si>
    <t>解押、竣工</t>
    <phoneticPr fontId="4" type="noConversion"/>
  </si>
  <si>
    <t>三</t>
    <phoneticPr fontId="4" type="noConversion"/>
  </si>
  <si>
    <t>2#A座</t>
  </si>
  <si>
    <t>1#A座、B座；2#楼A、B座</t>
  </si>
  <si>
    <t>地上二层（20030723）</t>
  </si>
  <si>
    <t>彭莹</t>
  </si>
  <si>
    <t>李晶</t>
    <phoneticPr fontId="4" type="noConversion"/>
  </si>
  <si>
    <t>解除抵押</t>
    <phoneticPr fontId="4" type="noConversion"/>
  </si>
  <si>
    <t xml:space="preserve"> </t>
    <phoneticPr fontId="4" type="noConversion"/>
  </si>
  <si>
    <t>不确定</t>
    <phoneticPr fontId="4" type="noConversion"/>
  </si>
  <si>
    <t>2#B座</t>
  </si>
  <si>
    <t>新华经典丽园（同鑫家园）（部分抵押）</t>
    <phoneticPr fontId="4" type="noConversion"/>
  </si>
  <si>
    <t>1#B座</t>
  </si>
  <si>
    <t>期房：基本完工（2004.3.12）</t>
    <phoneticPr fontId="4" type="noConversion"/>
  </si>
  <si>
    <t>解押</t>
    <phoneticPr fontId="4" type="noConversion"/>
  </si>
  <si>
    <t>南北</t>
    <phoneticPr fontId="20" type="noConversion"/>
  </si>
  <si>
    <t>二审：</t>
    <phoneticPr fontId="4" type="noConversion"/>
  </si>
  <si>
    <t>一审：</t>
    <phoneticPr fontId="4" type="noConversion"/>
  </si>
  <si>
    <t>测算：</t>
    <phoneticPr fontId="4" type="noConversion"/>
  </si>
  <si>
    <t>物业费</t>
    <phoneticPr fontId="4" type="noConversion"/>
  </si>
  <si>
    <t>~</t>
    <phoneticPr fontId="4" type="noConversion"/>
  </si>
  <si>
    <t>包含物业费的租金</t>
    <phoneticPr fontId="4" type="noConversion"/>
  </si>
  <si>
    <t>拟签净租金</t>
    <phoneticPr fontId="4" type="noConversion"/>
  </si>
  <si>
    <t>市场租金水平</t>
    <phoneticPr fontId="4" type="noConversion"/>
  </si>
  <si>
    <t>权重单价</t>
    <phoneticPr fontId="4" type="noConversion"/>
  </si>
  <si>
    <t>收益法</t>
  </si>
  <si>
    <t>比较法</t>
    <phoneticPr fontId="4" type="noConversion"/>
  </si>
  <si>
    <t>租金（元/㎡·天）</t>
    <phoneticPr fontId="4" type="noConversion"/>
  </si>
  <si>
    <t>权重</t>
  </si>
  <si>
    <t>估价方法</t>
  </si>
  <si>
    <t>出租率（%）</t>
    <phoneticPr fontId="4" type="noConversion"/>
  </si>
  <si>
    <t>天数（天）</t>
    <phoneticPr fontId="4" type="noConversion"/>
  </si>
  <si>
    <t>未来第一年年总收益租金÷天数÷面积指标÷出租率</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</si>
  <si>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</si>
  <si>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六</t>
    <phoneticPr fontId="4" type="noConversion"/>
  </si>
  <si>
    <r>
      <rPr>
        <sz val="10"/>
        <color indexed="8"/>
        <rFont val="宋体"/>
        <family val="3"/>
        <charset val="134"/>
      </rPr>
      <t>0.2%-0.3%</t>
    </r>
    <phoneticPr fontId="4" type="noConversion"/>
  </si>
  <si>
    <t>房地产未来第一年净收益+年经营费用</t>
    <phoneticPr fontId="4" type="noConversion"/>
  </si>
  <si>
    <t>未来第一年年总收益(X)</t>
    <phoneticPr fontId="4" type="noConversion"/>
  </si>
  <si>
    <t>五</t>
    <phoneticPr fontId="4" type="noConversion"/>
  </si>
  <si>
    <t>年总收益×费率</t>
    <phoneticPr fontId="4" type="noConversion"/>
  </si>
  <si>
    <t>X×</t>
    <phoneticPr fontId="4" type="noConversion"/>
  </si>
  <si>
    <t>管理费用</t>
  </si>
  <si>
    <t>4</t>
    <phoneticPr fontId="4" type="noConversion"/>
  </si>
  <si>
    <t>建筑物现值×保险费率</t>
    <phoneticPr fontId="4" type="noConversion"/>
  </si>
  <si>
    <t>保险费</t>
  </si>
  <si>
    <t>3</t>
    <phoneticPr fontId="4" type="noConversion"/>
  </si>
  <si>
    <t>V×维修费率</t>
    <phoneticPr fontId="4" type="noConversion"/>
  </si>
  <si>
    <t>维修费</t>
    <phoneticPr fontId="4" type="noConversion"/>
  </si>
  <si>
    <t>2</t>
    <phoneticPr fontId="4" type="noConversion"/>
  </si>
  <si>
    <t>年总收益×税率</t>
    <phoneticPr fontId="4" type="noConversion"/>
  </si>
  <si>
    <t>税  费</t>
  </si>
  <si>
    <t>1</t>
    <phoneticPr fontId="4" type="noConversion"/>
  </si>
  <si>
    <t>税费+维修费+保险费+管理费</t>
    <phoneticPr fontId="4" type="noConversion"/>
  </si>
  <si>
    <t>+X×</t>
    <phoneticPr fontId="4" type="noConversion"/>
  </si>
  <si>
    <t>年经营费用</t>
    <phoneticPr fontId="4" type="noConversion"/>
  </si>
  <si>
    <t>四</t>
    <phoneticPr fontId="4" type="noConversion"/>
  </si>
  <si>
    <t>1-6项之和</t>
    <phoneticPr fontId="4" type="noConversion"/>
  </si>
  <si>
    <t>房屋重置价格（V）</t>
    <phoneticPr fontId="4" type="noConversion"/>
  </si>
  <si>
    <t>7</t>
    <phoneticPr fontId="4" type="noConversion"/>
  </si>
  <si>
    <t>V×费率÷（1+5%）</t>
    <phoneticPr fontId="4" type="noConversion"/>
  </si>
  <si>
    <t>V</t>
    <phoneticPr fontId="4" type="noConversion"/>
  </si>
  <si>
    <t>销售税费</t>
    <phoneticPr fontId="4" type="noConversion"/>
  </si>
  <si>
    <t>6</t>
    <phoneticPr fontId="4" type="noConversion"/>
  </si>
  <si>
    <t>3×利润率</t>
    <phoneticPr fontId="4" type="noConversion"/>
  </si>
  <si>
    <t>销售费用产生的利润</t>
    <phoneticPr fontId="4" type="noConversion"/>
  </si>
  <si>
    <t>5.1</t>
    <phoneticPr fontId="4" type="noConversion"/>
  </si>
  <si>
    <t>（1+2）×年利率×建设期÷2</t>
    <phoneticPr fontId="4" type="noConversion"/>
  </si>
  <si>
    <t>投资利润率（%）</t>
    <phoneticPr fontId="4" type="noConversion"/>
  </si>
  <si>
    <t>（1+2)×利润率</t>
    <phoneticPr fontId="4" type="noConversion"/>
  </si>
  <si>
    <t>1-2项产生的利润</t>
    <phoneticPr fontId="4" type="noConversion"/>
  </si>
  <si>
    <t>（1+2+3）×投资利润率</t>
    <phoneticPr fontId="4" type="noConversion"/>
  </si>
  <si>
    <t>+</t>
    <phoneticPr fontId="4" type="noConversion"/>
  </si>
  <si>
    <t>利润</t>
  </si>
  <si>
    <t>5</t>
    <phoneticPr fontId="4" type="noConversion"/>
  </si>
  <si>
    <t>按在建建筑物或建筑物价值的1%-3%</t>
    <phoneticPr fontId="4" type="noConversion"/>
  </si>
  <si>
    <t>利息（1-3年期）</t>
    <phoneticPr fontId="4" type="noConversion"/>
  </si>
  <si>
    <t>V×3×利率×（建设周期÷2）</t>
    <phoneticPr fontId="4" type="noConversion"/>
  </si>
  <si>
    <t>销售费用产生的利息</t>
    <phoneticPr fontId="4" type="noConversion"/>
  </si>
  <si>
    <t>4.2</t>
    <phoneticPr fontId="4" type="noConversion"/>
  </si>
  <si>
    <t>按建造成本的1%-3%计取</t>
    <phoneticPr fontId="4" type="noConversion"/>
  </si>
  <si>
    <t>建设周期（年）</t>
    <phoneticPr fontId="4" type="noConversion"/>
  </si>
  <si>
    <t>（1+2)×利率×（建设周期÷2）</t>
    <phoneticPr fontId="4" type="noConversion"/>
  </si>
  <si>
    <t>1-2项产生的利息</t>
    <phoneticPr fontId="4" type="noConversion"/>
  </si>
  <si>
    <t>4.1</t>
    <phoneticPr fontId="4" type="noConversion"/>
  </si>
  <si>
    <t>（1+2+3）×利率×（建设周期÷2）</t>
    <phoneticPr fontId="4" type="noConversion"/>
  </si>
  <si>
    <t>贷款利息</t>
  </si>
  <si>
    <t>V×费率</t>
    <phoneticPr fontId="4" type="noConversion"/>
  </si>
  <si>
    <t>销售费用</t>
    <phoneticPr fontId="4" type="noConversion"/>
  </si>
  <si>
    <t>1×费率</t>
    <phoneticPr fontId="4" type="noConversion"/>
  </si>
  <si>
    <t>管理费用</t>
    <phoneticPr fontId="4" type="noConversion"/>
  </si>
  <si>
    <t>按建安费用的0%-10%计取</t>
  </si>
  <si>
    <t>1.1～1.5项之和</t>
    <phoneticPr fontId="4" type="noConversion"/>
  </si>
  <si>
    <t>建造成本</t>
  </si>
  <si>
    <t>按建安费用3%-5%计取</t>
    <phoneticPr fontId="4" type="noConversion"/>
  </si>
  <si>
    <t>1.1×费率</t>
    <phoneticPr fontId="4" type="noConversion"/>
  </si>
  <si>
    <t>相关税费</t>
    <phoneticPr fontId="4" type="noConversion"/>
  </si>
  <si>
    <t>1.5</t>
    <phoneticPr fontId="4" type="noConversion"/>
  </si>
  <si>
    <t>取费标准（元/建筑㎡）</t>
    <phoneticPr fontId="4" type="noConversion"/>
  </si>
  <si>
    <t>面积指标×取费标准</t>
    <phoneticPr fontId="4" type="noConversion"/>
  </si>
  <si>
    <t>基础设施建设费</t>
    <phoneticPr fontId="4" type="noConversion"/>
  </si>
  <si>
    <t>1.4</t>
    <phoneticPr fontId="4" type="noConversion"/>
  </si>
  <si>
    <t>折扣率</t>
    <phoneticPr fontId="4" type="noConversion"/>
  </si>
  <si>
    <t>权重</t>
    <phoneticPr fontId="4" type="noConversion"/>
  </si>
  <si>
    <t>公共配套设施建设费</t>
    <phoneticPr fontId="4" type="noConversion"/>
  </si>
  <si>
    <t>1.3</t>
    <phoneticPr fontId="4" type="noConversion"/>
  </si>
  <si>
    <t>完好</t>
    <phoneticPr fontId="4" type="noConversion"/>
  </si>
  <si>
    <t>设备及装饰</t>
    <phoneticPr fontId="4" type="noConversion"/>
  </si>
  <si>
    <t>勘察设计和前期工程费</t>
    <phoneticPr fontId="4" type="noConversion"/>
  </si>
  <si>
    <t>1.2</t>
    <phoneticPr fontId="4" type="noConversion"/>
  </si>
  <si>
    <t>结构工程</t>
  </si>
  <si>
    <t>建安单价（元/建筑㎡）</t>
    <phoneticPr fontId="4" type="noConversion"/>
  </si>
  <si>
    <t>建安单价×面积指标</t>
    <phoneticPr fontId="4" type="noConversion"/>
  </si>
  <si>
    <t>建安费用</t>
  </si>
  <si>
    <t>1.1</t>
    <phoneticPr fontId="4" type="noConversion"/>
  </si>
  <si>
    <t>基础工程</t>
  </si>
  <si>
    <t>成新度（%）</t>
    <phoneticPr fontId="4" type="noConversion"/>
  </si>
  <si>
    <t>V×成新度</t>
    <phoneticPr fontId="4" type="noConversion"/>
  </si>
  <si>
    <t>建筑物现值</t>
    <phoneticPr fontId="4" type="noConversion"/>
  </si>
  <si>
    <t>三</t>
    <phoneticPr fontId="4" type="noConversion"/>
  </si>
  <si>
    <t>评分</t>
  </si>
  <si>
    <t>基本情况</t>
    <phoneticPr fontId="4" type="noConversion"/>
  </si>
  <si>
    <t>标准分</t>
    <phoneticPr fontId="4" type="noConversion"/>
  </si>
  <si>
    <t>项目名称</t>
    <phoneticPr fontId="4" type="noConversion"/>
  </si>
  <si>
    <t>综合观察法成新度</t>
    <phoneticPr fontId="4" type="noConversion"/>
  </si>
  <si>
    <t>年增长比率(g)</t>
    <phoneticPr fontId="4" type="noConversion"/>
  </si>
  <si>
    <t>收益年期(n)</t>
    <phoneticPr fontId="4" type="noConversion"/>
  </si>
  <si>
    <t>资本化率（Y）</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</si>
  <si>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</si>
  <si>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房地产未来第一年净收益</t>
    <phoneticPr fontId="4" type="noConversion"/>
  </si>
  <si>
    <t>二</t>
    <phoneticPr fontId="4" type="noConversion"/>
  </si>
  <si>
    <t>60</t>
    <phoneticPr fontId="4" type="noConversion"/>
  </si>
  <si>
    <t>经济耐用年限（年）</t>
    <phoneticPr fontId="4" type="noConversion"/>
  </si>
  <si>
    <t>建筑面积（㎡）</t>
    <phoneticPr fontId="4" type="noConversion"/>
  </si>
  <si>
    <t>依据市场比较法得出</t>
    <phoneticPr fontId="4" type="noConversion"/>
  </si>
  <si>
    <t>房地产价值</t>
    <phoneticPr fontId="4" type="noConversion"/>
  </si>
  <si>
    <t>一</t>
    <phoneticPr fontId="4" type="noConversion"/>
  </si>
  <si>
    <t>27</t>
    <phoneticPr fontId="4" type="noConversion"/>
  </si>
  <si>
    <t>已经使用年限（年）</t>
    <phoneticPr fontId="4" type="noConversion"/>
  </si>
  <si>
    <t>收费标准</t>
    <phoneticPr fontId="4" type="noConversion"/>
  </si>
  <si>
    <t>计算公式</t>
    <phoneticPr fontId="4" type="noConversion"/>
  </si>
  <si>
    <t>数额（元）</t>
    <phoneticPr fontId="4" type="noConversion"/>
  </si>
  <si>
    <t>项目</t>
    <phoneticPr fontId="4" type="noConversion"/>
  </si>
  <si>
    <t>序号</t>
    <phoneticPr fontId="4" type="noConversion"/>
  </si>
  <si>
    <t>结构残值率（%）</t>
    <phoneticPr fontId="4" type="noConversion"/>
  </si>
  <si>
    <t>直线法成新度</t>
    <phoneticPr fontId="4" type="noConversion"/>
  </si>
  <si>
    <t>收益法</t>
    <phoneticPr fontId="4" type="noConversion"/>
  </si>
  <si>
    <r>
      <t>估价对象</t>
    </r>
    <r>
      <rPr>
        <b/>
        <sz val="9"/>
        <rFont val="宋体"/>
        <family val="3"/>
        <charset val="134"/>
      </rPr>
      <t>结果一览表</t>
    </r>
    <phoneticPr fontId="4" type="noConversion"/>
  </si>
  <si>
    <t>权重</t>
    <phoneticPr fontId="146" type="noConversion"/>
  </si>
  <si>
    <t>月租金</t>
    <phoneticPr fontId="146" type="noConversion"/>
  </si>
  <si>
    <t>估算结果一览表</t>
    <phoneticPr fontId="4" type="noConversion"/>
  </si>
  <si>
    <t>部位及房号</t>
    <phoneticPr fontId="4" type="noConversion"/>
  </si>
  <si>
    <t>楼层</t>
    <phoneticPr fontId="4" type="noConversion"/>
  </si>
  <si>
    <t>楼层修正系数</t>
    <phoneticPr fontId="4" type="noConversion"/>
  </si>
  <si>
    <t>建筑面积</t>
    <phoneticPr fontId="4" type="noConversion"/>
  </si>
  <si>
    <t>建筑面积修正系数</t>
    <phoneticPr fontId="4" type="noConversion"/>
  </si>
  <si>
    <t>标准价格</t>
    <phoneticPr fontId="4" type="noConversion"/>
  </si>
  <si>
    <t>修正价格</t>
    <phoneticPr fontId="4" type="noConversion"/>
  </si>
  <si>
    <t>使用面积</t>
    <phoneticPr fontId="4" type="noConversion"/>
  </si>
  <si>
    <t>1层</t>
    <phoneticPr fontId="4" type="noConversion"/>
  </si>
  <si>
    <t>2层</t>
    <phoneticPr fontId="4" type="noConversion"/>
  </si>
  <si>
    <t>综合（含物业）</t>
    <phoneticPr fontId="4" type="noConversion"/>
  </si>
  <si>
    <t>综合（含物业）水平</t>
    <phoneticPr fontId="4" type="noConversion"/>
  </si>
  <si>
    <t>净拟签</t>
    <phoneticPr fontId="4" type="noConversion"/>
  </si>
  <si>
    <t>七通</t>
    <phoneticPr fontId="20" type="noConversion"/>
  </si>
  <si>
    <t>平层</t>
    <phoneticPr fontId="20" type="noConversion"/>
  </si>
  <si>
    <t>物业公司管理</t>
    <phoneticPr fontId="20" type="noConversion"/>
  </si>
  <si>
    <t>估价对象周边有富力金禧花园、怡佳家园、摩卡空间、帅府园等住宅小区，综合评价居住社区成熟度较好。</t>
    <phoneticPr fontId="35" type="noConversion"/>
  </si>
  <si>
    <t>估价对象紧邻城市主干道—新华西街，周边有316路、372路、582路、666路等多条公交线路通过，综合评价交通便捷度较好。</t>
    <phoneticPr fontId="35" type="noConversion"/>
  </si>
  <si>
    <t>估价对象所在区域公共配套设施齐全</t>
    <phoneticPr fontId="35" type="noConversion"/>
  </si>
  <si>
    <t>估价对象所在区域基础设施水平达到七通一平</t>
    <phoneticPr fontId="20" type="noConversion"/>
  </si>
  <si>
    <t>区域自然环境：西海子公园、通惠河；人文环境北京市通州区博物馆、新华书店；综合评价环境状况较好。</t>
    <phoneticPr fontId="35" type="noConversion"/>
  </si>
  <si>
    <t>楼层</t>
    <phoneticPr fontId="20" type="noConversion"/>
  </si>
  <si>
    <t>低楼层</t>
    <phoneticPr fontId="20" type="noConversion"/>
  </si>
  <si>
    <t>中楼层</t>
  </si>
  <si>
    <t>中楼层</t>
    <phoneticPr fontId="20" type="noConversion"/>
  </si>
  <si>
    <t>高楼层</t>
  </si>
  <si>
    <t>高楼层</t>
    <phoneticPr fontId="20" type="noConversion"/>
  </si>
  <si>
    <t>单价</t>
    <phoneticPr fontId="4" type="noConversion"/>
  </si>
  <si>
    <t>总价</t>
    <phoneticPr fontId="146" type="noConversion"/>
  </si>
  <si>
    <t>a</t>
    <phoneticPr fontId="146" type="noConversion"/>
  </si>
  <si>
    <t>c</t>
    <phoneticPr fontId="146" type="noConversion"/>
  </si>
  <si>
    <t>天时名苑</t>
    <phoneticPr fontId="4" type="noConversion"/>
  </si>
  <si>
    <t>摩卡空间</t>
    <phoneticPr fontId="4" type="noConversion"/>
  </si>
  <si>
    <t>逸秀名园</t>
    <phoneticPr fontId="4" type="noConversion"/>
  </si>
  <si>
    <t>西南</t>
  </si>
  <si>
    <t>城市主干道——北苑南路</t>
    <phoneticPr fontId="20" type="noConversion"/>
  </si>
  <si>
    <t>城市次干道——通惠南路</t>
    <phoneticPr fontId="20" type="noConversion"/>
  </si>
  <si>
    <r>
      <rPr>
        <sz val="11"/>
        <rFont val="宋体"/>
        <family val="3"/>
        <charset val="134"/>
      </rPr>
      <t>高层</t>
    </r>
    <r>
      <rPr>
        <sz val="11"/>
        <rFont val="Arial"/>
        <family val="2"/>
      </rPr>
      <t>/13</t>
    </r>
    <phoneticPr fontId="20" type="noConversion"/>
  </si>
  <si>
    <r>
      <rPr>
        <sz val="11"/>
        <rFont val="宋体"/>
        <family val="3"/>
        <charset val="134"/>
      </rPr>
      <t>中层</t>
    </r>
    <r>
      <rPr>
        <sz val="11"/>
        <rFont val="Arial"/>
        <family val="2"/>
      </rPr>
      <t>/17</t>
    </r>
    <phoneticPr fontId="20" type="noConversion"/>
  </si>
  <si>
    <r>
      <rPr>
        <sz val="11"/>
        <rFont val="宋体"/>
        <family val="3"/>
        <charset val="134"/>
      </rPr>
      <t>中层</t>
    </r>
    <r>
      <rPr>
        <sz val="11"/>
        <rFont val="Arial"/>
        <family val="2"/>
      </rPr>
      <t>/23</t>
    </r>
    <phoneticPr fontId="20" type="noConversion"/>
  </si>
  <si>
    <r>
      <t>估价对象</t>
    </r>
    <r>
      <rPr>
        <b/>
        <sz val="9"/>
        <rFont val="宋体"/>
        <family val="3"/>
        <charset val="134"/>
      </rPr>
      <t>结果一览表(2016年）</t>
    </r>
    <phoneticPr fontId="4" type="noConversion"/>
  </si>
  <si>
    <t>面积</t>
    <phoneticPr fontId="146" type="noConversion"/>
  </si>
  <si>
    <t>单价</t>
    <phoneticPr fontId="146" type="noConversion"/>
  </si>
  <si>
    <t>总价</t>
    <phoneticPr fontId="146" type="noConversion"/>
  </si>
  <si>
    <r>
      <t>估价对象</t>
    </r>
    <r>
      <rPr>
        <b/>
        <sz val="9"/>
        <rFont val="宋体"/>
        <family val="3"/>
        <charset val="134"/>
      </rPr>
      <t>结果一览表（2015年）</t>
    </r>
    <phoneticPr fontId="4" type="noConversion"/>
  </si>
  <si>
    <t>租金（元/㎡·天）</t>
    <phoneticPr fontId="4" type="noConversion"/>
  </si>
  <si>
    <t>比较法</t>
    <phoneticPr fontId="4" type="noConversion"/>
  </si>
  <si>
    <t>权重单价</t>
    <phoneticPr fontId="4" type="noConversion"/>
  </si>
  <si>
    <t>市场租金水平</t>
    <phoneticPr fontId="4" type="noConversion"/>
  </si>
  <si>
    <t>~</t>
    <phoneticPr fontId="4" type="noConversion"/>
  </si>
  <si>
    <t>包含物业费的租金</t>
    <phoneticPr fontId="4" type="noConversion"/>
  </si>
  <si>
    <t>面积</t>
    <phoneticPr fontId="146" type="noConversion"/>
  </si>
  <si>
    <t>单价</t>
    <phoneticPr fontId="146" type="noConversion"/>
  </si>
  <si>
    <t>总价</t>
    <phoneticPr fontId="146" type="noConversion"/>
  </si>
  <si>
    <t>合计</t>
    <phoneticPr fontId="146" type="noConversion"/>
  </si>
  <si>
    <r>
      <t>租金</t>
    </r>
    <r>
      <rPr>
        <b/>
        <sz val="11"/>
        <rFont val="宋体"/>
        <family val="3"/>
        <charset val="134"/>
        <scheme val="minor"/>
      </rPr>
      <t>结果一览表(2016年）</t>
    </r>
    <phoneticPr fontId="4" type="noConversion"/>
  </si>
  <si>
    <r>
      <t>租金</t>
    </r>
    <r>
      <rPr>
        <b/>
        <sz val="11"/>
        <rFont val="宋体"/>
        <family val="3"/>
        <charset val="134"/>
        <scheme val="minor"/>
      </rPr>
      <t>结果一览表（2015年）</t>
    </r>
    <phoneticPr fontId="4" type="noConversion"/>
  </si>
  <si>
    <t>单套面积</t>
    <phoneticPr fontId="146" type="noConversion"/>
  </si>
  <si>
    <t>单套月租金</t>
    <phoneticPr fontId="146"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</si>
  <si>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</si>
  <si>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</si>
  <si>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</si>
  <si>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</si>
  <si>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</si>
  <si>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</si>
  <si>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</si>
  <si>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</si>
  <si>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</si>
  <si>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</si>
  <si>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</si>
  <si>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4</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</si>
</sst>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9"/>
      <color theme="1"/>
      <name val="宋体"/>
      <family val="3"/>
      <charset val="134"/>
      <scheme val="minor"/>
    </font>
    <font>
      <sz val="9"/>
      <color rgb="FFFF0000"/>
      <name val="宋体"/>
      <family val="3"/>
      <charset val="134"/>
      <scheme val="minor"/>
    </font>
    <font>
      <b/>
      <sz val="9"/>
      <name val="宋体"/>
      <family val="3"/>
      <charset val="134"/>
      <scheme val="minor"/>
    </font>
    <font>
      <b/>
      <sz val="9"/>
      <name val="宋体"/>
      <family val="3"/>
      <charset val="134"/>
    </font>
    <font>
      <sz val="10"/>
      <color indexed="10"/>
      <name val="仿宋_GB2312"/>
      <family val="3"/>
      <charset val="134"/>
    </font>
    <font>
      <sz val="10"/>
      <color indexed="8"/>
      <name val="仿宋_GB2312"/>
      <family val="3"/>
      <charset val="134"/>
    </font>
    <font>
      <sz val="10"/>
      <color theme="1"/>
      <name val="宋体"/>
      <family val="3"/>
      <charset val="134"/>
      <scheme val="major"/>
    </font>
    <font>
      <sz val="10"/>
      <name val="宋体"/>
      <family val="3"/>
      <charset val="134"/>
      <scheme val="minor"/>
    </font>
    <font>
      <sz val="10"/>
      <color rgb="FFFF0000"/>
      <name val="仿宋_GB2312"/>
      <family val="3"/>
      <charset val="134"/>
    </font>
    <font>
      <sz val="10"/>
      <name val="宋体"/>
      <family val="3"/>
      <charset val="134"/>
      <scheme val="major"/>
    </font>
    <font>
      <b/>
      <sz val="10"/>
      <name val="宋体"/>
      <family val="3"/>
      <charset val="134"/>
      <scheme val="major"/>
    </font>
    <font>
      <vertAlign val="superscript"/>
      <sz val="10"/>
      <color indexed="8"/>
      <name val="仿宋_GB2312"/>
      <family val="3"/>
      <charset val="134"/>
    </font>
    <font>
      <sz val="10"/>
      <color rgb="FFFF0000"/>
      <name val="宋体"/>
      <family val="3"/>
      <charset val="134"/>
      <scheme val="minor"/>
    </font>
    <font>
      <b/>
      <sz val="11"/>
      <name val="宋体"/>
      <family val="3"/>
      <charset val="134"/>
      <scheme val="minor"/>
    </font>
    <font>
      <sz val="12"/>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44"/>
        <bgColor indexed="64"/>
      </patternFill>
    </fill>
    <fill>
      <patternFill patternType="solid">
        <fgColor indexed="5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2" xfId="0"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4" fillId="18" borderId="1" xfId="0" applyNumberFormat="1" applyFont="1" applyFill="1" applyBorder="1" applyAlignment="1" applyProtection="1">
      <alignment horizontal="left"/>
    </xf>
    <xf numFmtId="0" fontId="224" fillId="18" borderId="1" xfId="0" applyFont="1" applyFill="1" applyBorder="1" applyAlignment="1">
      <alignment horizontal="left" wrapText="1"/>
    </xf>
    <xf numFmtId="0" fontId="224" fillId="18" borderId="1" xfId="0" applyFont="1" applyFill="1" applyBorder="1" applyAlignment="1">
      <alignment horizontal="left"/>
    </xf>
    <xf numFmtId="0" fontId="224" fillId="18" borderId="1" xfId="0" applyFont="1" applyFill="1" applyBorder="1" applyAlignment="1">
      <alignment horizontal="right"/>
    </xf>
    <xf numFmtId="178" fontId="224" fillId="18" borderId="1" xfId="0" applyNumberFormat="1" applyFont="1" applyFill="1" applyBorder="1" applyAlignment="1" applyProtection="1">
      <alignment horizontal="left"/>
      <protection locked="0"/>
    </xf>
    <xf numFmtId="31" fontId="224" fillId="18" borderId="1" xfId="0" applyNumberFormat="1" applyFont="1" applyFill="1" applyBorder="1" applyAlignment="1">
      <alignment horizontal="left"/>
    </xf>
    <xf numFmtId="0" fontId="224" fillId="18" borderId="1" xfId="0" applyFont="1" applyFill="1" applyBorder="1" applyAlignment="1">
      <alignment horizontal="center"/>
    </xf>
    <xf numFmtId="31" fontId="224" fillId="18" borderId="1" xfId="0" applyNumberFormat="1" applyFont="1" applyFill="1" applyBorder="1" applyAlignment="1"/>
    <xf numFmtId="31" fontId="224" fillId="18" borderId="1" xfId="0" applyNumberFormat="1" applyFont="1" applyFill="1" applyBorder="1" applyAlignment="1" applyProtection="1">
      <alignment horizontal="center"/>
      <protection locked="0"/>
    </xf>
    <xf numFmtId="0" fontId="224" fillId="0" borderId="0" xfId="0" applyFont="1" applyFill="1" applyBorder="1" applyAlignment="1"/>
    <xf numFmtId="0" fontId="16" fillId="0" borderId="0" xfId="0" applyFont="1" applyFill="1" applyBorder="1" applyAlignment="1"/>
    <xf numFmtId="0" fontId="16" fillId="18" borderId="1" xfId="0" applyFont="1" applyFill="1" applyBorder="1" applyAlignment="1">
      <alignment horizontal="left"/>
    </xf>
    <xf numFmtId="0" fontId="16" fillId="18" borderId="1" xfId="0" applyFont="1" applyFill="1" applyBorder="1" applyAlignment="1">
      <alignment horizontal="right"/>
    </xf>
    <xf numFmtId="31" fontId="16" fillId="18" borderId="1" xfId="0" applyNumberFormat="1" applyFont="1" applyFill="1" applyBorder="1" applyAlignment="1">
      <alignment horizontal="left"/>
    </xf>
    <xf numFmtId="0" fontId="16" fillId="18" borderId="1" xfId="0" applyFont="1" applyFill="1" applyBorder="1" applyAlignment="1">
      <alignment horizontal="center"/>
    </xf>
    <xf numFmtId="31" fontId="16" fillId="18" borderId="1" xfId="0" applyNumberFormat="1" applyFont="1" applyFill="1" applyBorder="1" applyAlignment="1"/>
    <xf numFmtId="31" fontId="16" fillId="18" borderId="1" xfId="0" applyNumberFormat="1" applyFont="1" applyFill="1" applyBorder="1" applyAlignment="1" applyProtection="1">
      <alignment horizontal="center"/>
      <protection locked="0"/>
    </xf>
    <xf numFmtId="31" fontId="16" fillId="18" borderId="1" xfId="0" applyNumberFormat="1" applyFont="1" applyFill="1" applyBorder="1" applyAlignment="1">
      <alignment horizontal="center"/>
    </xf>
    <xf numFmtId="0" fontId="92" fillId="2" borderId="7" xfId="0" applyNumberFormat="1" applyFont="1" applyFill="1" applyBorder="1" applyAlignment="1" applyProtection="1">
      <alignment horizontal="center" vertical="center" wrapText="1"/>
      <protection locked="0"/>
    </xf>
    <xf numFmtId="0" fontId="93" fillId="0" borderId="0" xfId="8" applyFont="1" applyAlignment="1">
      <alignment vertical="center" wrapText="1"/>
    </xf>
    <xf numFmtId="0" fontId="93" fillId="0" borderId="0" xfId="8" applyFont="1" applyAlignment="1">
      <alignment vertical="center"/>
    </xf>
    <xf numFmtId="0" fontId="93" fillId="0" borderId="0" xfId="8" applyFont="1" applyBorder="1" applyAlignment="1">
      <alignment vertical="center"/>
    </xf>
    <xf numFmtId="0" fontId="93" fillId="0" borderId="0" xfId="8" applyFont="1" applyAlignment="1">
      <alignment horizontal="center" vertical="center" wrapText="1"/>
    </xf>
    <xf numFmtId="0" fontId="93" fillId="0" borderId="0" xfId="8" applyFont="1" applyFill="1" applyAlignment="1">
      <alignment vertical="center" wrapText="1"/>
    </xf>
    <xf numFmtId="0" fontId="93" fillId="0" borderId="0" xfId="8" applyFont="1" applyAlignment="1">
      <alignment horizontal="left" vertical="center" wrapText="1"/>
    </xf>
    <xf numFmtId="0" fontId="244" fillId="0" borderId="0" xfId="8" applyFont="1" applyAlignment="1">
      <alignment horizontal="center" vertical="center" wrapText="1"/>
    </xf>
    <xf numFmtId="0" fontId="244" fillId="0" borderId="0" xfId="8" applyFont="1" applyFill="1" applyAlignment="1">
      <alignment vertical="center" wrapText="1"/>
    </xf>
    <xf numFmtId="0" fontId="244" fillId="0" borderId="0" xfId="8" applyFont="1" applyAlignment="1">
      <alignment vertical="center" wrapText="1"/>
    </xf>
    <xf numFmtId="179" fontId="244" fillId="0" borderId="0" xfId="8" applyNumberFormat="1" applyFont="1" applyFill="1" applyAlignment="1">
      <alignment vertical="center" wrapText="1"/>
    </xf>
    <xf numFmtId="0" fontId="244" fillId="0" borderId="0" xfId="8" applyFont="1" applyAlignment="1">
      <alignment horizontal="left" vertical="center" wrapText="1"/>
    </xf>
    <xf numFmtId="0" fontId="244"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245" fillId="0" borderId="0" xfId="8" applyFont="1" applyFill="1" applyAlignment="1">
      <alignment horizontal="center" vertical="center" wrapText="1"/>
    </xf>
    <xf numFmtId="9" fontId="146" fillId="0" borderId="1" xfId="8" applyNumberFormat="1" applyFont="1" applyFill="1" applyBorder="1" applyAlignment="1">
      <alignment horizontal="center" vertical="center" wrapText="1"/>
    </xf>
    <xf numFmtId="0" fontId="93" fillId="0" borderId="0" xfId="8" applyFont="1" applyAlignment="1">
      <alignment vertical="center" wrapText="1" shrinkToFit="1"/>
    </xf>
    <xf numFmtId="9" fontId="111" fillId="0" borderId="0" xfId="8" applyNumberFormat="1" applyFont="1" applyFill="1" applyBorder="1" applyAlignment="1">
      <alignment horizontal="center" vertical="center"/>
    </xf>
    <xf numFmtId="0" fontId="146" fillId="0" borderId="1" xfId="8" applyFont="1" applyFill="1" applyBorder="1" applyAlignment="1">
      <alignment horizontal="center" vertical="center" wrapText="1"/>
    </xf>
    <xf numFmtId="0" fontId="111" fillId="0" borderId="0" xfId="8" applyFont="1" applyFill="1" applyBorder="1" applyAlignment="1">
      <alignment horizontal="center" vertical="center"/>
    </xf>
    <xf numFmtId="0" fontId="111" fillId="0" borderId="0" xfId="8" applyFont="1" applyBorder="1" applyAlignment="1">
      <alignment horizontal="center" vertical="center"/>
    </xf>
    <xf numFmtId="0" fontId="93" fillId="0" borderId="0" xfId="8" applyAlignment="1">
      <alignment vertical="center" wrapText="1"/>
    </xf>
    <xf numFmtId="0" fontId="93" fillId="0" borderId="0" xfId="8" applyAlignment="1">
      <alignment horizontal="center" vertical="center" wrapText="1"/>
    </xf>
    <xf numFmtId="0" fontId="93" fillId="0" borderId="0" xfId="8" applyFill="1" applyAlignment="1">
      <alignment vertical="center" wrapText="1"/>
    </xf>
    <xf numFmtId="0" fontId="93" fillId="0" borderId="0" xfId="8" applyAlignment="1">
      <alignment horizontal="left" vertical="center" wrapText="1"/>
    </xf>
    <xf numFmtId="10"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183" fontId="111" fillId="0" borderId="0" xfId="8" applyNumberFormat="1" applyFont="1" applyFill="1" applyBorder="1" applyAlignment="1">
      <alignment horizontal="center" vertical="center"/>
    </xf>
    <xf numFmtId="0" fontId="111" fillId="0" borderId="1" xfId="8" applyFont="1" applyFill="1" applyBorder="1" applyAlignment="1">
      <alignment horizontal="center" vertical="center" wrapText="1" shrinkToFit="1"/>
    </xf>
    <xf numFmtId="0" fontId="250" fillId="0" borderId="0" xfId="8" applyFont="1" applyFill="1" applyAlignment="1">
      <alignment vertical="center"/>
    </xf>
    <xf numFmtId="0" fontId="111" fillId="0" borderId="1" xfId="8" applyFont="1" applyBorder="1" applyAlignment="1">
      <alignment horizontal="center" vertical="center" wrapText="1" shrinkToFit="1"/>
    </xf>
    <xf numFmtId="10" fontId="112" fillId="0" borderId="0" xfId="8" applyNumberFormat="1" applyFont="1" applyFill="1" applyBorder="1" applyAlignment="1">
      <alignment horizontal="center" vertical="center"/>
    </xf>
    <xf numFmtId="49" fontId="111" fillId="0" borderId="1" xfId="8" applyNumberFormat="1" applyFont="1" applyFill="1" applyBorder="1" applyAlignment="1">
      <alignment horizontal="center" vertical="center" wrapText="1" shrinkToFit="1"/>
    </xf>
    <xf numFmtId="181" fontId="111" fillId="0" borderId="0" xfId="8" applyNumberFormat="1" applyFont="1" applyFill="1" applyBorder="1" applyAlignment="1">
      <alignment horizontal="center" vertical="center"/>
    </xf>
    <xf numFmtId="49" fontId="111" fillId="0" borderId="51" xfId="8" applyNumberFormat="1"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38" fillId="0" borderId="0" xfId="1" applyFont="1" applyBorder="1" applyAlignment="1" applyProtection="1">
      <alignment horizontal="left" vertical="center"/>
      <protection hidden="1"/>
    </xf>
    <xf numFmtId="0" fontId="111" fillId="0" borderId="3" xfId="8" applyFont="1" applyFill="1" applyBorder="1" applyAlignment="1">
      <alignment horizontal="left" vertical="center" wrapText="1" shrinkToFit="1"/>
    </xf>
    <xf numFmtId="0" fontId="111" fillId="0" borderId="51" xfId="8"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0" fontId="111" fillId="0" borderId="1" xfId="8" applyNumberFormat="1"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49" fontId="111" fillId="0" borderId="18" xfId="8" applyNumberFormat="1" applyFont="1" applyFill="1" applyBorder="1" applyAlignment="1">
      <alignment horizontal="center" vertical="center" wrapText="1" shrinkToFit="1"/>
    </xf>
    <xf numFmtId="179" fontId="93" fillId="0" borderId="0" xfId="8" applyNumberFormat="1" applyFont="1" applyAlignment="1">
      <alignment vertical="center"/>
    </xf>
    <xf numFmtId="179" fontId="244" fillId="0" borderId="0" xfId="8" applyNumberFormat="1" applyFont="1" applyAlignment="1">
      <alignment vertical="center" wrapText="1" shrinkToFit="1"/>
    </xf>
    <xf numFmtId="0" fontId="108" fillId="0" borderId="1" xfId="8" applyFont="1" applyBorder="1" applyAlignment="1">
      <alignment wrapText="1"/>
    </xf>
    <xf numFmtId="10" fontId="116" fillId="0" borderId="1" xfId="8" applyNumberFormat="1" applyFont="1" applyBorder="1" applyAlignment="1">
      <alignment horizontal="center" vertical="center" wrapText="1"/>
    </xf>
    <xf numFmtId="0" fontId="108" fillId="0" borderId="1" xfId="8" applyNumberFormat="1" applyFont="1" applyBorder="1" applyAlignment="1">
      <alignment horizontal="center" vertical="center" wrapText="1"/>
    </xf>
    <xf numFmtId="9" fontId="108" fillId="20" borderId="1" xfId="8" applyNumberFormat="1" applyFont="1" applyFill="1" applyBorder="1" applyAlignment="1">
      <alignment horizontal="center" vertical="center" wrapText="1"/>
    </xf>
    <xf numFmtId="10" fontId="108" fillId="0" borderId="1" xfId="8" applyNumberFormat="1" applyFont="1" applyBorder="1" applyAlignment="1">
      <alignment horizontal="center" vertical="center" wrapText="1"/>
    </xf>
    <xf numFmtId="179" fontId="244" fillId="0" borderId="0" xfId="8" applyNumberFormat="1" applyFont="1" applyAlignment="1">
      <alignment vertical="center"/>
    </xf>
    <xf numFmtId="9" fontId="108" fillId="0" borderId="1" xfId="8" applyNumberFormat="1" applyFont="1" applyBorder="1" applyAlignment="1">
      <alignment horizontal="center" vertical="center" wrapText="1"/>
    </xf>
    <xf numFmtId="0" fontId="108" fillId="0" borderId="1" xfId="8" applyNumberFormat="1" applyFont="1" applyBorder="1" applyAlignment="1">
      <alignment vertical="center" wrapText="1"/>
    </xf>
    <xf numFmtId="9" fontId="251" fillId="0" borderId="1" xfId="8" applyNumberFormat="1" applyFont="1" applyFill="1" applyBorder="1" applyAlignment="1">
      <alignment horizontal="center" vertical="center" wrapText="1"/>
    </xf>
    <xf numFmtId="179" fontId="111" fillId="0" borderId="0" xfId="8" applyNumberFormat="1" applyFont="1" applyBorder="1" applyAlignment="1">
      <alignment horizontal="center" vertical="center"/>
    </xf>
    <xf numFmtId="181" fontId="252" fillId="0" borderId="1" xfId="8" applyNumberFormat="1" applyFont="1" applyFill="1" applyBorder="1" applyAlignment="1">
      <alignment horizontal="center" vertical="center" wrapText="1" shrinkToFit="1"/>
    </xf>
    <xf numFmtId="0" fontId="108" fillId="0" borderId="0" xfId="8" applyFont="1" applyAlignment="1">
      <alignment wrapText="1"/>
    </xf>
    <xf numFmtId="9" fontId="253" fillId="20" borderId="1" xfId="8" applyNumberFormat="1" applyFont="1" applyFill="1" applyBorder="1" applyAlignment="1">
      <alignment horizontal="center" vertical="center" wrapText="1"/>
    </xf>
    <xf numFmtId="0" fontId="251" fillId="0" borderId="1" xfId="8" applyNumberFormat="1" applyFont="1" applyBorder="1" applyAlignment="1">
      <alignment horizontal="left" vertical="center" wrapText="1" shrinkToFit="1"/>
    </xf>
    <xf numFmtId="179" fontId="252" fillId="0" borderId="1" xfId="8" applyNumberFormat="1" applyFont="1" applyFill="1" applyBorder="1" applyAlignment="1">
      <alignment horizontal="center" vertical="center" wrapText="1" shrinkToFit="1"/>
    </xf>
    <xf numFmtId="9" fontId="254" fillId="0" borderId="1" xfId="8" applyNumberFormat="1" applyFont="1" applyFill="1" applyBorder="1" applyAlignment="1">
      <alignment horizontal="center" vertical="center" wrapText="1"/>
    </xf>
    <xf numFmtId="9" fontId="111" fillId="0" borderId="1" xfId="8" applyNumberFormat="1" applyFont="1" applyFill="1" applyBorder="1" applyAlignment="1">
      <alignment horizontal="left" vertical="center" wrapText="1" shrinkToFit="1"/>
    </xf>
    <xf numFmtId="0" fontId="108" fillId="0" borderId="0" xfId="8" applyFont="1" applyFill="1" applyAlignment="1">
      <alignment wrapText="1"/>
    </xf>
    <xf numFmtId="49" fontId="251" fillId="0" borderId="1" xfId="8" applyNumberFormat="1" applyFont="1" applyBorder="1" applyAlignment="1">
      <alignment horizontal="center" vertical="center" wrapText="1" shrinkToFit="1"/>
    </xf>
    <xf numFmtId="179" fontId="111" fillId="0" borderId="1" xfId="8" applyNumberFormat="1" applyFont="1" applyBorder="1" applyAlignment="1">
      <alignment horizontal="center" vertical="center" wrapText="1" shrinkToFit="1"/>
    </xf>
    <xf numFmtId="0" fontId="111" fillId="0" borderId="1" xfId="8" applyFont="1" applyBorder="1" applyAlignment="1">
      <alignment horizontal="left" vertical="center" wrapText="1" shrinkToFit="1"/>
    </xf>
    <xf numFmtId="0" fontId="111" fillId="0" borderId="1" xfId="8" applyFont="1" applyFill="1" applyBorder="1" applyAlignment="1">
      <alignment vertical="center" wrapText="1" shrinkToFit="1"/>
    </xf>
    <xf numFmtId="0" fontId="93" fillId="0" borderId="0" xfId="8" applyAlignment="1"/>
    <xf numFmtId="9" fontId="256" fillId="0" borderId="1" xfId="8" applyNumberFormat="1" applyFont="1" applyBorder="1" applyAlignment="1">
      <alignment horizontal="center" vertical="center" wrapText="1" shrinkToFit="1"/>
    </xf>
    <xf numFmtId="0" fontId="146" fillId="0" borderId="0" xfId="8" applyFont="1" applyBorder="1" applyAlignment="1">
      <alignment horizontal="center" vertical="center" wrapText="1"/>
    </xf>
    <xf numFmtId="178" fontId="146" fillId="0" borderId="0" xfId="8" applyNumberFormat="1" applyFont="1" applyFill="1" applyBorder="1" applyAlignment="1">
      <alignment horizontal="center" vertical="center" wrapText="1"/>
    </xf>
    <xf numFmtId="0" fontId="244" fillId="0" borderId="0" xfId="8" applyFont="1" applyBorder="1" applyAlignment="1">
      <alignment horizontal="center" vertical="center" wrapText="1"/>
    </xf>
    <xf numFmtId="9" fontId="146" fillId="0" borderId="0" xfId="8" applyNumberFormat="1" applyFont="1" applyBorder="1" applyAlignment="1">
      <alignment horizontal="center" vertical="center" wrapText="1"/>
    </xf>
    <xf numFmtId="0" fontId="93" fillId="0" borderId="0" xfId="8" applyAlignment="1">
      <alignment horizontal="center" vertical="center"/>
    </xf>
    <xf numFmtId="0" fontId="93" fillId="0" borderId="1" xfId="8" applyFont="1" applyBorder="1" applyAlignment="1">
      <alignment horizontal="center" vertical="center"/>
    </xf>
    <xf numFmtId="0" fontId="93" fillId="0" borderId="1" xfId="8" applyBorder="1" applyAlignment="1">
      <alignment horizontal="center" vertical="center"/>
    </xf>
    <xf numFmtId="49" fontId="93" fillId="0" borderId="1" xfId="8" applyNumberFormat="1" applyBorder="1" applyAlignment="1">
      <alignment horizontal="center" vertical="center"/>
    </xf>
    <xf numFmtId="0" fontId="93" fillId="0" borderId="0" xfId="8" applyFont="1" applyAlignment="1">
      <alignment horizontal="center" vertical="center"/>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3" fillId="0" borderId="3" xfId="8" applyFont="1" applyBorder="1" applyAlignment="1">
      <alignment horizontal="center" vertical="center"/>
    </xf>
    <xf numFmtId="9" fontId="146" fillId="0" borderId="1" xfId="8" applyNumberFormat="1" applyFont="1" applyBorder="1" applyAlignment="1">
      <alignment horizontal="center" vertical="center" wrapText="1"/>
    </xf>
    <xf numFmtId="0" fontId="0" fillId="0" borderId="0" xfId="0" applyAlignment="1">
      <alignment horizontal="left" vertical="center"/>
    </xf>
    <xf numFmtId="0" fontId="93" fillId="6" borderId="0" xfId="0" applyFont="1" applyFill="1">
      <alignment vertical="center"/>
    </xf>
    <xf numFmtId="0" fontId="93" fillId="6" borderId="0" xfId="0" applyFont="1" applyFill="1" applyAlignment="1">
      <alignment horizontal="left" vertical="center"/>
    </xf>
    <xf numFmtId="0" fontId="93" fillId="0" borderId="0" xfId="0" applyFont="1" applyFill="1">
      <alignment vertical="center"/>
    </xf>
    <xf numFmtId="0" fontId="146" fillId="0" borderId="1" xfId="8" applyFont="1" applyFill="1" applyBorder="1" applyAlignment="1">
      <alignment horizontal="center" vertical="center" wrapText="1"/>
    </xf>
    <xf numFmtId="0" fontId="146" fillId="0" borderId="1" xfId="8" applyFont="1" applyBorder="1" applyAlignment="1">
      <alignment horizontal="center" vertical="center" wrapText="1"/>
    </xf>
    <xf numFmtId="178" fontId="146" fillId="0" borderId="1" xfId="8" applyNumberFormat="1" applyFont="1" applyFill="1" applyBorder="1" applyAlignment="1">
      <alignment horizontal="center" vertical="center" wrapText="1"/>
    </xf>
    <xf numFmtId="0" fontId="93" fillId="0" borderId="1" xfId="8" applyFill="1" applyBorder="1" applyAlignment="1">
      <alignment horizontal="center" vertical="center"/>
    </xf>
    <xf numFmtId="179" fontId="146" fillId="0" borderId="1" xfId="8" applyNumberFormat="1" applyFont="1" applyBorder="1" applyAlignment="1">
      <alignment horizontal="center" vertical="center" wrapText="1"/>
    </xf>
    <xf numFmtId="0" fontId="93" fillId="6" borderId="1" xfId="8" applyFont="1" applyFill="1" applyBorder="1" applyAlignment="1">
      <alignment horizontal="center" vertical="center"/>
    </xf>
    <xf numFmtId="0" fontId="155" fillId="0" borderId="0" xfId="8" applyFont="1" applyAlignment="1">
      <alignment horizontal="center" vertical="center"/>
    </xf>
    <xf numFmtId="0" fontId="94" fillId="6" borderId="65" xfId="8" applyFont="1" applyFill="1" applyBorder="1" applyAlignment="1">
      <alignment vertical="center"/>
    </xf>
    <xf numFmtId="0" fontId="94" fillId="0" borderId="0" xfId="8" applyFont="1" applyAlignment="1">
      <alignment horizontal="center" vertical="center"/>
    </xf>
    <xf numFmtId="0" fontId="258" fillId="0" borderId="1" xfId="8" applyFont="1" applyBorder="1" applyAlignment="1">
      <alignment horizontal="center" vertical="center" wrapText="1"/>
    </xf>
    <xf numFmtId="9" fontId="258" fillId="0" borderId="1" xfId="8" applyNumberFormat="1" applyFont="1" applyBorder="1" applyAlignment="1">
      <alignment horizontal="center" vertical="center" wrapText="1"/>
    </xf>
    <xf numFmtId="179" fontId="258" fillId="0" borderId="1" xfId="8" applyNumberFormat="1" applyFont="1" applyBorder="1" applyAlignment="1">
      <alignment horizontal="center" vertical="center" wrapText="1"/>
    </xf>
    <xf numFmtId="0" fontId="42" fillId="5" borderId="1" xfId="0" applyFont="1" applyFill="1" applyBorder="1" applyAlignment="1" applyProtection="1">
      <alignment horizontal="center" vertical="top"/>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178" fontId="258" fillId="0" borderId="2" xfId="8" applyNumberFormat="1" applyFont="1" applyFill="1" applyBorder="1" applyAlignment="1">
      <alignment horizontal="center" vertical="center" wrapText="1"/>
    </xf>
    <xf numFmtId="0" fontId="155" fillId="0" borderId="3" xfId="0" applyFont="1" applyBorder="1">
      <alignment vertical="center"/>
    </xf>
    <xf numFmtId="178" fontId="258" fillId="0" borderId="3" xfId="8" applyNumberFormat="1" applyFont="1" applyFill="1" applyBorder="1" applyAlignment="1">
      <alignment horizontal="center" vertical="center" wrapText="1"/>
    </xf>
    <xf numFmtId="0" fontId="93" fillId="0" borderId="65" xfId="8" applyFont="1" applyBorder="1" applyAlignment="1">
      <alignment horizontal="center" vertical="center"/>
    </xf>
    <xf numFmtId="0" fontId="93" fillId="0" borderId="65" xfId="8" applyBorder="1" applyAlignment="1">
      <alignment horizontal="center" vertical="center"/>
    </xf>
    <xf numFmtId="58" fontId="93" fillId="0" borderId="2" xfId="8" applyNumberFormat="1" applyFont="1" applyBorder="1" applyAlignment="1">
      <alignment horizontal="center" vertical="center"/>
    </xf>
    <xf numFmtId="58" fontId="93" fillId="0" borderId="51" xfId="8" applyNumberFormat="1" applyBorder="1" applyAlignment="1">
      <alignment horizontal="center" vertical="center"/>
    </xf>
    <xf numFmtId="58" fontId="93" fillId="0" borderId="3" xfId="8" applyNumberFormat="1" applyBorder="1" applyAlignment="1">
      <alignment horizontal="center" vertical="center"/>
    </xf>
    <xf numFmtId="0" fontId="93" fillId="0" borderId="2" xfId="8" applyFont="1" applyBorder="1" applyAlignment="1">
      <alignment horizontal="center" vertical="center"/>
    </xf>
    <xf numFmtId="0" fontId="93" fillId="0" borderId="3" xfId="8" applyFont="1" applyBorder="1" applyAlignment="1">
      <alignment horizontal="center" vertical="center"/>
    </xf>
    <xf numFmtId="58" fontId="93" fillId="0" borderId="51" xfId="8" applyNumberFormat="1" applyFont="1" applyBorder="1" applyAlignment="1">
      <alignment horizontal="center" vertical="center"/>
    </xf>
    <xf numFmtId="58" fontId="93" fillId="0" borderId="3" xfId="8" applyNumberFormat="1" applyFont="1" applyBorder="1" applyAlignment="1">
      <alignment horizontal="center" vertical="center"/>
    </xf>
    <xf numFmtId="49" fontId="93" fillId="0" borderId="18" xfId="8" applyNumberFormat="1" applyFont="1" applyBorder="1" applyAlignment="1">
      <alignment horizontal="center" vertical="center"/>
    </xf>
    <xf numFmtId="49" fontId="93" fillId="0" borderId="49" xfId="8" applyNumberFormat="1" applyFont="1" applyBorder="1" applyAlignment="1">
      <alignment horizontal="center" vertical="center"/>
    </xf>
    <xf numFmtId="49" fontId="93" fillId="0" borderId="17" xfId="8" applyNumberFormat="1" applyFont="1" applyBorder="1" applyAlignment="1">
      <alignment horizontal="center" vertical="center"/>
    </xf>
    <xf numFmtId="0" fontId="93" fillId="0" borderId="51" xfId="8" applyBorder="1" applyAlignment="1">
      <alignment horizontal="center" vertical="center"/>
    </xf>
    <xf numFmtId="0" fontId="93" fillId="0" borderId="3" xfId="8" applyBorder="1" applyAlignment="1">
      <alignment horizontal="center" vertical="center"/>
    </xf>
    <xf numFmtId="0" fontId="93" fillId="0" borderId="51" xfId="8" applyFont="1" applyBorder="1" applyAlignment="1">
      <alignment horizontal="center" vertical="center"/>
    </xf>
    <xf numFmtId="0" fontId="93" fillId="0" borderId="2" xfId="8" applyBorder="1" applyAlignment="1">
      <alignment horizontal="center" vertical="center"/>
    </xf>
    <xf numFmtId="0" fontId="93" fillId="6" borderId="65" xfId="8" applyFont="1" applyFill="1" applyBorder="1" applyAlignment="1">
      <alignment horizontal="center"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78" fontId="146" fillId="0" borderId="2" xfId="8" applyNumberFormat="1" applyFont="1" applyFill="1" applyBorder="1" applyAlignment="1">
      <alignment horizontal="center" vertical="center" wrapText="1"/>
    </xf>
    <xf numFmtId="0" fontId="0" fillId="0" borderId="3" xfId="0" applyBorder="1">
      <alignment vertical="center"/>
    </xf>
    <xf numFmtId="178" fontId="146" fillId="0" borderId="3"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246" fillId="19"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1" fillId="0" borderId="1" xfId="8" applyFont="1" applyBorder="1" applyAlignment="1">
      <alignment horizontal="center" vertical="center" wrapText="1" shrinkToFit="1"/>
    </xf>
    <xf numFmtId="0" fontId="116" fillId="0" borderId="0" xfId="8" applyFont="1" applyFill="1" applyBorder="1" applyAlignment="1">
      <alignment horizontal="center" vertical="center" wrapText="1"/>
    </xf>
    <xf numFmtId="181"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1" xfId="8" applyFont="1" applyFill="1" applyBorder="1" applyAlignment="1">
      <alignment horizontal="left"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0" fontId="93" fillId="0" borderId="1" xfId="8" applyFont="1" applyBorder="1" applyAlignment="1">
      <alignment horizontal="center" vertical="center" wrapText="1"/>
    </xf>
    <xf numFmtId="10" fontId="111" fillId="0" borderId="1" xfId="8" applyNumberFormat="1" applyFont="1" applyFill="1" applyBorder="1" applyAlignment="1">
      <alignment horizontal="center" vertical="center" wrapText="1" shrinkToFit="1"/>
    </xf>
    <xf numFmtId="0" fontId="93" fillId="0" borderId="1" xfId="8" applyFont="1" applyBorder="1" applyAlignment="1">
      <alignment horizontal="center" vertical="center" wrapText="1" shrinkToFi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58" fillId="6" borderId="1" xfId="8" applyFont="1" applyFill="1" applyBorder="1" applyAlignment="1">
      <alignment horizontal="center" vertical="center" wrapText="1"/>
    </xf>
    <xf numFmtId="9" fontId="258" fillId="6" borderId="1" xfId="8" applyNumberFormat="1" applyFont="1" applyFill="1" applyBorder="1" applyAlignment="1">
      <alignment horizontal="center" vertical="center" wrapText="1"/>
    </xf>
    <xf numFmtId="178" fontId="258" fillId="6" borderId="2" xfId="8" applyNumberFormat="1" applyFont="1" applyFill="1" applyBorder="1" applyAlignment="1">
      <alignment horizontal="center" vertical="center" wrapText="1"/>
    </xf>
    <xf numFmtId="0" fontId="155" fillId="6" borderId="3" xfId="0" applyFont="1" applyFill="1" applyBorder="1">
      <alignment vertical="center"/>
    </xf>
    <xf numFmtId="179" fontId="93" fillId="0" borderId="1" xfId="8" applyNumberFormat="1" applyBorder="1" applyAlignment="1">
      <alignment horizontal="center" vertical="center"/>
    </xf>
    <xf numFmtId="0" fontId="93" fillId="0" borderId="1" xfId="8" applyBorder="1" applyAlignment="1">
      <alignment horizontal="center" vertical="center"/>
    </xf>
    <xf numFmtId="0" fontId="251" fillId="0" borderId="1" xfId="0" applyNumberFormat="1" applyFont="1" applyBorder="1" applyAlignment="1" applyProtection="1">
      <alignment horizontal="left" vertical="center" wrapText="1" shrinkToFit="1"/>
      <protection locked="0"/>
    </xf>
    <xf numFmtId="49" fontId="251" fillId="0" borderId="1" xfId="0" applyNumberFormat="1" applyFont="1" applyBorder="1" applyAlignment="1" applyProtection="1">
      <alignment horizontal="center" vertical="center" wrapText="1" shrinkToFit="1"/>
      <protection locked="0"/>
    </xf>
    <xf numFmtId="0" fontId="0" fillId="0" borderId="0" xfId="0" applyAlignment="1" applyProtection="1">
      <alignment horizontal="center"/>
      <protection locked="0"/>
    </xf>
    <xf numFmtId="0" fontId="108" fillId="0" borderId="0" xfId="0" applyFont="1" applyAlignment="1" applyProtection="1">
      <alignment wrapText="1"/>
      <protection locked="0"/>
    </xf>
    <xf numFmtId="0" fontId="108" fillId="0" borderId="0" xfId="0" applyFont="1" applyFill="1" applyAlignment="1" applyProtection="1">
      <alignment wrapText="1"/>
      <protection locked="0"/>
    </xf>
    <xf numFmtId="0" fontId="243" fillId="0" borderId="0" xfId="0" applyFont="1" applyFill="1" applyAlignment="1" applyProtection="1">
      <alignment horizontal="center" vertical="center"/>
      <protection locked="0"/>
    </xf>
    <xf numFmtId="49" fontId="251" fillId="0" borderId="1" xfId="0" applyNumberFormat="1" applyFont="1" applyFill="1" applyBorder="1" applyAlignment="1" applyProtection="1">
      <alignment horizontal="center" vertical="center" wrapText="1" shrinkToFit="1"/>
      <protection locked="0"/>
    </xf>
    <xf numFmtId="9" fontId="254" fillId="0" borderId="1" xfId="0" applyNumberFormat="1" applyFont="1" applyFill="1" applyBorder="1" applyAlignment="1" applyProtection="1">
      <alignment horizontal="center" vertical="center" wrapText="1"/>
      <protection locked="0"/>
    </xf>
    <xf numFmtId="0" fontId="251" fillId="0" borderId="18" xfId="0" applyNumberFormat="1" applyFont="1" applyBorder="1" applyAlignment="1" applyProtection="1">
      <alignment horizontal="left" vertical="center" wrapText="1" shrinkToFit="1"/>
      <protection locked="0"/>
    </xf>
    <xf numFmtId="9" fontId="253" fillId="20" borderId="18" xfId="0" applyNumberFormat="1" applyFont="1" applyFill="1" applyBorder="1" applyAlignment="1" applyProtection="1">
      <alignment horizontal="center" vertical="center" wrapText="1"/>
      <protection locked="0"/>
    </xf>
    <xf numFmtId="49" fontId="253" fillId="0" borderId="2" xfId="0" applyNumberFormat="1" applyFont="1" applyFill="1" applyBorder="1" applyAlignment="1" applyProtection="1">
      <alignment horizontal="center" vertical="center" wrapText="1"/>
      <protection locked="0"/>
    </xf>
    <xf numFmtId="49" fontId="253" fillId="0" borderId="51" xfId="0" applyNumberFormat="1" applyFont="1" applyFill="1" applyBorder="1" applyAlignment="1" applyProtection="1">
      <alignment horizontal="center" vertical="center" wrapText="1"/>
      <protection locked="0"/>
    </xf>
    <xf numFmtId="49" fontId="253"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5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28">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5" Type="http://schemas.openxmlformats.org/officeDocument/2006/relationships/image" Target="../media/image3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153865</xdr:colOff>
      <xdr:row>44</xdr:row>
      <xdr:rowOff>102576</xdr:rowOff>
    </xdr:from>
    <xdr:to>
      <xdr:col>9</xdr:col>
      <xdr:colOff>213213</xdr:colOff>
      <xdr:row>70</xdr:row>
      <xdr:rowOff>21247</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53865" y="9019441"/>
          <a:ext cx="7261713" cy="45053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13</xdr:col>
      <xdr:colOff>171450</xdr:colOff>
      <xdr:row>20</xdr:row>
      <xdr:rowOff>57150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86850" cy="211455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0</xdr:rowOff>
    </xdr:from>
    <xdr:to>
      <xdr:col>12</xdr:col>
      <xdr:colOff>590550</xdr:colOff>
      <xdr:row>32</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228850"/>
          <a:ext cx="8820150" cy="1905000"/>
        </a:xfrm>
        <a:prstGeom prst="rect">
          <a:avLst/>
        </a:prstGeom>
        <a:noFill/>
        <a:ln w="1">
          <a:noFill/>
          <a:miter lim="800000"/>
          <a:headEnd/>
          <a:tailEnd type="none" w="med" len="med"/>
        </a:ln>
        <a:effectLst/>
      </xdr:spPr>
    </xdr:pic>
    <xdr:clientData/>
  </xdr:twoCellAnchor>
  <xdr:twoCellAnchor editAs="oneCell">
    <xdr:from>
      <xdr:col>0</xdr:col>
      <xdr:colOff>0</xdr:colOff>
      <xdr:row>33</xdr:row>
      <xdr:rowOff>0</xdr:rowOff>
    </xdr:from>
    <xdr:to>
      <xdr:col>12</xdr:col>
      <xdr:colOff>600075</xdr:colOff>
      <xdr:row>43</xdr:row>
      <xdr:rowOff>76200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286250"/>
          <a:ext cx="8829675" cy="179070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13</xdr:col>
      <xdr:colOff>57150</xdr:colOff>
      <xdr:row>68</xdr:row>
      <xdr:rowOff>47625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172200"/>
          <a:ext cx="8972550" cy="4162425"/>
        </a:xfrm>
        <a:prstGeom prst="rect">
          <a:avLst/>
        </a:prstGeom>
        <a:noFill/>
        <a:ln w="1">
          <a:noFill/>
          <a:miter lim="800000"/>
          <a:headEnd/>
          <a:tailEnd type="none" w="med" len="med"/>
        </a:ln>
        <a:effectLst/>
      </xdr:spPr>
    </xdr:pic>
    <xdr:clientData/>
  </xdr:twoCellAnchor>
  <xdr:twoCellAnchor editAs="oneCell">
    <xdr:from>
      <xdr:col>0</xdr:col>
      <xdr:colOff>0</xdr:colOff>
      <xdr:row>69</xdr:row>
      <xdr:rowOff>0</xdr:rowOff>
    </xdr:from>
    <xdr:to>
      <xdr:col>13</xdr:col>
      <xdr:colOff>200025</xdr:colOff>
      <xdr:row>80</xdr:row>
      <xdr:rowOff>38100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0458450"/>
          <a:ext cx="9115425" cy="1924050"/>
        </a:xfrm>
        <a:prstGeom prst="rect">
          <a:avLst/>
        </a:prstGeom>
        <a:noFill/>
        <a:ln w="1">
          <a:noFill/>
          <a:miter lim="800000"/>
          <a:headEnd/>
          <a:tailEnd type="none" w="med" len="med"/>
        </a:ln>
        <a:effectLst/>
      </xdr:spPr>
    </xdr:pic>
    <xdr:clientData/>
  </xdr:twoCellAnchor>
  <xdr:twoCellAnchor editAs="oneCell">
    <xdr:from>
      <xdr:col>0</xdr:col>
      <xdr:colOff>0</xdr:colOff>
      <xdr:row>81</xdr:row>
      <xdr:rowOff>0</xdr:rowOff>
    </xdr:from>
    <xdr:to>
      <xdr:col>13</xdr:col>
      <xdr:colOff>76200</xdr:colOff>
      <xdr:row>106</xdr:row>
      <xdr:rowOff>66675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2515850"/>
          <a:ext cx="8991600" cy="4352925"/>
        </a:xfrm>
        <a:prstGeom prst="rect">
          <a:avLst/>
        </a:prstGeom>
        <a:noFill/>
        <a:ln w="1">
          <a:noFill/>
          <a:miter lim="800000"/>
          <a:headEnd/>
          <a:tailEnd type="none" w="med" len="med"/>
        </a:ln>
        <a:effectLst/>
      </xdr:spPr>
    </xdr:pic>
    <xdr:clientData/>
  </xdr:twoCellAnchor>
  <xdr:twoCellAnchor editAs="oneCell">
    <xdr:from>
      <xdr:col>0</xdr:col>
      <xdr:colOff>0</xdr:colOff>
      <xdr:row>107</xdr:row>
      <xdr:rowOff>0</xdr:rowOff>
    </xdr:from>
    <xdr:to>
      <xdr:col>13</xdr:col>
      <xdr:colOff>133350</xdr:colOff>
      <xdr:row>119</xdr:row>
      <xdr:rowOff>85725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6973550"/>
          <a:ext cx="9048750" cy="2143125"/>
        </a:xfrm>
        <a:prstGeom prst="rect">
          <a:avLst/>
        </a:prstGeom>
        <a:noFill/>
        <a:ln w="1">
          <a:noFill/>
          <a:miter lim="800000"/>
          <a:headEnd/>
          <a:tailEnd type="none" w="med" len="med"/>
        </a:ln>
        <a:effectLst/>
      </xdr:spPr>
    </xdr:pic>
    <xdr:clientData/>
  </xdr:twoCellAnchor>
  <xdr:twoCellAnchor editAs="oneCell">
    <xdr:from>
      <xdr:col>0</xdr:col>
      <xdr:colOff>0</xdr:colOff>
      <xdr:row>120</xdr:row>
      <xdr:rowOff>0</xdr:rowOff>
    </xdr:from>
    <xdr:to>
      <xdr:col>13</xdr:col>
      <xdr:colOff>104775</xdr:colOff>
      <xdr:row>132</xdr:row>
      <xdr:rowOff>66675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9202400"/>
          <a:ext cx="9020175" cy="2124075"/>
        </a:xfrm>
        <a:prstGeom prst="rect">
          <a:avLst/>
        </a:prstGeom>
        <a:noFill/>
        <a:ln w="1">
          <a:noFill/>
          <a:miter lim="800000"/>
          <a:headEnd/>
          <a:tailEnd type="none" w="med" len="med"/>
        </a:ln>
        <a:effectLst/>
      </xdr:spPr>
    </xdr:pic>
    <xdr:clientData/>
  </xdr:twoCellAnchor>
  <xdr:twoCellAnchor editAs="oneCell">
    <xdr:from>
      <xdr:col>0</xdr:col>
      <xdr:colOff>0</xdr:colOff>
      <xdr:row>133</xdr:row>
      <xdr:rowOff>0</xdr:rowOff>
    </xdr:from>
    <xdr:to>
      <xdr:col>13</xdr:col>
      <xdr:colOff>57150</xdr:colOff>
      <xdr:row>143</xdr:row>
      <xdr:rowOff>152400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1431250"/>
          <a:ext cx="8972550" cy="1866900"/>
        </a:xfrm>
        <a:prstGeom prst="rect">
          <a:avLst/>
        </a:prstGeom>
        <a:noFill/>
        <a:ln w="1">
          <a:noFill/>
          <a:miter lim="800000"/>
          <a:headEnd/>
          <a:tailEnd type="none" w="med" len="med"/>
        </a:ln>
        <a:effectLst/>
      </xdr:spPr>
    </xdr:pic>
    <xdr:clientData/>
  </xdr:twoCellAnchor>
  <xdr:twoCellAnchor editAs="oneCell">
    <xdr:from>
      <xdr:col>0</xdr:col>
      <xdr:colOff>0</xdr:colOff>
      <xdr:row>145</xdr:row>
      <xdr:rowOff>0</xdr:rowOff>
    </xdr:from>
    <xdr:to>
      <xdr:col>13</xdr:col>
      <xdr:colOff>76200</xdr:colOff>
      <xdr:row>155</xdr:row>
      <xdr:rowOff>142875</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3488650"/>
          <a:ext cx="8991600" cy="1857375"/>
        </a:xfrm>
        <a:prstGeom prst="rect">
          <a:avLst/>
        </a:prstGeom>
        <a:noFill/>
        <a:ln w="1">
          <a:noFill/>
          <a:miter lim="800000"/>
          <a:headEnd/>
          <a:tailEnd type="none" w="med" len="med"/>
        </a:ln>
        <a:effectLst/>
      </xdr:spPr>
    </xdr:pic>
    <xdr:clientData/>
  </xdr:twoCellAnchor>
  <xdr:twoCellAnchor editAs="oneCell">
    <xdr:from>
      <xdr:col>0</xdr:col>
      <xdr:colOff>0</xdr:colOff>
      <xdr:row>157</xdr:row>
      <xdr:rowOff>0</xdr:rowOff>
    </xdr:from>
    <xdr:to>
      <xdr:col>13</xdr:col>
      <xdr:colOff>152400</xdr:colOff>
      <xdr:row>168</xdr:row>
      <xdr:rowOff>57150</xdr:rowOff>
    </xdr:to>
    <xdr:pic>
      <xdr:nvPicPr>
        <xdr:cNvPr id="64523"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5546050"/>
          <a:ext cx="9067800" cy="1943100"/>
        </a:xfrm>
        <a:prstGeom prst="rect">
          <a:avLst/>
        </a:prstGeom>
        <a:noFill/>
        <a:ln w="1">
          <a:noFill/>
          <a:miter lim="800000"/>
          <a:headEnd/>
          <a:tailEnd type="none" w="med" len="med"/>
        </a:ln>
        <a:effectLst/>
      </xdr:spPr>
    </xdr:pic>
    <xdr:clientData/>
  </xdr:twoCellAnchor>
  <xdr:twoCellAnchor editAs="oneCell">
    <xdr:from>
      <xdr:col>15</xdr:col>
      <xdr:colOff>0</xdr:colOff>
      <xdr:row>84</xdr:row>
      <xdr:rowOff>0</xdr:rowOff>
    </xdr:from>
    <xdr:to>
      <xdr:col>30</xdr:col>
      <xdr:colOff>457200</xdr:colOff>
      <xdr:row>93</xdr:row>
      <xdr:rowOff>28575</xdr:rowOff>
    </xdr:to>
    <xdr:pic>
      <xdr:nvPicPr>
        <xdr:cNvPr id="2"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287000" y="13030200"/>
          <a:ext cx="10744200" cy="1571625"/>
        </a:xfrm>
        <a:prstGeom prst="rect">
          <a:avLst/>
        </a:prstGeom>
        <a:noFill/>
        <a:ln w="1">
          <a:noFill/>
          <a:miter lim="800000"/>
          <a:headEnd/>
          <a:tailEnd type="none" w="med" len="med"/>
        </a:ln>
        <a:effectLst/>
      </xdr:spPr>
    </xdr:pic>
    <xdr:clientData/>
  </xdr:twoCellAnchor>
  <xdr:twoCellAnchor editAs="oneCell">
    <xdr:from>
      <xdr:col>14</xdr:col>
      <xdr:colOff>200025</xdr:colOff>
      <xdr:row>61</xdr:row>
      <xdr:rowOff>104775</xdr:rowOff>
    </xdr:from>
    <xdr:to>
      <xdr:col>30</xdr:col>
      <xdr:colOff>314325</xdr:colOff>
      <xdr:row>70</xdr:row>
      <xdr:rowOff>114300</xdr:rowOff>
    </xdr:to>
    <xdr:pic>
      <xdr:nvPicPr>
        <xdr:cNvPr id="3" name="Picture 2"/>
        <xdr:cNvPicPr>
          <a:picLocks noChangeAspect="1" noChangeArrowheads="1"/>
        </xdr:cNvPicPr>
      </xdr:nvPicPr>
      <xdr:blipFill>
        <a:blip xmlns:r="http://schemas.openxmlformats.org/officeDocument/2006/relationships" r:embed="rId13" cstate="print"/>
        <a:srcRect/>
        <a:stretch>
          <a:fillRect/>
        </a:stretch>
      </xdr:blipFill>
      <xdr:spPr bwMode="auto">
        <a:xfrm>
          <a:off x="9801225" y="10410825"/>
          <a:ext cx="10725150" cy="1552575"/>
        </a:xfrm>
        <a:prstGeom prst="rect">
          <a:avLst/>
        </a:prstGeom>
        <a:noFill/>
        <a:ln w="1">
          <a:noFill/>
          <a:miter lim="800000"/>
          <a:headEnd/>
          <a:tailEnd type="none" w="med" len="med"/>
        </a:ln>
        <a:effectLst/>
      </xdr:spPr>
    </xdr:pic>
    <xdr:clientData/>
  </xdr:twoCellAnchor>
  <xdr:twoCellAnchor editAs="oneCell">
    <xdr:from>
      <xdr:col>14</xdr:col>
      <xdr:colOff>38100</xdr:colOff>
      <xdr:row>74</xdr:row>
      <xdr:rowOff>153523</xdr:rowOff>
    </xdr:from>
    <xdr:to>
      <xdr:col>20</xdr:col>
      <xdr:colOff>542925</xdr:colOff>
      <xdr:row>83</xdr:row>
      <xdr:rowOff>161924</xdr:rowOff>
    </xdr:to>
    <xdr:pic>
      <xdr:nvPicPr>
        <xdr:cNvPr id="4" name="Picture 3"/>
        <xdr:cNvPicPr>
          <a:picLocks noChangeAspect="1" noChangeArrowheads="1"/>
        </xdr:cNvPicPr>
      </xdr:nvPicPr>
      <xdr:blipFill>
        <a:blip xmlns:r="http://schemas.openxmlformats.org/officeDocument/2006/relationships" r:embed="rId14" cstate="print"/>
        <a:srcRect/>
        <a:stretch>
          <a:fillRect/>
        </a:stretch>
      </xdr:blipFill>
      <xdr:spPr bwMode="auto">
        <a:xfrm>
          <a:off x="9639300" y="12688423"/>
          <a:ext cx="4257675" cy="1551451"/>
        </a:xfrm>
        <a:prstGeom prst="rect">
          <a:avLst/>
        </a:prstGeom>
        <a:noFill/>
        <a:ln w="1">
          <a:noFill/>
          <a:miter lim="800000"/>
          <a:headEnd/>
          <a:tailEnd type="none" w="med" len="med"/>
        </a:ln>
        <a:effectLst/>
      </xdr:spPr>
    </xdr:pic>
    <xdr:clientData/>
  </xdr:twoCellAnchor>
  <xdr:twoCellAnchor editAs="oneCell">
    <xdr:from>
      <xdr:col>14</xdr:col>
      <xdr:colOff>114299</xdr:colOff>
      <xdr:row>92</xdr:row>
      <xdr:rowOff>28576</xdr:rowOff>
    </xdr:from>
    <xdr:to>
      <xdr:col>26</xdr:col>
      <xdr:colOff>447674</xdr:colOff>
      <xdr:row>123</xdr:row>
      <xdr:rowOff>48520</xdr:rowOff>
    </xdr:to>
    <xdr:pic>
      <xdr:nvPicPr>
        <xdr:cNvPr id="5" name="Picture 4"/>
        <xdr:cNvPicPr>
          <a:picLocks noChangeAspect="1" noChangeArrowheads="1"/>
        </xdr:cNvPicPr>
      </xdr:nvPicPr>
      <xdr:blipFill>
        <a:blip xmlns:r="http://schemas.openxmlformats.org/officeDocument/2006/relationships" r:embed="rId15" cstate="print"/>
        <a:srcRect/>
        <a:stretch>
          <a:fillRect/>
        </a:stretch>
      </xdr:blipFill>
      <xdr:spPr bwMode="auto">
        <a:xfrm>
          <a:off x="9715499" y="15649576"/>
          <a:ext cx="8201025" cy="5334894"/>
        </a:xfrm>
        <a:prstGeom prst="rect">
          <a:avLst/>
        </a:prstGeom>
        <a:noFill/>
        <a:ln w="1">
          <a:noFill/>
          <a:miter lim="800000"/>
          <a:headEnd/>
          <a:tailEnd type="none" w="med" len="med"/>
        </a:ln>
        <a:effectLst/>
      </xdr:spPr>
    </xdr:pic>
    <xdr:clientData/>
  </xdr:twoCellAnchor>
  <xdr:twoCellAnchor editAs="oneCell">
    <xdr:from>
      <xdr:col>13</xdr:col>
      <xdr:colOff>495300</xdr:colOff>
      <xdr:row>31</xdr:row>
      <xdr:rowOff>118153</xdr:rowOff>
    </xdr:from>
    <xdr:to>
      <xdr:col>24</xdr:col>
      <xdr:colOff>247650</xdr:colOff>
      <xdr:row>61</xdr:row>
      <xdr:rowOff>0</xdr:rowOff>
    </xdr:to>
    <xdr:pic>
      <xdr:nvPicPr>
        <xdr:cNvPr id="6" name="Picture 5"/>
        <xdr:cNvPicPr>
          <a:picLocks noChangeAspect="1" noChangeArrowheads="1"/>
        </xdr:cNvPicPr>
      </xdr:nvPicPr>
      <xdr:blipFill>
        <a:blip xmlns:r="http://schemas.openxmlformats.org/officeDocument/2006/relationships" r:embed="rId16" cstate="print"/>
        <a:srcRect/>
        <a:stretch>
          <a:fillRect/>
        </a:stretch>
      </xdr:blipFill>
      <xdr:spPr bwMode="auto">
        <a:xfrm>
          <a:off x="9410700" y="5280703"/>
          <a:ext cx="6934200" cy="5025347"/>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371475</xdr:colOff>
      <xdr:row>11</xdr:row>
      <xdr:rowOff>28575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86875" cy="1914525"/>
        </a:xfrm>
        <a:prstGeom prst="rect">
          <a:avLst/>
        </a:prstGeom>
        <a:noFill/>
        <a:ln w="1">
          <a:noFill/>
          <a:miter lim="800000"/>
          <a:headEnd/>
          <a:tailEnd type="none" w="med" len="med"/>
        </a:ln>
        <a:effectLst/>
      </xdr:spPr>
    </xdr:pic>
    <xdr:clientData/>
  </xdr:twoCellAnchor>
  <xdr:twoCellAnchor editAs="oneCell">
    <xdr:from>
      <xdr:col>0</xdr:col>
      <xdr:colOff>0</xdr:colOff>
      <xdr:row>12</xdr:row>
      <xdr:rowOff>0</xdr:rowOff>
    </xdr:from>
    <xdr:to>
      <xdr:col>13</xdr:col>
      <xdr:colOff>38100</xdr:colOff>
      <xdr:row>23</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057400"/>
          <a:ext cx="8953500" cy="1885950"/>
        </a:xfrm>
        <a:prstGeom prst="rect">
          <a:avLst/>
        </a:prstGeom>
        <a:noFill/>
        <a:ln w="1">
          <a:noFill/>
          <a:miter lim="800000"/>
          <a:headEnd/>
          <a:tailEnd type="none" w="med" len="med"/>
        </a:ln>
        <a:effectLst/>
      </xdr:spPr>
    </xdr:pic>
    <xdr:clientData/>
  </xdr:twoCellAnchor>
  <xdr:twoCellAnchor editAs="oneCell">
    <xdr:from>
      <xdr:col>0</xdr:col>
      <xdr:colOff>0</xdr:colOff>
      <xdr:row>24</xdr:row>
      <xdr:rowOff>0</xdr:rowOff>
    </xdr:from>
    <xdr:to>
      <xdr:col>13</xdr:col>
      <xdr:colOff>104775</xdr:colOff>
      <xdr:row>34</xdr:row>
      <xdr:rowOff>28575</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114800"/>
          <a:ext cx="9020175" cy="1743075"/>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9525</xdr:rowOff>
    </xdr:from>
    <xdr:to>
      <xdr:col>13</xdr:col>
      <xdr:colOff>352425</xdr:colOff>
      <xdr:row>46</xdr:row>
      <xdr:rowOff>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6010275"/>
          <a:ext cx="9267825" cy="1876425"/>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13</xdr:col>
      <xdr:colOff>257175</xdr:colOff>
      <xdr:row>57</xdr:row>
      <xdr:rowOff>133350</xdr:rowOff>
    </xdr:to>
    <xdr:pic>
      <xdr:nvPicPr>
        <xdr:cNvPr id="65541"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058150"/>
          <a:ext cx="9172575" cy="1847850"/>
        </a:xfrm>
        <a:prstGeom prst="rect">
          <a:avLst/>
        </a:prstGeom>
        <a:noFill/>
        <a:ln w="1">
          <a:noFill/>
          <a:miter lim="800000"/>
          <a:headEnd/>
          <a:tailEnd type="none" w="med" len="med"/>
        </a:ln>
        <a:effectLst/>
      </xdr:spPr>
    </xdr:pic>
    <xdr:clientData/>
  </xdr:twoCellAnchor>
  <xdr:twoCellAnchor editAs="oneCell">
    <xdr:from>
      <xdr:col>0</xdr:col>
      <xdr:colOff>0</xdr:colOff>
      <xdr:row>59</xdr:row>
      <xdr:rowOff>0</xdr:rowOff>
    </xdr:from>
    <xdr:to>
      <xdr:col>13</xdr:col>
      <xdr:colOff>266700</xdr:colOff>
      <xdr:row>84</xdr:row>
      <xdr:rowOff>57150</xdr:rowOff>
    </xdr:to>
    <xdr:pic>
      <xdr:nvPicPr>
        <xdr:cNvPr id="65542"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0" y="10115550"/>
          <a:ext cx="9182100" cy="4343400"/>
        </a:xfrm>
        <a:prstGeom prst="rect">
          <a:avLst/>
        </a:prstGeom>
        <a:noFill/>
        <a:ln w="1">
          <a:noFill/>
          <a:miter lim="800000"/>
          <a:headEnd/>
          <a:tailEnd type="none" w="med" len="med"/>
        </a:ln>
        <a:effectLst/>
      </xdr:spPr>
    </xdr:pic>
    <xdr:clientData/>
  </xdr:twoCellAnchor>
  <xdr:twoCellAnchor editAs="oneCell">
    <xdr:from>
      <xdr:col>0</xdr:col>
      <xdr:colOff>0</xdr:colOff>
      <xdr:row>85</xdr:row>
      <xdr:rowOff>0</xdr:rowOff>
    </xdr:from>
    <xdr:to>
      <xdr:col>13</xdr:col>
      <xdr:colOff>171450</xdr:colOff>
      <xdr:row>109</xdr:row>
      <xdr:rowOff>123825</xdr:rowOff>
    </xdr:to>
    <xdr:pic>
      <xdr:nvPicPr>
        <xdr:cNvPr id="65543"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14573250"/>
          <a:ext cx="9086850" cy="4238625"/>
        </a:xfrm>
        <a:prstGeom prst="rect">
          <a:avLst/>
        </a:prstGeom>
        <a:noFill/>
        <a:ln w="1">
          <a:noFill/>
          <a:miter lim="800000"/>
          <a:headEnd/>
          <a:tailEnd type="none" w="med" len="med"/>
        </a:ln>
        <a:effectLst/>
      </xdr:spPr>
    </xdr:pic>
    <xdr:clientData/>
  </xdr:twoCellAnchor>
  <xdr:twoCellAnchor editAs="oneCell">
    <xdr:from>
      <xdr:col>0</xdr:col>
      <xdr:colOff>0</xdr:colOff>
      <xdr:row>110</xdr:row>
      <xdr:rowOff>0</xdr:rowOff>
    </xdr:from>
    <xdr:to>
      <xdr:col>13</xdr:col>
      <xdr:colOff>0</xdr:colOff>
      <xdr:row>120</xdr:row>
      <xdr:rowOff>85725</xdr:rowOff>
    </xdr:to>
    <xdr:pic>
      <xdr:nvPicPr>
        <xdr:cNvPr id="65544"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18859500"/>
          <a:ext cx="8915400" cy="1800225"/>
        </a:xfrm>
        <a:prstGeom prst="rect">
          <a:avLst/>
        </a:prstGeom>
        <a:noFill/>
        <a:ln w="1">
          <a:noFill/>
          <a:miter lim="800000"/>
          <a:headEnd/>
          <a:tailEnd type="none" w="med" len="med"/>
        </a:ln>
        <a:effectLst/>
      </xdr:spPr>
    </xdr:pic>
    <xdr:clientData/>
  </xdr:twoCellAnchor>
  <xdr:twoCellAnchor editAs="oneCell">
    <xdr:from>
      <xdr:col>0</xdr:col>
      <xdr:colOff>0</xdr:colOff>
      <xdr:row>121</xdr:row>
      <xdr:rowOff>0</xdr:rowOff>
    </xdr:from>
    <xdr:to>
      <xdr:col>13</xdr:col>
      <xdr:colOff>66675</xdr:colOff>
      <xdr:row>146</xdr:row>
      <xdr:rowOff>9525</xdr:rowOff>
    </xdr:to>
    <xdr:pic>
      <xdr:nvPicPr>
        <xdr:cNvPr id="65545"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0" y="20745450"/>
          <a:ext cx="8982075" cy="4295775"/>
        </a:xfrm>
        <a:prstGeom prst="rect">
          <a:avLst/>
        </a:prstGeom>
        <a:noFill/>
        <a:ln w="1">
          <a:noFill/>
          <a:miter lim="800000"/>
          <a:headEnd/>
          <a:tailEnd type="none" w="med" len="med"/>
        </a:ln>
        <a:effectLst/>
      </xdr:spPr>
    </xdr:pic>
    <xdr:clientData/>
  </xdr:twoCellAnchor>
  <xdr:twoCellAnchor editAs="oneCell">
    <xdr:from>
      <xdr:col>0</xdr:col>
      <xdr:colOff>0</xdr:colOff>
      <xdr:row>146</xdr:row>
      <xdr:rowOff>0</xdr:rowOff>
    </xdr:from>
    <xdr:to>
      <xdr:col>13</xdr:col>
      <xdr:colOff>190500</xdr:colOff>
      <xdr:row>157</xdr:row>
      <xdr:rowOff>133350</xdr:rowOff>
    </xdr:to>
    <xdr:pic>
      <xdr:nvPicPr>
        <xdr:cNvPr id="65546"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0" y="25031700"/>
          <a:ext cx="9105900" cy="2019300"/>
        </a:xfrm>
        <a:prstGeom prst="rect">
          <a:avLst/>
        </a:prstGeom>
        <a:noFill/>
        <a:ln w="1">
          <a:noFill/>
          <a:miter lim="800000"/>
          <a:headEnd/>
          <a:tailEnd type="none" w="med" len="med"/>
        </a:ln>
        <a:effectLst/>
      </xdr:spPr>
    </xdr:pic>
    <xdr:clientData/>
  </xdr:twoCellAnchor>
  <xdr:twoCellAnchor editAs="oneCell">
    <xdr:from>
      <xdr:col>0</xdr:col>
      <xdr:colOff>0</xdr:colOff>
      <xdr:row>158</xdr:row>
      <xdr:rowOff>0</xdr:rowOff>
    </xdr:from>
    <xdr:to>
      <xdr:col>13</xdr:col>
      <xdr:colOff>438150</xdr:colOff>
      <xdr:row>182</xdr:row>
      <xdr:rowOff>152400</xdr:rowOff>
    </xdr:to>
    <xdr:pic>
      <xdr:nvPicPr>
        <xdr:cNvPr id="65547"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0" y="27089100"/>
          <a:ext cx="9353550" cy="4267200"/>
        </a:xfrm>
        <a:prstGeom prst="rect">
          <a:avLst/>
        </a:prstGeom>
        <a:noFill/>
        <a:ln w="1">
          <a:noFill/>
          <a:miter lim="800000"/>
          <a:headEnd/>
          <a:tailEnd type="none" w="med" len="med"/>
        </a:ln>
        <a:effectLst/>
      </xdr:spPr>
    </xdr:pic>
    <xdr:clientData/>
  </xdr:twoCellAnchor>
  <xdr:twoCellAnchor editAs="oneCell">
    <xdr:from>
      <xdr:col>15</xdr:col>
      <xdr:colOff>333375</xdr:colOff>
      <xdr:row>32</xdr:row>
      <xdr:rowOff>38100</xdr:rowOff>
    </xdr:from>
    <xdr:to>
      <xdr:col>27</xdr:col>
      <xdr:colOff>443931</xdr:colOff>
      <xdr:row>64</xdr:row>
      <xdr:rowOff>114299</xdr:rowOff>
    </xdr:to>
    <xdr:pic>
      <xdr:nvPicPr>
        <xdr:cNvPr id="13" name="Picture 1"/>
        <xdr:cNvPicPr>
          <a:picLocks noChangeAspect="1" noChangeArrowheads="1"/>
        </xdr:cNvPicPr>
      </xdr:nvPicPr>
      <xdr:blipFill>
        <a:blip xmlns:r="http://schemas.openxmlformats.org/officeDocument/2006/relationships" r:embed="rId12" cstate="print"/>
        <a:srcRect/>
        <a:stretch>
          <a:fillRect/>
        </a:stretch>
      </xdr:blipFill>
      <xdr:spPr bwMode="auto">
        <a:xfrm>
          <a:off x="10620375" y="5524500"/>
          <a:ext cx="8340156" cy="5562599"/>
        </a:xfrm>
        <a:prstGeom prst="rect">
          <a:avLst/>
        </a:prstGeom>
        <a:noFill/>
        <a:ln w="1">
          <a:noFill/>
          <a:miter lim="800000"/>
          <a:headEnd/>
          <a:tailEnd type="none" w="med" len="med"/>
        </a:ln>
        <a:effectLst/>
      </xdr:spPr>
    </xdr:pic>
    <xdr:clientData/>
  </xdr:twoCellAnchor>
  <xdr:twoCellAnchor editAs="oneCell">
    <xdr:from>
      <xdr:col>14</xdr:col>
      <xdr:colOff>571500</xdr:colOff>
      <xdr:row>0</xdr:row>
      <xdr:rowOff>0</xdr:rowOff>
    </xdr:from>
    <xdr:to>
      <xdr:col>23</xdr:col>
      <xdr:colOff>476250</xdr:colOff>
      <xdr:row>29</xdr:row>
      <xdr:rowOff>167926</xdr:rowOff>
    </xdr:to>
    <xdr:pic>
      <xdr:nvPicPr>
        <xdr:cNvPr id="68609" name="Picture 1"/>
        <xdr:cNvPicPr>
          <a:picLocks noChangeAspect="1" noChangeArrowheads="1"/>
        </xdr:cNvPicPr>
      </xdr:nvPicPr>
      <xdr:blipFill>
        <a:blip xmlns:r="http://schemas.openxmlformats.org/officeDocument/2006/relationships" r:embed="rId13" cstate="print"/>
        <a:srcRect/>
        <a:stretch>
          <a:fillRect/>
        </a:stretch>
      </xdr:blipFill>
      <xdr:spPr bwMode="auto">
        <a:xfrm>
          <a:off x="10172700" y="0"/>
          <a:ext cx="6076950" cy="5139976"/>
        </a:xfrm>
        <a:prstGeom prst="rect">
          <a:avLst/>
        </a:prstGeom>
        <a:noFill/>
        <a:ln w="1">
          <a:noFill/>
          <a:miter lim="800000"/>
          <a:headEnd/>
          <a:tailEnd type="none" w="med" len="med"/>
        </a:ln>
        <a:effectLst/>
      </xdr:spPr>
    </xdr:pic>
    <xdr:clientData/>
  </xdr:twoCellAnchor>
  <xdr:twoCellAnchor editAs="oneCell">
    <xdr:from>
      <xdr:col>15</xdr:col>
      <xdr:colOff>247650</xdr:colOff>
      <xdr:row>87</xdr:row>
      <xdr:rowOff>19050</xdr:rowOff>
    </xdr:from>
    <xdr:to>
      <xdr:col>26</xdr:col>
      <xdr:colOff>123825</xdr:colOff>
      <xdr:row>119</xdr:row>
      <xdr:rowOff>125381</xdr:rowOff>
    </xdr:to>
    <xdr:pic>
      <xdr:nvPicPr>
        <xdr:cNvPr id="68610" name="Picture 2"/>
        <xdr:cNvPicPr>
          <a:picLocks noChangeAspect="1" noChangeArrowheads="1"/>
        </xdr:cNvPicPr>
      </xdr:nvPicPr>
      <xdr:blipFill>
        <a:blip xmlns:r="http://schemas.openxmlformats.org/officeDocument/2006/relationships" r:embed="rId14" cstate="print"/>
        <a:srcRect/>
        <a:stretch>
          <a:fillRect/>
        </a:stretch>
      </xdr:blipFill>
      <xdr:spPr bwMode="auto">
        <a:xfrm>
          <a:off x="10534650" y="14935200"/>
          <a:ext cx="7419975" cy="5592731"/>
        </a:xfrm>
        <a:prstGeom prst="rect">
          <a:avLst/>
        </a:prstGeom>
        <a:noFill/>
        <a:ln w="1">
          <a:noFill/>
          <a:miter lim="800000"/>
          <a:headEnd/>
          <a:tailEnd type="none" w="med" len="med"/>
        </a:ln>
        <a:effectLst/>
      </xdr:spPr>
    </xdr:pic>
    <xdr:clientData/>
  </xdr:twoCellAnchor>
  <xdr:twoCellAnchor editAs="oneCell">
    <xdr:from>
      <xdr:col>16</xdr:col>
      <xdr:colOff>116356</xdr:colOff>
      <xdr:row>121</xdr:row>
      <xdr:rowOff>9525</xdr:rowOff>
    </xdr:from>
    <xdr:to>
      <xdr:col>27</xdr:col>
      <xdr:colOff>400050</xdr:colOff>
      <xdr:row>154</xdr:row>
      <xdr:rowOff>114300</xdr:rowOff>
    </xdr:to>
    <xdr:pic>
      <xdr:nvPicPr>
        <xdr:cNvPr id="68611" name="Picture 3"/>
        <xdr:cNvPicPr>
          <a:picLocks noChangeAspect="1" noChangeArrowheads="1"/>
        </xdr:cNvPicPr>
      </xdr:nvPicPr>
      <xdr:blipFill>
        <a:blip xmlns:r="http://schemas.openxmlformats.org/officeDocument/2006/relationships" r:embed="rId15" cstate="print"/>
        <a:srcRect/>
        <a:stretch>
          <a:fillRect/>
        </a:stretch>
      </xdr:blipFill>
      <xdr:spPr bwMode="auto">
        <a:xfrm>
          <a:off x="11089156" y="20754975"/>
          <a:ext cx="7827494" cy="57626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bu\&#20849;&#20139;&#25991;&#26723;\1.&#24037;&#20316;\9.&#20849;&#20139;&#25991;&#26723;\1.&#23044;&#40414;\2015-1-D-3-084&#21271;&#20140;&#24066;&#26397;&#38451;&#21306;&#24314;&#22269;&#38376;&#22806;&#22823;&#34903;&#23452;12&#21495;1&#23618;&#37096;&#20998;&#21150;&#20844;&#29992;&#25151;\&#12304;&#27979;&#31639;&#12305;2015-1-D-3-084&#21271;&#20140;&#24066;&#26397;&#38451;&#21306;&#24314;&#22269;&#38376;&#22806;&#22823;&#34903;&#23452;12&#21495;1&#23618;&#37096;&#20998;&#21150;&#20844;&#29992;&#251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12305;&#31199;&#37329;&#21672;&#35810;&#65288;2015-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0;&#24030;2015&#24180;&#26102;&#28857;-&#26472;&#32418;&#33521;20180612-0916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估算结果一览表"/>
      <sheetName val="剩余年限"/>
      <sheetName val="面积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比较法—租金"/>
      <sheetName val="比较法—售价"/>
      <sheetName val="收益法"/>
      <sheetName val="剩余年限"/>
      <sheetName val="面积表"/>
      <sheetName val="估算结果一览表"/>
      <sheetName val="系统读取表"/>
    </sheetNames>
    <sheetDataSet>
      <sheetData sheetId="0">
        <row r="32">
          <cell r="M32" t="str">
            <v>结构层高</v>
          </cell>
        </row>
        <row r="39">
          <cell r="N39" t="e">
            <v>#DIV/0!</v>
          </cell>
        </row>
      </sheetData>
      <sheetData sheetId="1"/>
      <sheetData sheetId="2" refreshError="1"/>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估算结果一览表"/>
      <sheetName val="结果表 (1修多)"/>
      <sheetName val="比较法-住宅"/>
      <sheetName val="比较法-住宅2016年"/>
      <sheetName val="收益法（反推）"/>
      <sheetName val="基准地价修正"/>
      <sheetName val="成本法"/>
      <sheetName val="假设开发法"/>
      <sheetName val="收益法"/>
      <sheetName val="酒店收入计算"/>
      <sheetName val="典型户型修正"/>
      <sheetName val="收益法（反推）高层)"/>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2015年案例"/>
      <sheetName val="2016年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41">
          <cell r="C41">
            <v>2.35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估价对象为北京市房地产，为所有。根据《不动产权证书》[]，估价对象建筑面积为189.28平方米，（分摊）出让国有建设用地使用权面积为平方米。估价对象用途为住宅。</v>
      </c>
    </row>
    <row r="8" spans="1:2">
      <c r="A8" s="1702" t="s">
        <v>1114</v>
      </c>
      <c r="B8" s="1689" t="str">
        <f>'预评函-1'!A8</f>
        <v>为估价委托人了解估价对象房地产市场价值提供参考依据。</v>
      </c>
    </row>
    <row r="9" spans="1:2">
      <c r="A9" s="1702" t="s">
        <v>1115</v>
      </c>
      <c r="B9" s="1689" t="str">
        <f>'预评函-1'!A10</f>
        <v>2016年5月20日</v>
      </c>
    </row>
    <row r="10" spans="1:2">
      <c r="A10" s="1702" t="s">
        <v>1116</v>
      </c>
      <c r="B10" s="1689" t="str">
        <f>'预评函-1'!A13</f>
        <v>本次估价的“房地产价值”是指在正常市场情况下，在价值时点2016年5月20日，估价对象规划用途为住宅，假定未设立法定优先受偿款下的房地产市场价值。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189.28</v>
      </c>
    </row>
    <row r="19" spans="1:2">
      <c r="A19" s="1702" t="s">
        <v>1125</v>
      </c>
      <c r="B19" s="1689">
        <f ca="1">'预评函-2（1）'!D7</f>
        <v>5892143</v>
      </c>
    </row>
    <row r="20" spans="1:2">
      <c r="A20" s="1702" t="s">
        <v>1163</v>
      </c>
      <c r="B20" s="1689" t="str">
        <f>'预评函-2（1）'!C7</f>
        <v>总价（元）</v>
      </c>
    </row>
    <row r="21" spans="1:2">
      <c r="A21" s="1702" t="s">
        <v>1126</v>
      </c>
      <c r="B21" s="1689">
        <f ca="1">'预评函-2（1）'!D9</f>
        <v>31129</v>
      </c>
    </row>
    <row r="22" spans="1:2">
      <c r="A22" s="1702" t="s">
        <v>1127</v>
      </c>
      <c r="B22" s="1689" t="str">
        <f ca="1">'预评函-2（1）'!D8</f>
        <v>伍佰捌拾玖万贰仟壹佰肆拾叁元整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5892143</v>
      </c>
    </row>
    <row r="30" spans="1:2">
      <c r="A30" s="1702" t="s">
        <v>1133</v>
      </c>
      <c r="B30" s="1689" t="str">
        <f ca="1">'预评函-2（1）'!D16</f>
        <v>伍佰捌拾玖万贰仟壹佰肆拾叁元整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13104126</v>
      </c>
    </row>
    <row r="38" spans="1:2">
      <c r="A38" s="1702" t="s">
        <v>1141</v>
      </c>
      <c r="B38" s="1689">
        <f ca="1">'预评函-2（2）'!E4</f>
        <v>69231</v>
      </c>
    </row>
    <row r="39" spans="1:2">
      <c r="A39" s="1702" t="s">
        <v>1142</v>
      </c>
      <c r="B39" s="1689" t="str">
        <f ca="1">'预评函-2（2）'!D5</f>
        <v>壹仟叁佰壹拾万肆仟壹佰贰拾陆元整</v>
      </c>
    </row>
    <row r="40" spans="1:2">
      <c r="A40" s="1702" t="s">
        <v>1143</v>
      </c>
      <c r="B40" s="1689">
        <f ca="1">'预评函-2（2）'!F4</f>
        <v>-7211983</v>
      </c>
    </row>
    <row r="41" spans="1:2">
      <c r="A41" s="1702" t="s">
        <v>1144</v>
      </c>
      <c r="B41" s="1689">
        <f ca="1">'预评函-2（2）'!G4</f>
        <v>-38102</v>
      </c>
    </row>
    <row r="42" spans="1:2" s="1699" customFormat="1" ht="15.75" thickBot="1">
      <c r="A42" s="1703" t="s">
        <v>1145</v>
      </c>
      <c r="B42" s="1691" t="e">
        <f ca="1">'预评函-2（2）'!F5</f>
        <v>#NUM!</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31129</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9" sqref="C1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43229</v>
      </c>
      <c r="C2" s="1999" t="s">
        <v>1547</v>
      </c>
      <c r="D2" s="1088">
        <v>42510</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2815</v>
      </c>
      <c r="C6" s="2015"/>
      <c r="D6" s="2016" t="s">
        <v>1556</v>
      </c>
      <c r="E6" s="1022"/>
      <c r="F6" s="1021"/>
      <c r="G6" s="1074"/>
      <c r="I6" s="1070" t="str">
        <f>IF(COUNTIF(B5,"*上海银行*"),"上海银行","")</f>
        <v/>
      </c>
    </row>
    <row r="7" spans="1:10" ht="13.5" thickBot="1">
      <c r="A7" s="2000" t="s">
        <v>1557</v>
      </c>
      <c r="B7" s="2017" t="s">
        <v>2816</v>
      </c>
      <c r="C7" s="2018" t="str">
        <f>IF(B7="自然人","姓名","名称")</f>
        <v>姓名</v>
      </c>
      <c r="D7" s="2019"/>
      <c r="E7" s="1068"/>
      <c r="F7" s="1067"/>
      <c r="G7" s="1684"/>
    </row>
    <row r="8" spans="1:10" ht="13.5" thickTop="1">
      <c r="A8" s="2940" t="s">
        <v>1558</v>
      </c>
      <c r="B8" s="2020" t="s">
        <v>1559</v>
      </c>
      <c r="C8" s="2952"/>
      <c r="D8" s="2953"/>
      <c r="E8" s="2021" t="s">
        <v>1560</v>
      </c>
      <c r="F8" s="2022" t="s">
        <v>1561</v>
      </c>
      <c r="G8" s="690">
        <f>C6</f>
        <v>0</v>
      </c>
    </row>
    <row r="9" spans="1:10" ht="25.5">
      <c r="A9" s="2940"/>
      <c r="B9" s="344" t="s">
        <v>1562</v>
      </c>
      <c r="C9" s="2738" t="s">
        <v>2819</v>
      </c>
      <c r="D9" s="2023" t="s">
        <v>2817</v>
      </c>
      <c r="E9" s="1010" t="s">
        <v>1563</v>
      </c>
      <c r="F9" s="996" t="s">
        <v>70</v>
      </c>
      <c r="G9" s="1012"/>
    </row>
    <row r="10" spans="1:10" ht="13.5" thickBot="1">
      <c r="A10" s="2940"/>
      <c r="B10" s="344" t="s">
        <v>1564</v>
      </c>
      <c r="C10" s="2954"/>
      <c r="D10" s="2955"/>
      <c r="E10" s="2024" t="s">
        <v>1565</v>
      </c>
      <c r="F10" s="1013" t="s">
        <v>2820</v>
      </c>
      <c r="G10" s="1014"/>
    </row>
    <row r="11" spans="1:10" ht="13.5" thickBot="1">
      <c r="A11" s="2940"/>
      <c r="B11" s="2025" t="s">
        <v>1566</v>
      </c>
      <c r="C11" s="2956"/>
      <c r="D11" s="2957"/>
      <c r="E11" s="1022"/>
      <c r="F11" s="1021"/>
      <c r="G11" s="1074"/>
    </row>
    <row r="12" spans="1:10" ht="24.75" thickBot="1">
      <c r="A12" s="2943" t="s">
        <v>1567</v>
      </c>
      <c r="B12" s="2026" t="s">
        <v>1568</v>
      </c>
      <c r="C12" s="1016">
        <v>189.28</v>
      </c>
      <c r="D12" s="2026" t="s">
        <v>1569</v>
      </c>
      <c r="E12" s="2027" t="s">
        <v>1570</v>
      </c>
      <c r="F12" s="2028" t="s">
        <v>1571</v>
      </c>
      <c r="G12" s="1074"/>
    </row>
    <row r="13" spans="1:10" ht="21" customHeight="1" thickBot="1">
      <c r="A13" s="2944"/>
      <c r="B13" s="2029" t="s">
        <v>1572</v>
      </c>
      <c r="C13" s="1017"/>
      <c r="D13" s="2029" t="s">
        <v>1573</v>
      </c>
      <c r="E13" s="2030" t="s">
        <v>1570</v>
      </c>
      <c r="F13" s="1021"/>
      <c r="G13" s="1074"/>
      <c r="I13" s="2930" t="s">
        <v>1574</v>
      </c>
      <c r="J13" s="203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2"/>
      <c r="B14" s="2033" t="s">
        <v>1575</v>
      </c>
      <c r="C14" s="2739" t="s">
        <v>2819</v>
      </c>
      <c r="D14" s="1021"/>
      <c r="E14" s="1021"/>
      <c r="F14" s="1021"/>
      <c r="G14" s="1074"/>
      <c r="I14" s="293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v>2.5</v>
      </c>
      <c r="D15" s="1067"/>
      <c r="E15" s="1067"/>
      <c r="F15" s="1067"/>
      <c r="G15" s="1684"/>
      <c r="I15" s="293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6" t="s">
        <v>1578</v>
      </c>
      <c r="C16" s="2037" t="s">
        <v>2821</v>
      </c>
      <c r="D16" s="2038" t="s">
        <v>1579</v>
      </c>
      <c r="E16" s="2039"/>
      <c r="F16" s="2040" t="str">
        <f>IF(AND(C16="是",E16="否"),"是否提供他项权证或相关说明","")</f>
        <v/>
      </c>
      <c r="G16" s="2039"/>
      <c r="I16" s="1071"/>
      <c r="J16" s="1020"/>
    </row>
    <row r="17" spans="1:15" ht="13.5" customHeight="1">
      <c r="A17" s="2041" t="s">
        <v>1580</v>
      </c>
      <c r="B17" s="2958" t="s">
        <v>1581</v>
      </c>
      <c r="C17" s="2959"/>
      <c r="D17" s="2960" t="s">
        <v>1582</v>
      </c>
      <c r="E17" s="2961"/>
      <c r="F17" s="2042" t="s">
        <v>1583</v>
      </c>
      <c r="G17" s="2043"/>
      <c r="J17" s="1020"/>
    </row>
    <row r="18" spans="1:15" ht="24">
      <c r="A18" s="2041"/>
      <c r="B18" s="2044" t="s">
        <v>1584</v>
      </c>
      <c r="C18" s="2012" t="s">
        <v>1585</v>
      </c>
      <c r="D18" s="2045" t="s">
        <v>1586</v>
      </c>
      <c r="E18" s="2046" t="s">
        <v>1587</v>
      </c>
      <c r="F18" s="2047"/>
      <c r="G18" s="1868"/>
      <c r="H18" s="1020"/>
      <c r="J18" s="1020"/>
    </row>
    <row r="19" spans="1:15" ht="21.75" customHeight="1" thickBot="1">
      <c r="A19" s="2041"/>
      <c r="B19" s="2048"/>
      <c r="C19" s="2030"/>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946" t="s">
        <v>1598</v>
      </c>
      <c r="D27" s="2947"/>
      <c r="E27" s="1004"/>
      <c r="F27" s="1011" t="s">
        <v>1598</v>
      </c>
      <c r="G27" s="1004"/>
      <c r="I27" s="1071"/>
      <c r="K27" s="1071"/>
    </row>
    <row r="28" spans="1:15">
      <c r="A28" s="1008" t="s">
        <v>1599</v>
      </c>
      <c r="B28" s="978"/>
      <c r="C28" s="2948" t="s">
        <v>1600</v>
      </c>
      <c r="D28" s="2949"/>
      <c r="E28" s="978"/>
      <c r="F28" s="1894" t="s">
        <v>1600</v>
      </c>
      <c r="G28" s="978"/>
      <c r="I28" s="1071"/>
      <c r="K28" s="1071"/>
    </row>
    <row r="29" spans="1:15">
      <c r="A29" s="1008" t="s">
        <v>1601</v>
      </c>
      <c r="B29" s="978"/>
      <c r="C29" s="2948" t="s">
        <v>1601</v>
      </c>
      <c r="D29" s="2949"/>
      <c r="E29" s="978"/>
      <c r="F29" s="1894" t="s">
        <v>1602</v>
      </c>
      <c r="G29" s="978"/>
      <c r="I29" s="1071"/>
      <c r="K29" s="1071"/>
    </row>
    <row r="30" spans="1:15">
      <c r="A30" s="1008" t="s">
        <v>1603</v>
      </c>
      <c r="B30" s="978"/>
      <c r="C30" s="2937" t="s">
        <v>1604</v>
      </c>
      <c r="D30" s="2067"/>
      <c r="E30" s="1023" t="str">
        <f>E31&amp;" "&amp;E32&amp;" "&amp;E33&amp;" "&amp;E34</f>
        <v xml:space="preserve">   </v>
      </c>
      <c r="F30" s="1894" t="s">
        <v>1605</v>
      </c>
      <c r="G30" s="978"/>
    </row>
    <row r="31" spans="1:15">
      <c r="A31" s="1008" t="s">
        <v>1606</v>
      </c>
      <c r="B31" s="978"/>
      <c r="C31" s="2938"/>
      <c r="D31" s="1893" t="s">
        <v>1607</v>
      </c>
      <c r="E31" s="978"/>
      <c r="F31" s="1894" t="s">
        <v>1608</v>
      </c>
      <c r="G31" s="978"/>
    </row>
    <row r="32" spans="1:15" ht="24.75" thickBot="1">
      <c r="A32" s="1009" t="s">
        <v>1609</v>
      </c>
      <c r="B32" s="1005"/>
      <c r="C32" s="2938"/>
      <c r="D32" s="1893" t="s">
        <v>1610</v>
      </c>
      <c r="E32" s="978"/>
      <c r="F32" s="1894" t="s">
        <v>1611</v>
      </c>
      <c r="G32" s="978"/>
    </row>
    <row r="33" spans="1:7">
      <c r="A33" s="1007" t="s">
        <v>1612</v>
      </c>
      <c r="B33" s="1004"/>
      <c r="C33" s="2938"/>
      <c r="D33" s="1893" t="s">
        <v>1613</v>
      </c>
      <c r="E33" s="978"/>
      <c r="F33" s="1894" t="s">
        <v>1614</v>
      </c>
      <c r="G33" s="978"/>
    </row>
    <row r="34" spans="1:7" ht="13.5" thickBot="1">
      <c r="A34" s="1008" t="s">
        <v>1615</v>
      </c>
      <c r="B34" s="978"/>
      <c r="C34" s="2939"/>
      <c r="D34" s="1893" t="s">
        <v>1616</v>
      </c>
      <c r="E34" s="978"/>
      <c r="F34" s="1895" t="s">
        <v>1617</v>
      </c>
      <c r="G34" s="1006"/>
    </row>
    <row r="35" spans="1:7">
      <c r="A35" s="1008" t="s">
        <v>1568</v>
      </c>
      <c r="B35" s="978"/>
      <c r="C35" s="2948" t="s">
        <v>1618</v>
      </c>
      <c r="D35" s="2949"/>
      <c r="E35" s="978"/>
      <c r="F35" s="1019" t="s">
        <v>1619</v>
      </c>
      <c r="G35" s="1004"/>
    </row>
    <row r="36" spans="1:7" ht="13.5" thickBot="1">
      <c r="A36" s="1008" t="s">
        <v>1620</v>
      </c>
      <c r="B36" s="978"/>
      <c r="C36" s="2950" t="s">
        <v>1621</v>
      </c>
      <c r="D36" s="2951"/>
      <c r="E36" s="1005"/>
      <c r="F36" s="1891" t="s">
        <v>1622</v>
      </c>
      <c r="G36" s="978"/>
    </row>
    <row r="37" spans="1:7" ht="13.5" thickBot="1">
      <c r="A37" s="1008" t="s">
        <v>1623</v>
      </c>
      <c r="B37" s="978"/>
      <c r="C37" s="2935" t="s">
        <v>1624</v>
      </c>
      <c r="D37" s="2068" t="s">
        <v>1608</v>
      </c>
      <c r="E37" s="1004"/>
      <c r="F37" s="1895" t="s">
        <v>1625</v>
      </c>
      <c r="G37" s="1005"/>
    </row>
    <row r="38" spans="1:7">
      <c r="A38" s="1008" t="s">
        <v>1626</v>
      </c>
      <c r="B38" s="978"/>
      <c r="C38" s="2941"/>
      <c r="D38" s="1893" t="s">
        <v>1615</v>
      </c>
      <c r="E38" s="978"/>
      <c r="F38" s="1011" t="s">
        <v>1627</v>
      </c>
      <c r="G38" s="1004"/>
    </row>
    <row r="39" spans="1:7">
      <c r="A39" s="1008" t="s">
        <v>1628</v>
      </c>
      <c r="B39" s="978"/>
      <c r="C39" s="2941" t="s">
        <v>1629</v>
      </c>
      <c r="D39" s="1893" t="s">
        <v>1568</v>
      </c>
      <c r="E39" s="978"/>
      <c r="F39" s="1894" t="s">
        <v>1630</v>
      </c>
      <c r="G39" s="978"/>
    </row>
    <row r="40" spans="1:7" ht="24.75" customHeight="1" thickBot="1">
      <c r="A40" s="1009" t="s">
        <v>1631</v>
      </c>
      <c r="B40" s="1005"/>
      <c r="C40" s="2942"/>
      <c r="D40" s="1896" t="s">
        <v>1572</v>
      </c>
      <c r="E40" s="1005"/>
      <c r="F40" s="1895" t="s">
        <v>1632</v>
      </c>
      <c r="G40" s="1005"/>
    </row>
    <row r="41" spans="1:7">
      <c r="A41" s="1010" t="s">
        <v>1633</v>
      </c>
      <c r="B41" s="1060"/>
      <c r="C41" s="2931" t="s">
        <v>1633</v>
      </c>
      <c r="D41" s="2932"/>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933" t="s">
        <v>1636</v>
      </c>
      <c r="D48" s="2934"/>
      <c r="E48" s="1055"/>
      <c r="F48" s="1895" t="s">
        <v>1637</v>
      </c>
      <c r="G48" s="1005"/>
    </row>
    <row r="49" spans="1:15">
      <c r="A49" s="1008" t="s">
        <v>1638</v>
      </c>
      <c r="B49" s="1054"/>
      <c r="C49" s="2935" t="s">
        <v>1639</v>
      </c>
      <c r="D49" s="2936"/>
      <c r="E49" s="1056"/>
      <c r="F49" s="1084"/>
      <c r="G49" s="1085"/>
    </row>
    <row r="50" spans="1:15" ht="13.5" thickBot="1">
      <c r="A50" s="1008" t="s">
        <v>1640</v>
      </c>
      <c r="B50" s="1054"/>
      <c r="C50" s="2942" t="s">
        <v>1641</v>
      </c>
      <c r="D50" s="2945"/>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2" t="s">
        <v>0</v>
      </c>
      <c r="B1" s="2962" t="s">
        <v>2</v>
      </c>
      <c r="C1" s="2962" t="s">
        <v>3</v>
      </c>
      <c r="D1" s="2963" t="s">
        <v>67</v>
      </c>
      <c r="E1" s="2963" t="s">
        <v>68</v>
      </c>
      <c r="F1" s="2963"/>
      <c r="G1" s="2963"/>
      <c r="H1" s="2963"/>
      <c r="I1" s="2963"/>
      <c r="J1" s="2963"/>
      <c r="K1" s="2963"/>
      <c r="L1" s="2963"/>
      <c r="M1" s="2963"/>
    </row>
    <row r="2" spans="1:13" ht="27" customHeight="1">
      <c r="A2" s="2962"/>
      <c r="B2" s="2962"/>
      <c r="C2" s="2962"/>
      <c r="D2" s="2963"/>
      <c r="E2" s="2963" t="s">
        <v>51</v>
      </c>
      <c r="F2" s="2963" t="s">
        <v>52</v>
      </c>
      <c r="G2" s="2963"/>
      <c r="H2" s="2963"/>
      <c r="I2" s="2963"/>
      <c r="J2" s="2963" t="s">
        <v>53</v>
      </c>
      <c r="K2" s="2963"/>
      <c r="L2" s="2963"/>
      <c r="M2" s="2963"/>
    </row>
    <row r="3" spans="1:13" ht="28.5">
      <c r="A3" s="2962"/>
      <c r="B3" s="2962"/>
      <c r="C3" s="2962"/>
      <c r="D3" s="2963"/>
      <c r="E3" s="29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3" t="s">
        <v>69</v>
      </c>
      <c r="B9" s="2963"/>
      <c r="C9" s="29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42510</v>
      </c>
      <c r="C2" s="1855"/>
      <c r="D2" s="2964"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2831</v>
      </c>
      <c r="C3" s="1855"/>
      <c r="D3" s="2965"/>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2832</v>
      </c>
      <c r="C4" s="1855"/>
      <c r="D4" s="2965"/>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189.28</v>
      </c>
      <c r="C5" s="1855"/>
      <c r="D5" s="2080" t="s">
        <v>1650</v>
      </c>
      <c r="E5" s="393">
        <v>189.28</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2818</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62576</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1662</v>
      </c>
      <c r="B13" s="991">
        <f>IF(B12="",B11-(YEAR($B$2)-B26+B23),ROUNDDOWN(MIN((B12-$B$2)/365,B11),2))</f>
        <v>54.97</v>
      </c>
      <c r="C13" s="2095"/>
      <c r="D13" s="2096" t="s">
        <v>1663</v>
      </c>
      <c r="E13" s="39">
        <f>成本法!C9</f>
        <v>30285</v>
      </c>
      <c r="F13" s="1849" t="s">
        <v>1664</v>
      </c>
      <c r="G13" s="1855"/>
      <c r="H13" s="3310" t="s">
        <v>3145</v>
      </c>
      <c r="I13" s="3311" t="s">
        <v>3156</v>
      </c>
      <c r="J13" s="3312"/>
      <c r="K13" s="3313"/>
      <c r="L13" s="3314"/>
      <c r="M13" s="3315"/>
      <c r="N13" s="331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1665</v>
      </c>
      <c r="B14" s="992">
        <f>IF(ISERROR(ROUND(POWER(1+B15,B11-B13)*(POWER(1+B15,B13)-1)/(POWER(1+B15,B11)-1),3)),0,ROUND(POWER(1+B15,B11-B13)*(POWER(1+B15,B13)-1)/(POWER(1+B15,B11)-1),3))</f>
        <v>0.94499999999999995</v>
      </c>
      <c r="C14" s="1855"/>
      <c r="D14" s="2097" t="s">
        <v>1666</v>
      </c>
      <c r="E14" s="709">
        <v>200</v>
      </c>
      <c r="F14" s="1848"/>
      <c r="G14" s="1855"/>
      <c r="H14" s="3310" t="s">
        <v>3146</v>
      </c>
      <c r="I14" s="3316" t="s">
        <v>3147</v>
      </c>
      <c r="J14" s="3312"/>
      <c r="K14" s="3313"/>
      <c r="L14" s="3313"/>
      <c r="M14" s="3315"/>
      <c r="N14" s="331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1667</v>
      </c>
      <c r="B15" s="30">
        <v>0.04</v>
      </c>
      <c r="C15" s="1855"/>
      <c r="D15" s="2093" t="s">
        <v>1668</v>
      </c>
      <c r="E15" s="38">
        <f>E14-E16</f>
        <v>200</v>
      </c>
      <c r="F15" s="1850"/>
      <c r="G15" s="1855"/>
      <c r="H15" s="3310" t="s">
        <v>3148</v>
      </c>
      <c r="I15" s="3317">
        <f>ROUND(1-(1-I12)*I13/I14,2)</f>
        <v>0.93</v>
      </c>
      <c r="J15" s="3312"/>
      <c r="K15" s="3313"/>
      <c r="L15" s="3313"/>
      <c r="M15" s="3315"/>
      <c r="N15" s="331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1669</v>
      </c>
      <c r="B16" s="30">
        <v>4.4999999999999998E-2</v>
      </c>
      <c r="C16" s="1855"/>
      <c r="D16" s="2098" t="s">
        <v>1670</v>
      </c>
      <c r="E16" s="710"/>
      <c r="F16" s="1851"/>
      <c r="G16" s="1855"/>
      <c r="H16" s="3318" t="s">
        <v>3149</v>
      </c>
      <c r="I16" s="3319">
        <v>0.5</v>
      </c>
      <c r="J16" s="3312"/>
      <c r="K16" s="3313"/>
      <c r="L16" s="3313"/>
      <c r="M16" s="3315"/>
      <c r="N16" s="331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4.4999999999999998E-2</v>
      </c>
      <c r="C17" s="1855"/>
      <c r="D17" s="2084" t="s">
        <v>1672</v>
      </c>
      <c r="E17" s="985">
        <v>2600</v>
      </c>
      <c r="F17" s="1237"/>
      <c r="G17" s="1855"/>
      <c r="H17" s="3320" t="s">
        <v>3150</v>
      </c>
      <c r="I17" s="3321"/>
      <c r="J17" s="3321"/>
      <c r="K17" s="3321"/>
      <c r="L17" s="3322"/>
      <c r="M17" s="3315"/>
      <c r="N17" s="331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492128</v>
      </c>
      <c r="F18" s="1320">
        <f>ROUND(E5*E17*IF(B25=0,1,E20),0)</f>
        <v>492128</v>
      </c>
      <c r="G18" s="1855"/>
      <c r="H18" s="3323" t="s">
        <v>3151</v>
      </c>
      <c r="I18" s="3324" t="s">
        <v>3152</v>
      </c>
      <c r="J18" s="3324" t="s">
        <v>3153</v>
      </c>
      <c r="K18" s="3324" t="s">
        <v>3055</v>
      </c>
      <c r="L18" s="3324" t="s">
        <v>2964</v>
      </c>
      <c r="M18" s="3315"/>
      <c r="N18" s="331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3323" t="s">
        <v>3050</v>
      </c>
      <c r="I19" s="3324">
        <v>100</v>
      </c>
      <c r="J19" s="3325" t="s">
        <v>3154</v>
      </c>
      <c r="K19" s="3324">
        <v>93</v>
      </c>
      <c r="L19" s="3326">
        <v>0.3</v>
      </c>
      <c r="M19" s="3315"/>
      <c r="N19" s="331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f>N20</f>
        <v>0.93</v>
      </c>
      <c r="F20" s="1237"/>
      <c r="G20" s="1855"/>
      <c r="H20" s="3323" t="s">
        <v>3045</v>
      </c>
      <c r="I20" s="3324">
        <v>100</v>
      </c>
      <c r="J20" s="3325" t="s">
        <v>3154</v>
      </c>
      <c r="K20" s="3324">
        <v>93</v>
      </c>
      <c r="L20" s="3326">
        <v>0.5</v>
      </c>
      <c r="M20" s="3315"/>
      <c r="N20" s="3327">
        <f>ROUND(I15*I16+K22*I22,2)</f>
        <v>0.93</v>
      </c>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2</v>
      </c>
      <c r="C21" s="1855"/>
      <c r="D21" s="2093" t="s">
        <v>1676</v>
      </c>
      <c r="E21" s="711">
        <v>0.03</v>
      </c>
      <c r="F21" s="1852" t="s">
        <v>1677</v>
      </c>
      <c r="G21" s="1855"/>
      <c r="H21" s="3323" t="s">
        <v>3155</v>
      </c>
      <c r="I21" s="3324">
        <v>100</v>
      </c>
      <c r="J21" s="3325" t="s">
        <v>3154</v>
      </c>
      <c r="K21" s="3324">
        <v>93</v>
      </c>
      <c r="L21" s="3326">
        <f>1-L19-L20</f>
        <v>0.19999999999999996</v>
      </c>
      <c r="M21" s="3315"/>
      <c r="N21" s="331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2</v>
      </c>
      <c r="C22" s="1855"/>
      <c r="D22" s="2093" t="s">
        <v>1679</v>
      </c>
      <c r="E22" s="40">
        <v>0.08</v>
      </c>
      <c r="F22" s="1852" t="s">
        <v>1680</v>
      </c>
      <c r="G22" s="1855"/>
      <c r="H22" s="3328" t="s">
        <v>3149</v>
      </c>
      <c r="I22" s="3329">
        <f>1-I16</f>
        <v>0.5</v>
      </c>
      <c r="J22" s="3324" t="s">
        <v>3148</v>
      </c>
      <c r="K22" s="3330">
        <f>ROUND((K19*L19+K20*L20+K21*L21)/100,2)</f>
        <v>0.93</v>
      </c>
      <c r="L22" s="3331"/>
      <c r="M22" s="3315"/>
      <c r="N22" s="331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2</v>
      </c>
      <c r="C23" s="1855"/>
      <c r="D23" s="2093"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2</v>
      </c>
      <c r="C24" s="1855"/>
      <c r="D24" s="2098"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0.01</v>
      </c>
      <c r="F25" s="1852" t="s">
        <v>1689</v>
      </c>
      <c r="I25" s="1853"/>
      <c r="AE25" s="1237"/>
      <c r="AF25" s="1237"/>
      <c r="AG25" s="1237"/>
      <c r="AH25" s="1237"/>
      <c r="AI25" s="1237"/>
      <c r="AJ25" s="1237"/>
      <c r="AK25" s="1237"/>
      <c r="AL25" s="1237"/>
      <c r="AM25" s="1237"/>
      <c r="AN25" s="1237"/>
      <c r="AO25" s="1237"/>
    </row>
    <row r="26" spans="1:41" ht="15.75" thickBot="1">
      <c r="A26" s="2107" t="s">
        <v>1690</v>
      </c>
      <c r="B26" s="1094">
        <v>2012</v>
      </c>
      <c r="C26" s="1855"/>
      <c r="D26" s="2093" t="s">
        <v>1691</v>
      </c>
      <c r="E26" s="40">
        <v>0.01</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2835</v>
      </c>
      <c r="C28" s="1237"/>
      <c r="D28" s="2110" t="s">
        <v>1695</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c r="C29" s="1237"/>
      <c r="D29" s="2097" t="s">
        <v>1696</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0.04</v>
      </c>
      <c r="C31" s="1237"/>
      <c r="D31" s="2111" t="s">
        <v>1700</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0.05</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56</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v>0</v>
      </c>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t="s">
        <v>70</v>
      </c>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969</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1.5E-3</v>
      </c>
      <c r="C45" s="1237" t="s">
        <v>970</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0.01</v>
      </c>
      <c r="C46" s="1237" t="s">
        <v>971</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2">
    <mergeCell ref="D2:D4"/>
    <mergeCell ref="H17:L17"/>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966" t="s">
        <v>1737</v>
      </c>
      <c r="B1" s="2967"/>
      <c r="C1" s="2967"/>
      <c r="D1" s="2967"/>
      <c r="E1" s="2967"/>
      <c r="F1" s="2967"/>
      <c r="G1" s="296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855" t="s">
        <v>3102</v>
      </c>
      <c r="D3" s="2144"/>
      <c r="E3" s="411" t="s">
        <v>1740</v>
      </c>
      <c r="F3" s="2145" t="s">
        <v>1742</v>
      </c>
      <c r="G3" s="2146" t="s">
        <v>1743</v>
      </c>
      <c r="H3" s="2141"/>
      <c r="I3" s="2141"/>
      <c r="J3" s="2141"/>
      <c r="K3" s="2141"/>
      <c r="L3" s="2141"/>
      <c r="M3" s="2141"/>
      <c r="N3" s="2141"/>
      <c r="O3" s="2141"/>
      <c r="P3" s="2141"/>
      <c r="Q3" s="2141"/>
      <c r="R3" s="2141"/>
    </row>
    <row r="4" spans="1:29" ht="41.25" hidden="1">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hidden="1">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856" t="s">
        <v>3103</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856" t="s">
        <v>3104</v>
      </c>
      <c r="D7" s="2151"/>
      <c r="E7" s="2152"/>
      <c r="F7" s="2153" t="s">
        <v>1755</v>
      </c>
      <c r="G7" s="2154" t="s">
        <v>1756</v>
      </c>
      <c r="H7" s="2141"/>
      <c r="I7" s="2141"/>
      <c r="J7" s="2141"/>
      <c r="K7" s="2141"/>
      <c r="L7" s="2141"/>
      <c r="M7" s="2141"/>
      <c r="N7" s="2141"/>
      <c r="O7" s="2141"/>
      <c r="P7" s="2141"/>
      <c r="Q7" s="2141"/>
      <c r="R7" s="2141"/>
    </row>
    <row r="8" spans="1:29" ht="27">
      <c r="A8" s="411"/>
      <c r="B8" s="1887" t="s">
        <v>1753</v>
      </c>
      <c r="C8" s="2856" t="s">
        <v>3105</v>
      </c>
      <c r="D8" s="2151"/>
      <c r="E8" s="2151"/>
      <c r="F8" s="1246"/>
      <c r="G8" s="1246"/>
      <c r="H8" s="2141"/>
      <c r="I8" s="2141"/>
      <c r="J8" s="2141"/>
      <c r="K8" s="2141"/>
      <c r="L8" s="2141"/>
      <c r="M8" s="2141"/>
      <c r="N8" s="2141"/>
      <c r="O8" s="2141"/>
      <c r="P8" s="2141"/>
      <c r="Q8" s="2141"/>
      <c r="R8" s="2141"/>
    </row>
    <row r="9" spans="1:29" ht="54">
      <c r="A9" s="411"/>
      <c r="B9" s="1887" t="s">
        <v>1757</v>
      </c>
      <c r="C9" s="2857" t="s">
        <v>3106</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157"/>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1759</v>
      </c>
      <c r="B13" s="2162"/>
      <c r="C13" s="2162"/>
      <c r="D13" s="2138"/>
      <c r="E13" s="2162"/>
      <c r="F13" s="2162"/>
      <c r="G13" s="2162"/>
    </row>
    <row r="14" spans="1:29" ht="15.75" thickBot="1">
      <c r="A14" s="2172"/>
      <c r="B14" s="2173"/>
      <c r="C14" s="2174" t="s">
        <v>1760</v>
      </c>
      <c r="D14" s="2144"/>
      <c r="E14" s="2175"/>
      <c r="F14" s="2175"/>
      <c r="G14" s="2137" t="s">
        <v>1761</v>
      </c>
    </row>
    <row r="15" spans="1:29" ht="57">
      <c r="A15" s="25" t="s">
        <v>1762</v>
      </c>
      <c r="B15" s="2176" t="s">
        <v>1741</v>
      </c>
      <c r="C15" s="2177" t="str">
        <f>C3</f>
        <v>估价对象周边有富力金禧花园、怡佳家园、摩卡空间、帅府园等住宅小区，综合评价居住社区成熟度较好。</v>
      </c>
      <c r="D15" s="2144"/>
      <c r="E15" s="2178" t="s">
        <v>1763</v>
      </c>
      <c r="F15" s="2176" t="s">
        <v>1764</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3" t="s">
        <v>1748</v>
      </c>
      <c r="C17" s="2179" t="str">
        <f>C5</f>
        <v>估价对象位于XX商圈，周边办公楼项目较多，入驻率高，办公集聚程度较好</v>
      </c>
      <c r="D17" s="2151"/>
      <c r="E17" s="2180"/>
      <c r="F17" s="2181" t="s">
        <v>1765</v>
      </c>
      <c r="G17" s="2182"/>
    </row>
    <row r="18" spans="1:18" ht="71.25">
      <c r="A18" s="629"/>
      <c r="B18" s="2181" t="s">
        <v>1752</v>
      </c>
      <c r="C18" s="52" t="str">
        <f>C6</f>
        <v>估价对象紧邻城市主干道—新华西街，周边有316路、372路、582路、666路等多条公交线路通过，综合评价交通便捷度较好。</v>
      </c>
      <c r="D18" s="2151"/>
      <c r="E18" s="2180"/>
      <c r="F18" s="2181" t="s">
        <v>1755</v>
      </c>
      <c r="G18" s="52" t="str">
        <f>G7</f>
        <v>该园区内是否有污染型企业，绿化情况，卫生条件，整体环境状况判断</v>
      </c>
    </row>
    <row r="19" spans="1:18" ht="28.5">
      <c r="A19" s="629"/>
      <c r="B19" s="2181" t="s">
        <v>1766</v>
      </c>
      <c r="C19" s="2182"/>
      <c r="D19" s="2144"/>
      <c r="E19" s="2180"/>
      <c r="F19" s="1887" t="s">
        <v>1750</v>
      </c>
      <c r="G19" s="52" t="str">
        <f>G5</f>
        <v>估价对象所在区域公共配套设施齐备情况</v>
      </c>
    </row>
    <row r="20" spans="1:18" ht="57">
      <c r="A20" s="629"/>
      <c r="B20" s="2181" t="s">
        <v>1767</v>
      </c>
      <c r="C20" s="2179" t="str">
        <f>C9</f>
        <v>区域自然环境：西海子公园、通惠河；人文环境北京市通州区博物馆、新华书店；综合评价环境状况较好。</v>
      </c>
      <c r="D20" s="2151"/>
      <c r="E20" s="2180"/>
      <c r="F20" s="1887" t="s">
        <v>1768</v>
      </c>
      <c r="G20" s="52" t="str">
        <f>G6</f>
        <v>估价对象所在区域基础设施水平</v>
      </c>
    </row>
    <row r="21" spans="1:18" ht="28.5">
      <c r="A21" s="629"/>
      <c r="B21" s="1887" t="s">
        <v>1750</v>
      </c>
      <c r="C21" s="52" t="str">
        <f>C7</f>
        <v>估价对象所在区域公共配套设施齐全</v>
      </c>
      <c r="D21" s="2144"/>
      <c r="E21" s="2180"/>
      <c r="F21" s="2181" t="s">
        <v>1769</v>
      </c>
      <c r="G21" s="2183"/>
    </row>
    <row r="22" spans="1:18" ht="28.5">
      <c r="A22" s="629"/>
      <c r="B22" s="1887" t="s">
        <v>1753</v>
      </c>
      <c r="C22" s="52" t="str">
        <f>C8</f>
        <v>估价对象所在区域基础设施水平达到七通一平</v>
      </c>
      <c r="D22" s="2144"/>
      <c r="E22" s="2180"/>
      <c r="F22" s="2181" t="s">
        <v>1758</v>
      </c>
      <c r="G22" s="2184"/>
    </row>
    <row r="23" spans="1:18" s="2141" customFormat="1" ht="15.75" thickBot="1">
      <c r="A23" s="629"/>
      <c r="B23" s="2181" t="s">
        <v>1769</v>
      </c>
      <c r="C23" s="2183"/>
      <c r="D23" s="2169"/>
      <c r="E23" s="2185"/>
      <c r="F23" s="2186" t="s">
        <v>1770</v>
      </c>
      <c r="G23" s="2187"/>
      <c r="H23" s="2169"/>
      <c r="I23" s="2170"/>
      <c r="J23" s="2169"/>
      <c r="K23" s="2169"/>
      <c r="L23" s="2170"/>
      <c r="M23" s="2169"/>
      <c r="N23" s="2169"/>
      <c r="O23" s="2170"/>
      <c r="P23" s="2169"/>
      <c r="Q23" s="2169"/>
      <c r="R23" s="2171"/>
    </row>
    <row r="24" spans="1:18" s="2141" customFormat="1" ht="15.75" thickBot="1">
      <c r="A24" s="2188"/>
      <c r="B24" s="2186" t="s">
        <v>1771</v>
      </c>
      <c r="C24" s="53">
        <f>C10</f>
        <v>0</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189.28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42510</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1515.7353000000001</v>
      </c>
      <c r="C5" s="1830">
        <f>ROUND(B5*10000/$B$1,0)</f>
        <v>80079</v>
      </c>
      <c r="D5" s="1830" t="e">
        <f>ROUND(B5*10000/$B$2,0)</f>
        <v>#DIV/0!</v>
      </c>
      <c r="E5" s="1831"/>
      <c r="F5" s="1835"/>
      <c r="G5" s="1835"/>
    </row>
    <row r="6" spans="1:9" ht="16.5">
      <c r="A6" s="1830" t="s">
        <v>1233</v>
      </c>
      <c r="B6" s="1830">
        <f>SUM(G14:G23)</f>
        <v>1515.7353000000001</v>
      </c>
      <c r="C6" s="1830">
        <f t="shared" ref="C6:C8" si="0">ROUND(B6*10000/$B$1,0)</f>
        <v>80079</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189.28</v>
      </c>
      <c r="C14" s="1834">
        <f>项目基本情况!C13</f>
        <v>0</v>
      </c>
      <c r="D14" s="1834">
        <f>IF('数据-取费表'!B3="万元",IF(A14="估价对象1（结果表）",结果表!H121,'结果表 (1修多)'!H124),IF(A14="估价对象1（结果表）",结果表!H121,'结果表 (1修多)'!H124)/10000)</f>
        <v>1515.7353000000001</v>
      </c>
      <c r="E14" s="1834">
        <f>ROUND(D14*10000/B14,0)</f>
        <v>80079</v>
      </c>
      <c r="F14" s="1834" t="e">
        <f>ROUND(D14*10000/C14,0)</f>
        <v>#DIV/0!</v>
      </c>
      <c r="G14" s="1834">
        <f>IF('数据-取费表'!B3="万元",IF(A14="估价对象1（结果表）",结果表!D125,'结果表 (1修多)'!D128),IF(A14="估价对象1（结果表）",结果表!D125,'结果表 (1修多)'!D128)/10000)</f>
        <v>1515.7353000000001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1772</v>
      </c>
      <c r="B1" s="2195"/>
      <c r="C1" s="2195"/>
      <c r="D1" s="2195"/>
      <c r="E1" s="2195"/>
      <c r="F1" s="2195"/>
      <c r="G1" s="2195"/>
      <c r="H1" s="2195"/>
      <c r="I1" s="2195"/>
    </row>
    <row r="2" spans="1:12" ht="21.75" customHeight="1">
      <c r="A2" s="3032" t="str">
        <f>项目基本情况!B1</f>
        <v>北京市预评估</v>
      </c>
      <c r="B2" s="3032"/>
      <c r="C2" s="3032"/>
      <c r="D2" s="3032"/>
      <c r="E2" s="3032"/>
      <c r="F2" s="3032"/>
      <c r="G2" s="3032"/>
      <c r="H2" s="3032"/>
      <c r="I2" s="3032"/>
    </row>
    <row r="3" spans="1:12" ht="12.75">
      <c r="A3" s="3035" t="s">
        <v>1773</v>
      </c>
      <c r="B3" s="3036"/>
      <c r="C3" s="3036"/>
      <c r="D3" s="3036"/>
      <c r="E3" s="3036"/>
      <c r="F3" s="3036"/>
      <c r="G3" s="3036"/>
      <c r="H3" s="3036"/>
      <c r="I3" s="3036"/>
    </row>
    <row r="4" spans="1:12" ht="14.25">
      <c r="A4" s="2197" t="s">
        <v>1774</v>
      </c>
      <c r="B4" s="2198" t="s">
        <v>1775</v>
      </c>
      <c r="C4" s="2199" t="s">
        <v>2833</v>
      </c>
      <c r="D4" s="2199" t="s">
        <v>2834</v>
      </c>
      <c r="E4" s="3016" t="s">
        <v>1776</v>
      </c>
      <c r="F4" s="3017"/>
      <c r="G4" s="3017"/>
      <c r="H4" s="3017"/>
      <c r="I4" s="3027"/>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3009" t="s">
        <v>1777</v>
      </c>
      <c r="B5" s="2971">
        <v>25</v>
      </c>
      <c r="C5" s="3020">
        <v>7</v>
      </c>
      <c r="D5" s="3034">
        <v>3</v>
      </c>
      <c r="E5" s="56" t="s">
        <v>1778</v>
      </c>
      <c r="F5" s="2200"/>
      <c r="G5" s="2200"/>
      <c r="H5" s="2200"/>
      <c r="I5" s="2201"/>
    </row>
    <row r="6" spans="1:12" ht="12.75">
      <c r="A6" s="3009"/>
      <c r="B6" s="2971"/>
      <c r="C6" s="3037"/>
      <c r="D6" s="3034"/>
      <c r="E6" s="56" t="s">
        <v>1779</v>
      </c>
      <c r="F6" s="2200"/>
      <c r="G6" s="2200"/>
      <c r="H6" s="2200"/>
      <c r="I6" s="2201"/>
    </row>
    <row r="7" spans="1:12" ht="12.75">
      <c r="A7" s="3009"/>
      <c r="B7" s="2971"/>
      <c r="C7" s="3021"/>
      <c r="D7" s="3034"/>
      <c r="E7" s="56" t="s">
        <v>1780</v>
      </c>
      <c r="F7" s="2200"/>
      <c r="G7" s="2200"/>
      <c r="H7" s="2200"/>
      <c r="I7" s="2201"/>
    </row>
    <row r="8" spans="1:12" ht="12.75">
      <c r="A8" s="3009" t="s">
        <v>1781</v>
      </c>
      <c r="B8" s="2971">
        <v>15</v>
      </c>
      <c r="C8" s="3020"/>
      <c r="D8" s="3034"/>
      <c r="E8" s="56" t="s">
        <v>1782</v>
      </c>
      <c r="F8" s="2200"/>
      <c r="G8" s="2200"/>
      <c r="H8" s="2200"/>
      <c r="I8" s="2201"/>
    </row>
    <row r="9" spans="1:12" ht="12.75">
      <c r="A9" s="3009"/>
      <c r="B9" s="2971"/>
      <c r="C9" s="3021"/>
      <c r="D9" s="3034"/>
      <c r="E9" s="56" t="s">
        <v>1783</v>
      </c>
      <c r="F9" s="2200"/>
      <c r="G9" s="2200"/>
      <c r="H9" s="2200"/>
      <c r="I9" s="2201"/>
    </row>
    <row r="10" spans="1:12" ht="12.75">
      <c r="A10" s="3009" t="s">
        <v>1784</v>
      </c>
      <c r="B10" s="2971">
        <v>15</v>
      </c>
      <c r="C10" s="3020"/>
      <c r="D10" s="3034"/>
      <c r="E10" s="56" t="s">
        <v>1785</v>
      </c>
      <c r="F10" s="2200"/>
      <c r="G10" s="2200"/>
      <c r="H10" s="2200"/>
      <c r="I10" s="2201"/>
    </row>
    <row r="11" spans="1:12" ht="12.75">
      <c r="A11" s="3009"/>
      <c r="B11" s="2971"/>
      <c r="C11" s="3021"/>
      <c r="D11" s="3034"/>
      <c r="E11" s="56" t="s">
        <v>1786</v>
      </c>
      <c r="F11" s="2200"/>
      <c r="G11" s="2200"/>
      <c r="H11" s="2200"/>
      <c r="I11" s="2201"/>
    </row>
    <row r="12" spans="1:12" ht="12.75">
      <c r="A12" s="3009" t="s">
        <v>1787</v>
      </c>
      <c r="B12" s="2971">
        <v>15</v>
      </c>
      <c r="C12" s="3020"/>
      <c r="D12" s="3034"/>
      <c r="E12" s="56" t="s">
        <v>1788</v>
      </c>
      <c r="F12" s="2200"/>
      <c r="G12" s="2200"/>
      <c r="H12" s="2200"/>
      <c r="I12" s="2201"/>
    </row>
    <row r="13" spans="1:12" ht="12.75">
      <c r="A13" s="3009"/>
      <c r="B13" s="2971"/>
      <c r="C13" s="3021"/>
      <c r="D13" s="3034"/>
      <c r="E13" s="56" t="s">
        <v>1789</v>
      </c>
      <c r="F13" s="2200"/>
      <c r="G13" s="2200"/>
      <c r="H13" s="2200"/>
      <c r="I13" s="2201"/>
    </row>
    <row r="14" spans="1:12" ht="12.75">
      <c r="A14" s="3009" t="s">
        <v>1790</v>
      </c>
      <c r="B14" s="2971">
        <v>30</v>
      </c>
      <c r="C14" s="3020"/>
      <c r="D14" s="3034"/>
      <c r="E14" s="56" t="s">
        <v>1791</v>
      </c>
      <c r="F14" s="2200"/>
      <c r="G14" s="2200"/>
      <c r="H14" s="2200"/>
      <c r="I14" s="2201"/>
    </row>
    <row r="15" spans="1:12" ht="12.75">
      <c r="A15" s="3009"/>
      <c r="B15" s="2971"/>
      <c r="C15" s="3037"/>
      <c r="D15" s="3034"/>
      <c r="E15" s="56" t="s">
        <v>1792</v>
      </c>
      <c r="F15" s="2200"/>
      <c r="G15" s="2200"/>
      <c r="H15" s="2200"/>
      <c r="I15" s="2201"/>
    </row>
    <row r="16" spans="1:12" ht="12.75">
      <c r="A16" s="3009"/>
      <c r="B16" s="2971"/>
      <c r="C16" s="3021"/>
      <c r="D16" s="3034"/>
      <c r="E16" s="56" t="s">
        <v>1793</v>
      </c>
      <c r="F16" s="2200"/>
      <c r="G16" s="2200"/>
      <c r="H16" s="2200"/>
      <c r="I16" s="2201"/>
    </row>
    <row r="17" spans="1:35" ht="15">
      <c r="A17" s="2202" t="s">
        <v>1794</v>
      </c>
      <c r="B17" s="2203"/>
      <c r="C17" s="57">
        <f>SUM(C5:C16)</f>
        <v>7</v>
      </c>
      <c r="D17" s="57">
        <f>SUM(D5:D16)</f>
        <v>3</v>
      </c>
      <c r="E17" s="2195"/>
      <c r="F17" s="2195"/>
      <c r="G17" s="2195"/>
      <c r="H17" s="2195"/>
      <c r="I17" s="2195"/>
    </row>
    <row r="18" spans="1:35" ht="15.75" thickBot="1">
      <c r="A18" s="2204" t="s">
        <v>1795</v>
      </c>
      <c r="B18" s="2205"/>
      <c r="C18" s="58">
        <f>ROUND(C17/SUM(C17:D17),2)</f>
        <v>0.7</v>
      </c>
      <c r="D18" s="58">
        <f>1-C18</f>
        <v>0.30000000000000004</v>
      </c>
      <c r="E18" s="2195"/>
      <c r="F18" s="2195"/>
      <c r="G18" s="2195"/>
      <c r="H18" s="2195"/>
      <c r="I18" s="2195"/>
    </row>
    <row r="19" spans="1:35" ht="15">
      <c r="A19" s="2206" t="s">
        <v>1796</v>
      </c>
      <c r="B19" s="2207" t="s">
        <v>1797</v>
      </c>
      <c r="C19" s="59">
        <f ca="1">SUMIF(INDIRECT("'"&amp;C4&amp;"'"&amp;"!A:A"),结果表!B19,INDIRECT("'"&amp;C4&amp;"'"&amp;"!B:B"))</f>
        <v>5201507</v>
      </c>
      <c r="D19" s="60">
        <f ca="1">SUMIF(INDIRECT("'"&amp;D4&amp;"'"&amp;"!A:A"),结果表!B19,INDIRECT("'"&amp;D4&amp;"'"&amp;"!B:B"))</f>
        <v>7503627</v>
      </c>
      <c r="E19" s="2206" t="s">
        <v>1798</v>
      </c>
      <c r="F19" s="2207" t="s">
        <v>1797</v>
      </c>
      <c r="G19" s="61">
        <f ca="1">ROUND(C19*$C$18+D19*$D$18,0)</f>
        <v>5892143</v>
      </c>
      <c r="H19" s="2208" t="str">
        <f>'数据-取费表'!B3</f>
        <v>元</v>
      </c>
      <c r="I19" s="2195"/>
    </row>
    <row r="20" spans="1:35" ht="15">
      <c r="A20" s="2209"/>
      <c r="B20" s="2210" t="s">
        <v>1799</v>
      </c>
      <c r="C20" s="62">
        <f ca="1">SUMIF(INDIRECT("'"&amp;C4&amp;"'"&amp;"!A:A"),结果表!B20,INDIRECT("'"&amp;C4&amp;"'"&amp;"!B:B"))</f>
        <v>27480</v>
      </c>
      <c r="D20" s="63">
        <f ca="1">SUMIF(INDIRECT("'"&amp;D4&amp;"'"&amp;"!A:A"),结果表!B20,INDIRECT("'"&amp;D4&amp;"'"&amp;"!B:B"))</f>
        <v>39643</v>
      </c>
      <c r="E20" s="2209"/>
      <c r="F20" s="2210" t="s">
        <v>1799</v>
      </c>
      <c r="G20" s="64">
        <f ca="1">ROUND(C20*$C$18+D20*$D$18,0)</f>
        <v>31129</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f ca="1">IF(C19&lt;D19,D19/C19-1,C19/D19-1)</f>
        <v>0.4425871194636477</v>
      </c>
      <c r="E22" s="2195"/>
      <c r="F22" s="2195"/>
      <c r="G22" s="2195"/>
      <c r="H22" s="2195"/>
      <c r="I22" s="2195"/>
    </row>
    <row r="23" spans="1:35" ht="13.5" thickBot="1">
      <c r="A23" s="2195"/>
      <c r="B23" s="2195"/>
      <c r="C23" s="2195"/>
      <c r="D23" s="2195"/>
      <c r="E23" s="2195"/>
      <c r="F23" s="2195"/>
      <c r="G23" s="2195"/>
      <c r="H23" s="2195"/>
      <c r="I23" s="2195"/>
    </row>
    <row r="24" spans="1:35" ht="21.75" customHeight="1">
      <c r="A24" s="3040" t="s">
        <v>1802</v>
      </c>
      <c r="B24" s="2207" t="s">
        <v>1797</v>
      </c>
      <c r="C24" s="61">
        <f>D30</f>
        <v>0</v>
      </c>
      <c r="D24" s="994"/>
      <c r="E24" s="2195"/>
      <c r="F24" s="2195"/>
      <c r="G24" s="2195"/>
      <c r="H24" s="2195"/>
      <c r="I24" s="2195"/>
    </row>
    <row r="25" spans="1:35" ht="21.75" customHeight="1">
      <c r="A25" s="3041"/>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1807</v>
      </c>
      <c r="B30" s="67"/>
      <c r="C30" s="67"/>
      <c r="D30" s="67"/>
      <c r="E30" s="2714" t="s">
        <v>2805</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1808</v>
      </c>
      <c r="B32" s="2224" t="str">
        <f>'数据-取费表'!B4</f>
        <v>总价</v>
      </c>
      <c r="C32" s="1145">
        <f ca="1">IF(B32="总价",G19-C24,G20-C25)</f>
        <v>5892143</v>
      </c>
      <c r="D32" s="2195" t="str">
        <f>IF(B32="楼面单价","元/平方米",H19)</f>
        <v>元</v>
      </c>
      <c r="E32" s="2195"/>
      <c r="F32" s="2195"/>
      <c r="G32" s="2195"/>
      <c r="H32" s="2195"/>
      <c r="I32" s="2195"/>
    </row>
    <row r="33" spans="1:16" ht="15">
      <c r="A33" s="2225" t="s">
        <v>1809</v>
      </c>
      <c r="B33" s="2226"/>
      <c r="C33" s="2227"/>
      <c r="D33" s="2228"/>
      <c r="E33" s="2229" t="s">
        <v>1810</v>
      </c>
      <c r="F33" s="2230" t="str">
        <f>IF(B32="楼面单价","取值（单价）","取值（总价）")</f>
        <v>取值（总价）</v>
      </c>
      <c r="G33" s="2195"/>
      <c r="H33" s="2195"/>
      <c r="I33" s="2195"/>
    </row>
    <row r="34" spans="1:16" ht="15">
      <c r="A34" s="2231"/>
      <c r="B34" s="2232" t="s">
        <v>1811</v>
      </c>
      <c r="C34" s="72">
        <f ca="1">IF(D33="自定义",F34,C32-C35)</f>
        <v>13104126</v>
      </c>
      <c r="D34" s="1091">
        <f ca="1">IF(D33="自定义",ROUND(C34/C32,3),1-D35)</f>
        <v>2.2240000000000002</v>
      </c>
      <c r="E34" s="2233" t="s">
        <v>1812</v>
      </c>
      <c r="F34" s="1828">
        <v>2000</v>
      </c>
      <c r="G34" s="2195"/>
      <c r="H34" s="2195"/>
      <c r="I34" s="2195"/>
    </row>
    <row r="35" spans="1:16" ht="15.75" thickBot="1">
      <c r="A35" s="2234"/>
      <c r="B35" s="2235" t="s">
        <v>1813</v>
      </c>
      <c r="C35" s="73">
        <f ca="1">IF(D33="自定义",F35,ROUND(C32*D35,0))</f>
        <v>-7211983</v>
      </c>
      <c r="D35" s="1090">
        <f ca="1">IF(D33="自定义",ROUND(C35/C32,3),IF(D33="成本法成本比率",成本法!C56,IF(D33="收益法收益比率",收益法!J38,收益法!J41)))</f>
        <v>-1.224</v>
      </c>
      <c r="E35" s="2236" t="s">
        <v>1814</v>
      </c>
      <c r="F35" s="79">
        <v>4460</v>
      </c>
      <c r="G35" s="2195"/>
      <c r="H35" s="2195"/>
      <c r="I35" s="2195"/>
    </row>
    <row r="36" spans="1:16" ht="15.75" thickBot="1">
      <c r="A36" s="3022" t="s">
        <v>1815</v>
      </c>
      <c r="B36" s="2237" t="s">
        <v>1816</v>
      </c>
      <c r="C36" s="69">
        <v>0</v>
      </c>
      <c r="D36" s="2238"/>
      <c r="E36" s="2239"/>
      <c r="F36" s="2239"/>
      <c r="G36" s="2195"/>
      <c r="H36" s="2195"/>
      <c r="I36" s="2195"/>
    </row>
    <row r="37" spans="1:16" ht="15.75" thickBot="1">
      <c r="A37" s="3023"/>
      <c r="B37" s="2240" t="s">
        <v>1817</v>
      </c>
      <c r="C37" s="71">
        <v>0</v>
      </c>
      <c r="D37" s="2205"/>
      <c r="E37" s="2205"/>
      <c r="F37" s="2239"/>
      <c r="G37" s="2205"/>
      <c r="H37" s="2205"/>
      <c r="I37" s="2205"/>
    </row>
    <row r="38" spans="1:16" ht="15.75" thickBot="1">
      <c r="A38" s="3024"/>
      <c r="B38" s="2241" t="s">
        <v>1818</v>
      </c>
      <c r="C38" s="712">
        <v>0</v>
      </c>
      <c r="D38" s="2242" t="s">
        <v>1819</v>
      </c>
      <c r="E38" s="2205"/>
      <c r="F38" s="2239"/>
      <c r="G38" s="2205"/>
      <c r="H38" s="2205"/>
      <c r="I38" s="2205"/>
    </row>
    <row r="39" spans="1:16" ht="15">
      <c r="A39" s="2209" t="s">
        <v>1820</v>
      </c>
      <c r="B39" s="2243" t="s">
        <v>1804</v>
      </c>
      <c r="C39" s="2244" t="s">
        <v>1805</v>
      </c>
      <c r="D39" s="2244" t="s">
        <v>1821</v>
      </c>
      <c r="E39" s="2245" t="s">
        <v>1806</v>
      </c>
      <c r="F39" s="2239"/>
      <c r="G39" s="2205"/>
      <c r="H39" s="2205"/>
      <c r="I39" s="2205"/>
    </row>
    <row r="40" spans="1:16" ht="14.25">
      <c r="A40" s="2246" t="s">
        <v>1822</v>
      </c>
      <c r="B40" s="74"/>
      <c r="C40" s="75"/>
      <c r="D40" s="75"/>
      <c r="E40" s="76"/>
      <c r="F40" s="2239"/>
      <c r="G40" s="2205"/>
      <c r="H40" s="2205"/>
      <c r="I40" s="2205"/>
    </row>
    <row r="41" spans="1:16" ht="14.25">
      <c r="A41" s="2246" t="s">
        <v>1823</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1824</v>
      </c>
      <c r="B44" s="2252"/>
      <c r="C44" s="2252"/>
      <c r="D44" s="2253"/>
      <c r="E44" s="2253"/>
      <c r="F44" s="2254"/>
      <c r="G44" s="2254"/>
      <c r="H44" s="2254"/>
      <c r="I44" s="2254"/>
      <c r="J44" s="2255" t="s">
        <v>1825</v>
      </c>
      <c r="K44" s="2256"/>
      <c r="L44" s="2256"/>
      <c r="M44" s="2256"/>
      <c r="N44" s="2256"/>
      <c r="O44" s="2256"/>
      <c r="P44" s="1845"/>
    </row>
    <row r="45" spans="1:16" ht="14.25" customHeight="1" thickBot="1">
      <c r="A45" s="3028" t="s">
        <v>1826</v>
      </c>
      <c r="B45" s="3029"/>
      <c r="C45" s="3030"/>
      <c r="D45" s="80">
        <f ca="1">ROUND(I102*F45,0)</f>
        <v>5892143</v>
      </c>
      <c r="E45" s="81" t="s">
        <v>1827</v>
      </c>
      <c r="F45" s="82">
        <v>1</v>
      </c>
      <c r="G45" s="83" t="s">
        <v>1828</v>
      </c>
      <c r="H45" s="2195"/>
      <c r="I45" s="2195"/>
      <c r="J45" s="3090" t="s">
        <v>1829</v>
      </c>
      <c r="K45" s="3090"/>
      <c r="L45" s="3090"/>
      <c r="M45" s="3090"/>
      <c r="N45" s="3090"/>
      <c r="O45" s="3090"/>
      <c r="P45" s="1845"/>
    </row>
    <row r="46" spans="1:16" ht="14.25" customHeight="1">
      <c r="A46" s="3013" t="s">
        <v>1830</v>
      </c>
      <c r="B46" s="3014"/>
      <c r="C46" s="3014"/>
      <c r="D46" s="3014"/>
      <c r="E46" s="3014"/>
      <c r="F46" s="3014"/>
      <c r="G46" s="3015"/>
      <c r="H46" s="2257"/>
      <c r="I46" s="1144"/>
      <c r="J46" s="1883">
        <v>1</v>
      </c>
      <c r="K46" s="3090" t="s">
        <v>1831</v>
      </c>
      <c r="L46" s="3090"/>
      <c r="M46" s="3091" t="str">
        <f>项目基本情况!B1</f>
        <v>北京市预评估</v>
      </c>
      <c r="N46" s="3091"/>
      <c r="O46" s="3091"/>
      <c r="P46" s="1845"/>
    </row>
    <row r="47" spans="1:16" ht="12" customHeight="1">
      <c r="A47" s="85" t="s">
        <v>1832</v>
      </c>
      <c r="B47" s="86"/>
      <c r="C47" s="87"/>
      <c r="D47" s="88" t="s">
        <v>1833</v>
      </c>
      <c r="E47" s="14" t="s">
        <v>1834</v>
      </c>
      <c r="F47" s="89" t="s">
        <v>1835</v>
      </c>
      <c r="G47" s="90" t="s">
        <v>1836</v>
      </c>
      <c r="H47" s="2257"/>
      <c r="I47" s="1144"/>
      <c r="J47" s="1883">
        <v>2</v>
      </c>
      <c r="K47" s="3090" t="s">
        <v>1837</v>
      </c>
      <c r="L47" s="3090"/>
      <c r="M47" s="3092">
        <f>'数据-取费表'!B2</f>
        <v>42510</v>
      </c>
      <c r="N47" s="3092"/>
      <c r="O47" s="3092"/>
      <c r="P47" s="1845"/>
    </row>
    <row r="48" spans="1:16" ht="25.5">
      <c r="A48" s="3025" t="s">
        <v>1838</v>
      </c>
      <c r="B48" s="3026"/>
      <c r="C48" s="3026"/>
      <c r="D48" s="56">
        <f ca="1">IF(H48="情况1",0,IF(H48="情况2",D52,IF(H48="情况3",D53,IF(H48="情况4",D54))))</f>
        <v>308636</v>
      </c>
      <c r="E48" s="1893" t="str">
        <f>IF(H48="情况4","(销售额-原购置价)×税（费）率","销售额×税（费）率")</f>
        <v>销售额×税（费）率</v>
      </c>
      <c r="F48" s="91">
        <f>IF(H48="情况1","免征",'数据-取费表'!E29)</f>
        <v>5.5000000000000007E-2</v>
      </c>
      <c r="G48" s="2258" t="s">
        <v>1839</v>
      </c>
      <c r="H48" s="2259" t="s">
        <v>1840</v>
      </c>
      <c r="I48" s="2257"/>
      <c r="J48" s="1883">
        <v>3</v>
      </c>
      <c r="K48" s="3090" t="s">
        <v>1841</v>
      </c>
      <c r="L48" s="3090"/>
      <c r="M48" s="3091">
        <f ca="1">I102</f>
        <v>5892143</v>
      </c>
      <c r="N48" s="3091"/>
      <c r="O48" s="3091"/>
      <c r="P48" s="1845"/>
    </row>
    <row r="49" spans="1:16" ht="25.5" customHeight="1">
      <c r="A49" s="92" t="s">
        <v>1842</v>
      </c>
      <c r="B49" s="3018" t="s">
        <v>1843</v>
      </c>
      <c r="C49" s="3018"/>
      <c r="D49" s="93">
        <v>0</v>
      </c>
      <c r="E49" s="13" t="s">
        <v>1844</v>
      </c>
      <c r="F49" s="18" t="s">
        <v>48</v>
      </c>
      <c r="G49" s="3083"/>
      <c r="H49" s="2195"/>
      <c r="I49" s="2260"/>
      <c r="J49" s="1883">
        <v>4</v>
      </c>
      <c r="K49" s="3090" t="str">
        <f>IF(项目基本情况!F5="房地产抵押价值","房地产抵押价值","抵押担保权已注销时的房地产抵押价值")</f>
        <v>抵押担保权已注销时的房地产抵押价值</v>
      </c>
      <c r="L49" s="3090"/>
      <c r="M49" s="3091" t="str">
        <f>IF(项目基本情况!F5="房地产抵押价值",I110,I112)</f>
        <v>——</v>
      </c>
      <c r="N49" s="3091"/>
      <c r="O49" s="3091"/>
      <c r="P49" s="1845"/>
    </row>
    <row r="50" spans="1:16" ht="25.5" customHeight="1">
      <c r="A50" s="94"/>
      <c r="B50" s="3018" t="s">
        <v>1845</v>
      </c>
      <c r="C50" s="3018"/>
      <c r="D50" s="95"/>
      <c r="E50" s="21"/>
      <c r="F50" s="96"/>
      <c r="G50" s="3084"/>
      <c r="H50" s="2195"/>
      <c r="I50" s="2260"/>
      <c r="J50" s="3090" t="s">
        <v>1846</v>
      </c>
      <c r="K50" s="3090"/>
      <c r="L50" s="3090"/>
      <c r="M50" s="3090"/>
      <c r="N50" s="3090"/>
      <c r="O50" s="3090"/>
      <c r="P50" s="1845"/>
    </row>
    <row r="51" spans="1:16" ht="12" customHeight="1">
      <c r="A51" s="97"/>
      <c r="B51" s="3018" t="s">
        <v>1847</v>
      </c>
      <c r="C51" s="3018"/>
      <c r="D51" s="98"/>
      <c r="E51" s="20"/>
      <c r="F51" s="96"/>
      <c r="G51" s="3085"/>
      <c r="H51" s="2195"/>
      <c r="I51" s="2260"/>
      <c r="J51" s="2261" t="s">
        <v>1848</v>
      </c>
      <c r="K51" s="3090" t="s">
        <v>1849</v>
      </c>
      <c r="L51" s="3090"/>
      <c r="M51" s="2261" t="s">
        <v>1850</v>
      </c>
      <c r="N51" s="2261" t="s">
        <v>1851</v>
      </c>
      <c r="O51" s="2261" t="s">
        <v>1852</v>
      </c>
      <c r="P51" s="1845"/>
    </row>
    <row r="52" spans="1:16" ht="24" customHeight="1">
      <c r="A52" s="99" t="s">
        <v>1853</v>
      </c>
      <c r="B52" s="3018" t="s">
        <v>1854</v>
      </c>
      <c r="C52" s="3018"/>
      <c r="D52" s="98">
        <f ca="1">ROUND(D45*'数据-取费表'!E29/(1+'数据-取费表'!F30),0)</f>
        <v>308636</v>
      </c>
      <c r="E52" s="10" t="s">
        <v>1855</v>
      </c>
      <c r="F52" s="100">
        <f>'数据-取费表'!E29</f>
        <v>5.5000000000000007E-2</v>
      </c>
      <c r="G52" s="2262"/>
      <c r="H52" s="2195"/>
      <c r="I52" s="2260"/>
      <c r="J52" s="1883">
        <v>1</v>
      </c>
      <c r="K52" s="3050" t="s">
        <v>1856</v>
      </c>
      <c r="L52" s="3050"/>
      <c r="M52" s="778">
        <f ca="1">D48</f>
        <v>308636</v>
      </c>
      <c r="N52" s="1883" t="str">
        <f>E48</f>
        <v>销售额×税（费）率</v>
      </c>
      <c r="O52" s="779">
        <f>F48</f>
        <v>5.5000000000000007E-2</v>
      </c>
      <c r="P52" s="1845"/>
    </row>
    <row r="53" spans="1:16" ht="12" customHeight="1">
      <c r="A53" s="99" t="s">
        <v>1857</v>
      </c>
      <c r="B53" s="3019" t="s">
        <v>1858</v>
      </c>
      <c r="C53" s="2949"/>
      <c r="D53" s="98">
        <f ca="1">ROUND(D45*'数据-取费表'!E29/(1+'数据-取费表'!F30),0)</f>
        <v>308636</v>
      </c>
      <c r="E53" s="10" t="s">
        <v>1855</v>
      </c>
      <c r="F53" s="100">
        <f>'数据-取费表'!E29</f>
        <v>5.5000000000000007E-2</v>
      </c>
      <c r="G53" s="2262"/>
      <c r="H53" s="2195"/>
      <c r="I53" s="2260"/>
      <c r="J53" s="1883">
        <v>2</v>
      </c>
      <c r="K53" s="3050" t="s">
        <v>1859</v>
      </c>
      <c r="L53" s="3050"/>
      <c r="M53" s="778">
        <f t="shared" ref="M53:O54" ca="1" si="1">D55</f>
        <v>2946</v>
      </c>
      <c r="N53" s="1883" t="str">
        <f t="shared" si="1"/>
        <v>销售额×税（费）率</v>
      </c>
      <c r="O53" s="779">
        <f t="shared" si="1"/>
        <v>5.0000000000000001E-4</v>
      </c>
      <c r="P53" s="1845"/>
    </row>
    <row r="54" spans="1:16" ht="12" customHeight="1">
      <c r="A54" s="99" t="s">
        <v>1860</v>
      </c>
      <c r="B54" s="3019" t="s">
        <v>1861</v>
      </c>
      <c r="C54" s="2949"/>
      <c r="D54" s="98">
        <f ca="1">C68</f>
        <v>308636</v>
      </c>
      <c r="E54" s="20" t="s">
        <v>1862</v>
      </c>
      <c r="F54" s="100">
        <f>'数据-取费表'!E29</f>
        <v>5.5000000000000007E-2</v>
      </c>
      <c r="G54" s="2262"/>
      <c r="H54" s="2263"/>
      <c r="I54" s="2260"/>
      <c r="J54" s="1883">
        <v>3</v>
      </c>
      <c r="K54" s="3050" t="s">
        <v>1863</v>
      </c>
      <c r="L54" s="3050"/>
      <c r="M54" s="778">
        <f t="shared" ca="1" si="1"/>
        <v>3340284</v>
      </c>
      <c r="N54" s="1883" t="str">
        <f t="shared" si="1"/>
        <v>增值额×税（费）率</v>
      </c>
      <c r="O54" s="780" t="str">
        <f t="shared" si="1"/>
        <v>——</v>
      </c>
      <c r="P54" s="1845"/>
    </row>
    <row r="55" spans="1:16" ht="24" customHeight="1">
      <c r="A55" s="2941" t="s">
        <v>1864</v>
      </c>
      <c r="B55" s="3026"/>
      <c r="C55" s="3026"/>
      <c r="D55" s="101">
        <f ca="1">IF(H55="个人住宅",0,ROUND(D45*I55,0))</f>
        <v>2946</v>
      </c>
      <c r="E55" s="10" t="s">
        <v>1865</v>
      </c>
      <c r="F55" s="100">
        <f>IF(H55="正常",I55,"免征")</f>
        <v>5.0000000000000001E-4</v>
      </c>
      <c r="G55" s="2262"/>
      <c r="H55" s="2259" t="s">
        <v>1866</v>
      </c>
      <c r="I55" s="102">
        <f>'数据-取费表'!E37</f>
        <v>5.0000000000000001E-4</v>
      </c>
      <c r="J55" s="1883">
        <f>IF(H59="非个人房产","",4)</f>
        <v>4</v>
      </c>
      <c r="K55" s="3050" t="str">
        <f>IF(H59="非个人房产","——","个人所得税")</f>
        <v>个人所得税</v>
      </c>
      <c r="L55" s="3050"/>
      <c r="M55" s="781">
        <f ca="1">D59</f>
        <v>58921</v>
      </c>
      <c r="N55" s="1886" t="str">
        <f>E59</f>
        <v>销售额×税（费）率</v>
      </c>
      <c r="O55" s="782">
        <f>F59</f>
        <v>0.01</v>
      </c>
      <c r="P55" s="1845"/>
    </row>
    <row r="56" spans="1:16" ht="24.75">
      <c r="A56" s="2941" t="s">
        <v>1867</v>
      </c>
      <c r="B56" s="3026"/>
      <c r="C56" s="3026"/>
      <c r="D56" s="101">
        <f ca="1">IF(H56="个人住宅",D57,D58)</f>
        <v>3340284</v>
      </c>
      <c r="E56" s="10" t="s">
        <v>1868</v>
      </c>
      <c r="F56" s="100" t="str">
        <f>IF(H56="正常",F58,"免征")</f>
        <v>——</v>
      </c>
      <c r="G56" s="2264" t="s">
        <v>1869</v>
      </c>
      <c r="H56" s="2265" t="s">
        <v>1866</v>
      </c>
      <c r="I56" s="1022"/>
      <c r="J56" s="1883" t="str">
        <f>IF(项目基本情况!I6="上海银行",IF(J55="",4,J55+1),"")</f>
        <v/>
      </c>
      <c r="K56" s="3068" t="str">
        <f>IF(项目基本情况!I6="上海银行","其他处置费用","")</f>
        <v/>
      </c>
      <c r="L56" s="3069"/>
      <c r="M56" s="778" t="str">
        <f>IF(项目基本情况!I6="上海银行",M69,"")</f>
        <v/>
      </c>
      <c r="N56" s="3081" t="str">
        <f>IF(项目基本情况!I6="上海银行","包含处置中涉及的律师、诉讼、拍卖、评估等费用","")</f>
        <v/>
      </c>
      <c r="O56" s="3082"/>
      <c r="P56" s="1845"/>
    </row>
    <row r="57" spans="1:16" ht="12.75">
      <c r="A57" s="99" t="s">
        <v>1842</v>
      </c>
      <c r="B57" s="3016" t="s">
        <v>1870</v>
      </c>
      <c r="C57" s="3027"/>
      <c r="D57" s="103">
        <v>0</v>
      </c>
      <c r="E57" s="13" t="s">
        <v>1844</v>
      </c>
      <c r="F57" s="70"/>
      <c r="G57" s="2262"/>
      <c r="H57" s="1022"/>
      <c r="I57" s="1022"/>
      <c r="J57" s="3050">
        <f>IF(AND(J55="",J56=""),4,IF(项目基本情况!I6="上海银行",J56+1,J55+1))</f>
        <v>5</v>
      </c>
      <c r="K57" s="3050" t="s">
        <v>1871</v>
      </c>
      <c r="L57" s="2266" t="s">
        <v>1872</v>
      </c>
      <c r="M57" s="783"/>
      <c r="N57" s="784">
        <f ca="1">SUMIF(M52:M56,"&lt;9e307")</f>
        <v>3710787</v>
      </c>
      <c r="O57" s="2267"/>
      <c r="P57" s="1841" t="e">
        <f ca="1">N57/M49</f>
        <v>#VALUE!</v>
      </c>
    </row>
    <row r="58" spans="1:16" ht="24.75">
      <c r="A58" s="99" t="s">
        <v>1853</v>
      </c>
      <c r="B58" s="3016" t="s">
        <v>1873</v>
      </c>
      <c r="C58" s="3017"/>
      <c r="D58" s="101">
        <f ca="1">IF(H58="转让取得",C81,C97)</f>
        <v>3340284</v>
      </c>
      <c r="E58" s="10" t="s">
        <v>1868</v>
      </c>
      <c r="F58" s="14" t="s">
        <v>48</v>
      </c>
      <c r="G58" s="2262"/>
      <c r="H58" s="2265" t="s">
        <v>1874</v>
      </c>
      <c r="I58" s="1022"/>
      <c r="J58" s="3050"/>
      <c r="K58" s="3050"/>
      <c r="L58" s="2266" t="s">
        <v>1875</v>
      </c>
      <c r="M58" s="785"/>
      <c r="N58" s="2268" t="str">
        <f ca="1">IF(H19="元",NUMBERSTRING(INT(N57),2)&amp;"元整",NUMBERSTRING(INT(N57*10000),2)&amp;"元整")</f>
        <v>叁佰柒拾壹万零柒佰捌拾柒元整</v>
      </c>
      <c r="O58" s="2269"/>
      <c r="P58" s="1845"/>
    </row>
    <row r="59" spans="1:16" ht="26.25" thickBot="1">
      <c r="A59" s="2942" t="s">
        <v>1876</v>
      </c>
      <c r="B59" s="2945"/>
      <c r="C59" s="2945"/>
      <c r="D59" s="104">
        <f ca="1">IF(H59="非个人房产","——",IF(H59="个人住宅",0,ROUND(D45*I59,0)))</f>
        <v>58921</v>
      </c>
      <c r="E59" s="105" t="str">
        <f>IF(H59="非个人房产","——","销售额×税（费）率")</f>
        <v>销售额×税（费）率</v>
      </c>
      <c r="F59" s="106">
        <f>IF(H59="非个人房产","——",IF(H59="个人住宅","免征",I59))</f>
        <v>0.01</v>
      </c>
      <c r="G59" s="2270" t="s">
        <v>1869</v>
      </c>
      <c r="H59" s="2265" t="s">
        <v>1877</v>
      </c>
      <c r="I59" s="107">
        <v>0.01</v>
      </c>
      <c r="J59" s="3048">
        <f>J57+1</f>
        <v>6</v>
      </c>
      <c r="K59" s="3050" t="s">
        <v>1878</v>
      </c>
      <c r="L59" s="1883" t="s">
        <v>1872</v>
      </c>
      <c r="M59" s="786"/>
      <c r="N59" s="787" t="e">
        <f ca="1">M49-N57</f>
        <v>#VALUE!</v>
      </c>
      <c r="O59" s="2271"/>
      <c r="P59" s="1845"/>
    </row>
    <row r="60" spans="1:16" ht="12" customHeight="1">
      <c r="A60" s="2067"/>
      <c r="B60" s="2195"/>
      <c r="C60" s="2195"/>
      <c r="D60" s="2195"/>
      <c r="E60" s="1022"/>
      <c r="F60" s="1022"/>
      <c r="G60" s="1022"/>
      <c r="H60" s="2248"/>
      <c r="I60" s="2195"/>
      <c r="J60" s="3049"/>
      <c r="K60" s="3050"/>
      <c r="L60" s="2266" t="s">
        <v>1875</v>
      </c>
      <c r="M60" s="785"/>
      <c r="N60" s="2268" t="e">
        <f ca="1">IF(H19="元",NUMBERSTRING(INT(N59),2)&amp;"元整",NUMBERSTRING(INT(N59*10000),2)&amp;"元整")</f>
        <v>#VALUE!</v>
      </c>
      <c r="O60" s="2269"/>
      <c r="P60" s="1845"/>
    </row>
    <row r="61" spans="1:16" ht="13.5" thickBot="1">
      <c r="A61" s="3031" t="s">
        <v>1879</v>
      </c>
      <c r="B61" s="3031"/>
      <c r="C61" s="3031"/>
      <c r="D61" s="3031"/>
      <c r="E61" s="3031"/>
      <c r="F61" s="1022"/>
      <c r="G61" s="1022"/>
      <c r="H61" s="2248"/>
      <c r="I61" s="2195"/>
      <c r="J61" s="1883">
        <f>J59+1</f>
        <v>7</v>
      </c>
      <c r="K61" s="3050" t="s">
        <v>1880</v>
      </c>
      <c r="L61" s="3050"/>
      <c r="M61" s="788"/>
      <c r="N61" s="789" t="e">
        <f ca="1">IF(H19="元",ROUND(N59/项目基本情况!C12,0),ROUND(N59*10000/项目基本情况!C12,0))</f>
        <v>#VALUE!</v>
      </c>
      <c r="O61" s="2272"/>
      <c r="P61" s="1845"/>
    </row>
    <row r="62" spans="1:16" ht="12.75">
      <c r="A62" s="3038" t="s">
        <v>1881</v>
      </c>
      <c r="B62" s="3039"/>
      <c r="C62" s="1885"/>
      <c r="D62" s="1885" t="s">
        <v>1882</v>
      </c>
      <c r="E62" s="108" t="s">
        <v>1883</v>
      </c>
      <c r="F62" s="1022"/>
      <c r="G62" s="1022"/>
      <c r="H62" s="2248"/>
      <c r="I62" s="2195"/>
      <c r="J62" s="1845"/>
      <c r="K62" s="1845"/>
      <c r="L62" s="1845"/>
      <c r="M62" s="1845"/>
      <c r="N62" s="1845"/>
      <c r="O62" s="1845"/>
      <c r="P62" s="1845"/>
    </row>
    <row r="63" spans="1:16" ht="12.75">
      <c r="A63" s="109">
        <v>1</v>
      </c>
      <c r="B63" s="110" t="s">
        <v>1884</v>
      </c>
      <c r="C63" s="111">
        <f ca="1">ROUND((C64+C65)/(1+'数据-取费表'!F30),0)</f>
        <v>5611565</v>
      </c>
      <c r="D63" s="112"/>
      <c r="E63" s="113"/>
      <c r="F63" s="1022"/>
      <c r="G63" s="1022"/>
      <c r="H63" s="2248"/>
      <c r="I63" s="2195"/>
      <c r="J63" s="3070" t="s">
        <v>1885</v>
      </c>
      <c r="K63" s="2273"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5892143</v>
      </c>
      <c r="D64" s="117" t="s">
        <v>41</v>
      </c>
      <c r="E64" s="118"/>
      <c r="F64" s="1022"/>
      <c r="G64" s="1022"/>
      <c r="H64" s="2248"/>
      <c r="I64" s="2195"/>
      <c r="J64" s="3070"/>
      <c r="K64" s="2273"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8"/>
      <c r="I65" s="2195"/>
      <c r="J65" s="3070"/>
      <c r="K65" s="2273"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8"/>
      <c r="I66" s="2195"/>
      <c r="J66" s="3070"/>
      <c r="K66" s="2273" t="s">
        <v>1894</v>
      </c>
      <c r="L66" s="1844" t="e">
        <f>M49*0.5%</f>
        <v>#VALUE!</v>
      </c>
      <c r="M66" s="14" t="e">
        <f>IF(L66&gt;0.5,0.5,ROUND(L66,0))</f>
        <v>#VALUE!</v>
      </c>
      <c r="N66" s="1845" t="s">
        <v>1895</v>
      </c>
      <c r="O66" s="1845"/>
      <c r="P66" s="1845"/>
    </row>
    <row r="67" spans="1:35" ht="12.75">
      <c r="A67" s="120" t="s">
        <v>42</v>
      </c>
      <c r="B67" s="121" t="s">
        <v>1896</v>
      </c>
      <c r="C67" s="124">
        <f ca="1">C63-C66</f>
        <v>5611565</v>
      </c>
      <c r="D67" s="117" t="s">
        <v>41</v>
      </c>
      <c r="E67" s="118"/>
      <c r="F67" s="1022"/>
      <c r="G67" s="1022"/>
      <c r="H67" s="2248"/>
      <c r="I67" s="2195"/>
      <c r="J67" s="3070"/>
      <c r="K67" s="2273"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308636</v>
      </c>
      <c r="D68" s="128">
        <f>'数据-取费表'!E29</f>
        <v>5.5000000000000007E-2</v>
      </c>
      <c r="E68" s="129"/>
      <c r="F68" s="1022"/>
      <c r="G68" s="1022"/>
      <c r="H68" s="2248"/>
      <c r="I68" s="2195"/>
      <c r="J68" s="3070"/>
      <c r="K68" s="2273" t="s">
        <v>1899</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3070"/>
      <c r="K69" s="2273" t="s">
        <v>1900</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3042" t="s">
        <v>1901</v>
      </c>
      <c r="B70" s="3043"/>
      <c r="C70" s="3043"/>
      <c r="D70" s="3043"/>
      <c r="E70" s="3043"/>
      <c r="F70" s="3043"/>
      <c r="G70" s="3043"/>
      <c r="H70" s="304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3038" t="s">
        <v>1881</v>
      </c>
      <c r="B71" s="3039"/>
      <c r="C71" s="1885"/>
      <c r="D71" s="1885" t="s">
        <v>1882</v>
      </c>
      <c r="E71" s="130" t="s">
        <v>1883</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1902</v>
      </c>
      <c r="C72" s="124">
        <f ca="1">ROUND(D45/(1+'数据-取费表'!F30),0)</f>
        <v>5611565</v>
      </c>
      <c r="D72" s="117" t="s">
        <v>41</v>
      </c>
      <c r="E72" s="12" t="s">
        <v>1903</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1904</v>
      </c>
      <c r="C73" s="124">
        <f ca="1">C74+C78</f>
        <v>28058</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1905</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1906</v>
      </c>
      <c r="C75" s="137"/>
      <c r="D75" s="117" t="s">
        <v>41</v>
      </c>
      <c r="E75" s="138" t="s">
        <v>1907</v>
      </c>
      <c r="F75" s="2284" t="s">
        <v>1908</v>
      </c>
      <c r="G75" s="138" t="s">
        <v>1909</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1910</v>
      </c>
      <c r="C76" s="117">
        <f>IF(F75="购房发票",ROUND(C75*H75*D76,0),0)</f>
        <v>0</v>
      </c>
      <c r="D76" s="141">
        <v>0.05</v>
      </c>
      <c r="E76" s="3019" t="s">
        <v>1911</v>
      </c>
      <c r="F76" s="3018"/>
      <c r="G76" s="3018"/>
      <c r="H76" s="303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5" t="s">
        <v>1914</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1915</v>
      </c>
      <c r="C78" s="144">
        <f ca="1">ROUND(D45*D78/(1+'数据-取费表'!F30),0)</f>
        <v>28058</v>
      </c>
      <c r="D78" s="145">
        <f>'数据-取费表'!E31</f>
        <v>5.000000000000001E-3</v>
      </c>
      <c r="E78" s="3010" t="s">
        <v>1916</v>
      </c>
      <c r="F78" s="3011"/>
      <c r="G78" s="3011"/>
      <c r="H78" s="301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1917</v>
      </c>
      <c r="C79" s="124">
        <f ca="1">C72-C73</f>
        <v>5583507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1918</v>
      </c>
      <c r="C80" s="147">
        <f ca="1">IF(C79&lt;=0,0,C79/C73)</f>
        <v>198.99875258393328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1919</v>
      </c>
      <c r="C81" s="149">
        <f ca="1">ROUND(IF(C79&lt;=0,0,IF(C80&gt;=200%,C79*60%-C73*35%,IF(C80&gt;=100%,C79*50%-C73*15%,IF(C80&gt;=50%,C79*40%-C73*5%,IF(C80&lt;50%,C79*30%,0))))),0)</f>
        <v>3340284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3042" t="s">
        <v>1920</v>
      </c>
      <c r="B83" s="3043"/>
      <c r="C83" s="3043"/>
      <c r="D83" s="3043"/>
      <c r="E83" s="3043"/>
      <c r="F83" s="3043"/>
      <c r="G83" s="3043"/>
      <c r="H83" s="304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3038" t="s">
        <v>1881</v>
      </c>
      <c r="B84" s="3039"/>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1902</v>
      </c>
      <c r="C85" s="124">
        <f ca="1">ROUND(D45/(1+'数据-取费表'!F30),0)</f>
        <v>5611565</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1904</v>
      </c>
      <c r="C86" s="124">
        <f ca="1">IF(H88="仅含出让金",C87+C90+C91+C92+C93+C94,C87+C91+C92+C93+C94)</f>
        <v>28058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1922</v>
      </c>
      <c r="C88" s="157"/>
      <c r="D88" s="145"/>
      <c r="E88" s="158" t="s">
        <v>1923</v>
      </c>
      <c r="F88" s="1882"/>
      <c r="G88" s="159" t="s">
        <v>1924</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1927</v>
      </c>
      <c r="C91" s="144">
        <f>IF(H91="——",成本法!C33,I91)</f>
        <v>0</v>
      </c>
      <c r="D91" s="145"/>
      <c r="E91" s="3010" t="s">
        <v>1928</v>
      </c>
      <c r="F91" s="3011"/>
      <c r="G91" s="3011"/>
      <c r="H91" s="2288" t="s">
        <v>1929</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1930</v>
      </c>
      <c r="C92" s="144">
        <f>ROUND((C87+C90+C91)*D92,0)</f>
        <v>0</v>
      </c>
      <c r="D92" s="145">
        <v>0.1</v>
      </c>
      <c r="E92" s="3010" t="s">
        <v>1931</v>
      </c>
      <c r="F92" s="3011"/>
      <c r="G92" s="3011"/>
      <c r="H92" s="301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1915</v>
      </c>
      <c r="C93" s="144">
        <f ca="1">ROUND(D45*D93/(1+'数据-取费表'!F30),0)</f>
        <v>28058</v>
      </c>
      <c r="D93" s="145">
        <f>'数据-取费表'!E31</f>
        <v>5.000000000000001E-3</v>
      </c>
      <c r="E93" s="3010" t="s">
        <v>1916</v>
      </c>
      <c r="F93" s="3011"/>
      <c r="G93" s="3011"/>
      <c r="H93" s="301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1932</v>
      </c>
      <c r="C94" s="144">
        <f>ROUND((C87+C90+C91)*D94,0)</f>
        <v>0</v>
      </c>
      <c r="D94" s="145">
        <v>0.2</v>
      </c>
      <c r="E94" s="3010" t="s">
        <v>1933</v>
      </c>
      <c r="F94" s="3011"/>
      <c r="G94" s="3011"/>
      <c r="H94" s="301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1917</v>
      </c>
      <c r="C95" s="124">
        <f ca="1">ROUND(C85-C86,0)</f>
        <v>5583507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1918</v>
      </c>
      <c r="C96" s="147">
        <f ca="1">IF(C95&lt;=0,0,C95/C86)</f>
        <v>198.99875258393328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1919</v>
      </c>
      <c r="C97" s="149">
        <f ca="1">ROUND(IF(C95&lt;=0,0,IF(C96&gt;=200%,C95*60%-C86*35%,IF(C96&gt;=100%,C95*50%-C86*15%,IF(C96&gt;=50%,C95*40%-C86*5%,IF(C96&lt;50%,C95*30%,0))))),0)</f>
        <v>3340284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1934</v>
      </c>
      <c r="B98" s="2195"/>
      <c r="C98" s="2195"/>
      <c r="D98" s="2195"/>
      <c r="E98" s="1022"/>
      <c r="F98" s="1022"/>
      <c r="G98" s="1022"/>
      <c r="H98" s="2248"/>
      <c r="I98" s="2195"/>
    </row>
    <row r="99" spans="1:35" ht="15.75">
      <c r="A99" s="3065" t="s">
        <v>1935</v>
      </c>
      <c r="B99" s="3066"/>
      <c r="C99" s="3066"/>
      <c r="D99" s="3067"/>
      <c r="E99" s="2195"/>
      <c r="F99" s="3076" t="s">
        <v>1936</v>
      </c>
      <c r="G99" s="3077"/>
      <c r="H99" s="3077"/>
      <c r="I99" s="3078"/>
    </row>
    <row r="100" spans="1:35" ht="15.75">
      <c r="A100" s="3079" t="s">
        <v>1937</v>
      </c>
      <c r="B100" s="3080"/>
      <c r="C100" s="720" t="str">
        <f>C4</f>
        <v>成本法</v>
      </c>
      <c r="D100" s="721" t="str">
        <f>D4</f>
        <v>比较法-住宅</v>
      </c>
      <c r="E100" s="2195"/>
      <c r="F100" s="2975" t="s">
        <v>1938</v>
      </c>
      <c r="G100" s="2976"/>
      <c r="H100" s="2975" t="s">
        <v>1939</v>
      </c>
      <c r="I100" s="2974"/>
    </row>
    <row r="101" spans="1:35" ht="15.75">
      <c r="A101" s="3057" t="s">
        <v>1940</v>
      </c>
      <c r="B101" s="2290" t="str">
        <f>IF(H19="元","总价（元）","总价（万元）")</f>
        <v>总价（元）</v>
      </c>
      <c r="C101" s="720">
        <f ca="1">C19</f>
        <v>5201507</v>
      </c>
      <c r="D101" s="721">
        <f ca="1">D19</f>
        <v>7503627</v>
      </c>
      <c r="E101" s="2195"/>
      <c r="F101" s="2975" t="str">
        <f>项目基本情况!I1</f>
        <v>北京市房地产</v>
      </c>
      <c r="G101" s="2976"/>
      <c r="H101" s="2973">
        <f>项目基本情况!C12</f>
        <v>189.28</v>
      </c>
      <c r="I101" s="2974"/>
    </row>
    <row r="102" spans="1:35" ht="15.75">
      <c r="A102" s="3057"/>
      <c r="B102" s="2290" t="s">
        <v>1941</v>
      </c>
      <c r="C102" s="722">
        <f ca="1">C20</f>
        <v>27480</v>
      </c>
      <c r="D102" s="723">
        <f ca="1">D20</f>
        <v>39643</v>
      </c>
      <c r="E102" s="2195"/>
      <c r="F102" s="3002" t="s">
        <v>1942</v>
      </c>
      <c r="G102" s="3003"/>
      <c r="H102" s="2291" t="str">
        <f>C106</f>
        <v>总价（元）</v>
      </c>
      <c r="I102" s="1862">
        <f ca="1">H121</f>
        <v>5892143</v>
      </c>
    </row>
    <row r="103" spans="1:35" ht="15">
      <c r="A103" s="3057" t="s">
        <v>1943</v>
      </c>
      <c r="B103" s="2292" t="str">
        <f>B101</f>
        <v>总价（元）</v>
      </c>
      <c r="C103" s="724">
        <f ca="1">H121</f>
        <v>5892143</v>
      </c>
      <c r="D103" s="725"/>
      <c r="E103" s="2195"/>
      <c r="F103" s="3002"/>
      <c r="G103" s="3003"/>
      <c r="H103" s="2291" t="s">
        <v>1941</v>
      </c>
      <c r="I103" s="1050">
        <f ca="1">I121</f>
        <v>31129</v>
      </c>
    </row>
    <row r="104" spans="1:35" ht="16.5" thickBot="1">
      <c r="A104" s="3058"/>
      <c r="B104" s="2293" t="s">
        <v>1941</v>
      </c>
      <c r="C104" s="726">
        <f ca="1">I121</f>
        <v>31129</v>
      </c>
      <c r="D104" s="727"/>
      <c r="E104" s="2195"/>
      <c r="F104" s="3074"/>
      <c r="G104" s="3075"/>
      <c r="H104" s="3059"/>
      <c r="I104" s="3060"/>
    </row>
    <row r="105" spans="1:35" ht="15.75">
      <c r="A105" s="3065" t="s">
        <v>1944</v>
      </c>
      <c r="B105" s="3066"/>
      <c r="C105" s="3066"/>
      <c r="D105" s="3067"/>
      <c r="E105" s="2195"/>
      <c r="F105" s="3063" t="s">
        <v>1945</v>
      </c>
      <c r="G105" s="3064"/>
      <c r="H105" s="2294" t="str">
        <f>C108</f>
        <v>总额（元）</v>
      </c>
      <c r="I105" s="1862">
        <f>SUMIF(I106:I108,"&lt;9E307")</f>
        <v>0</v>
      </c>
    </row>
    <row r="106" spans="1:35" ht="15">
      <c r="A106" s="2989" t="s">
        <v>1946</v>
      </c>
      <c r="B106" s="2990"/>
      <c r="C106" s="2291" t="str">
        <f>B101</f>
        <v>总价（元）</v>
      </c>
      <c r="D106" s="1051">
        <f ca="1">H121</f>
        <v>5892143</v>
      </c>
      <c r="E106" s="2195"/>
      <c r="F106" s="2991" t="s">
        <v>1947</v>
      </c>
      <c r="G106" s="2992"/>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89"/>
      <c r="B107" s="2990"/>
      <c r="C107" s="2291" t="s">
        <v>1941</v>
      </c>
      <c r="D107" s="1052">
        <f ca="1">I121</f>
        <v>31129</v>
      </c>
      <c r="E107" s="2195"/>
      <c r="F107" s="2991" t="s">
        <v>1948</v>
      </c>
      <c r="G107" s="2992"/>
      <c r="H107" s="2294" t="str">
        <f>C110</f>
        <v>总额（元）</v>
      </c>
      <c r="I107" s="1050">
        <f>C37</f>
        <v>0</v>
      </c>
      <c r="K107" s="2295"/>
    </row>
    <row r="108" spans="1:35" ht="15">
      <c r="A108" s="2996" t="s">
        <v>1949</v>
      </c>
      <c r="B108" s="2997"/>
      <c r="C108" s="2294" t="str">
        <f>IF(H19="元","总额（元）","总额（万元）")</f>
        <v>总额（元）</v>
      </c>
      <c r="D108" s="1051">
        <f>IF(D36="正常操作",I106+I107+I108,I107+I108)</f>
        <v>0</v>
      </c>
      <c r="E108" s="2195"/>
      <c r="F108" s="2991" t="s">
        <v>1950</v>
      </c>
      <c r="G108" s="2992"/>
      <c r="H108" s="2294" t="str">
        <f>C111</f>
        <v>总额（元）</v>
      </c>
      <c r="I108" s="1050">
        <f>C38</f>
        <v>0</v>
      </c>
    </row>
    <row r="109" spans="1:35" ht="15.75">
      <c r="A109" s="2991" t="s">
        <v>1947</v>
      </c>
      <c r="B109" s="2992"/>
      <c r="C109" s="2294" t="str">
        <f>C108</f>
        <v>总额（元）</v>
      </c>
      <c r="D109" s="637">
        <f>IF(D36="同一抵押权人同一抵押物续贷",C36&amp;"（未扣减，详见特别提示）",C36)</f>
        <v>0</v>
      </c>
      <c r="E109" s="2195"/>
      <c r="F109" s="3074"/>
      <c r="G109" s="3075"/>
      <c r="H109" s="3061"/>
      <c r="I109" s="3062"/>
    </row>
    <row r="110" spans="1:35" ht="28.5" customHeight="1">
      <c r="A110" s="2991" t="s">
        <v>1948</v>
      </c>
      <c r="B110" s="2992"/>
      <c r="C110" s="2294" t="str">
        <f>C108</f>
        <v>总额（元）</v>
      </c>
      <c r="D110" s="637">
        <f>C37</f>
        <v>0</v>
      </c>
      <c r="E110" s="2195"/>
      <c r="F110" s="2977" t="str">
        <f>IF(项目基本情况!F5="已注销","——","3.房地产抵押价值")</f>
        <v>3.房地产抵押价值</v>
      </c>
      <c r="G110" s="2978"/>
      <c r="H110" s="2296" t="str">
        <f>C112</f>
        <v>总价（元）</v>
      </c>
      <c r="I110" s="1863">
        <f ca="1">IF(F110="——","——",I102-I105)</f>
        <v>5892143</v>
      </c>
    </row>
    <row r="111" spans="1:35" ht="15">
      <c r="A111" s="2991" t="s">
        <v>1950</v>
      </c>
      <c r="B111" s="2992"/>
      <c r="C111" s="2294" t="str">
        <f>C108</f>
        <v>总额（元）</v>
      </c>
      <c r="D111" s="637">
        <f>C38</f>
        <v>0</v>
      </c>
      <c r="E111" s="2195"/>
      <c r="F111" s="3093"/>
      <c r="G111" s="3094"/>
      <c r="H111" s="2291" t="s">
        <v>1941</v>
      </c>
      <c r="I111" s="2297">
        <f ca="1">D113</f>
        <v>31129</v>
      </c>
    </row>
    <row r="112" spans="1:35" ht="26.25" customHeight="1">
      <c r="A112" s="2989" t="str">
        <f>IF(项目基本情况!F5="已注销","——","3.房地产抵押价值")</f>
        <v>3.房地产抵押价值</v>
      </c>
      <c r="B112" s="2990"/>
      <c r="C112" s="2291" t="str">
        <f>B101</f>
        <v>总价（元）</v>
      </c>
      <c r="D112" s="1051">
        <f ca="1">IF(A112="——","——",D106-D108)</f>
        <v>5892143</v>
      </c>
      <c r="E112" s="2195"/>
      <c r="F112" s="2977" t="str">
        <f>IF(项目基本情况!F5="已注销及未注销","4.抵押担保权已注销时的房地产抵押价值",IF(项目基本情况!F5="已注销","3.抵押担保权已注销时的房地产抵押价值","——"))</f>
        <v>——</v>
      </c>
      <c r="G112" s="2978"/>
      <c r="H112" s="2296" t="str">
        <f>C114</f>
        <v>总价（元）</v>
      </c>
      <c r="I112" s="1863" t="str">
        <f>IF(F112="——","——",I102-I107-I108)</f>
        <v>——</v>
      </c>
    </row>
    <row r="113" spans="1:15" ht="15">
      <c r="A113" s="2989"/>
      <c r="B113" s="2990"/>
      <c r="C113" s="2291" t="s">
        <v>1941</v>
      </c>
      <c r="D113" s="1052">
        <f ca="1">ROUND(IF(D112=D106,D107,IF(H19="元",D112/项目基本情况!C12,D112*10000/项目基本情况!C12)),0)</f>
        <v>31129</v>
      </c>
      <c r="E113" s="2195"/>
      <c r="F113" s="3093"/>
      <c r="G113" s="3094"/>
      <c r="H113" s="2291" t="s">
        <v>1941</v>
      </c>
      <c r="I113" s="2298" t="str">
        <f>D115</f>
        <v>——</v>
      </c>
    </row>
    <row r="114" spans="1:15" ht="15.75">
      <c r="A114" s="2989" t="str">
        <f>IF(项目基本情况!F5="已注销及未注销","4.抵押担保权已注销时的房地产抵押价值",IF(项目基本情况!F5="已注销","3.抵押担保权已注销时的房地产抵押价值","——"))</f>
        <v>——</v>
      </c>
      <c r="B114" s="2990"/>
      <c r="C114" s="2291" t="str">
        <f>B101</f>
        <v>总价（元）</v>
      </c>
      <c r="D114" s="1051" t="str">
        <f>IF(A114="——","——",D106-D110-D111)</f>
        <v>——</v>
      </c>
      <c r="E114" s="2195"/>
      <c r="F114" s="2977" t="str">
        <f>IF(项目基本情况!G5="抵押净值",IF(OR(项目基本情况!F5="已注销",项目基本情况!F5="房地产抵押价值"),"4.抵押净值","5.抵押净值"),"——")</f>
        <v>——</v>
      </c>
      <c r="G114" s="2978"/>
      <c r="H114" s="2291" t="str">
        <f>C116</f>
        <v>总价（元）</v>
      </c>
      <c r="I114" s="1862" t="str">
        <f>IF(F114="——","——",N59)</f>
        <v>——</v>
      </c>
    </row>
    <row r="115" spans="1:15" ht="15.75" thickBot="1">
      <c r="A115" s="2989"/>
      <c r="B115" s="2990"/>
      <c r="C115" s="2291" t="s">
        <v>1941</v>
      </c>
      <c r="D115" s="1052" t="str">
        <f>IF(A114="——","——",ROUND(IF(D114=D106,D107,IF(H19="元",D114/项目基本情况!C12,D114*10000/项目基本情况!C12)),0))</f>
        <v>——</v>
      </c>
      <c r="E115" s="2195"/>
      <c r="F115" s="2979"/>
      <c r="G115" s="2980"/>
      <c r="H115" s="2299" t="s">
        <v>1941</v>
      </c>
      <c r="I115" s="1864" t="str">
        <f ca="1">D117</f>
        <v>——</v>
      </c>
    </row>
    <row r="116" spans="1:15" ht="15.75">
      <c r="A116" s="2989" t="str">
        <f>IF(项目基本情况!G5="抵押净值",IF(OR(项目基本情况!F5="已注销",项目基本情况!F5="房地产抵押价值"),"4.抵押净值","5.抵押净值"),"——")</f>
        <v>——</v>
      </c>
      <c r="B116" s="2990"/>
      <c r="C116" s="2291" t="str">
        <f>B101</f>
        <v>总价（元）</v>
      </c>
      <c r="D116" s="1051" t="str">
        <f>IF(A116="——","——",N59)</f>
        <v>——</v>
      </c>
      <c r="E116" s="2195"/>
      <c r="F116" s="3089"/>
      <c r="G116" s="3089"/>
      <c r="H116" s="3045"/>
      <c r="I116" s="3045"/>
      <c r="N116" s="55"/>
      <c r="O116" s="55"/>
    </row>
    <row r="117" spans="1:15" ht="15.75" thickBot="1">
      <c r="A117" s="2994"/>
      <c r="B117" s="2995"/>
      <c r="C117" s="2299" t="s">
        <v>1941</v>
      </c>
      <c r="D117" s="1053" t="str">
        <f ca="1">IF(D116=D112,D113,IF(A116="——","——",N61))</f>
        <v>——</v>
      </c>
      <c r="E117" s="2195"/>
      <c r="F117" s="2969" t="str">
        <f>IF(B32="总价","（以上估价结果中单价为总价除以建筑面积得出）","（以上估价结果中总价为楼面单价乘以建筑面积得出）")</f>
        <v>（以上估价结果中单价为总价除以建筑面积得出）</v>
      </c>
      <c r="G117" s="2969"/>
      <c r="H117" s="2969"/>
      <c r="I117" s="2969"/>
      <c r="N117" s="55"/>
      <c r="O117" s="55"/>
    </row>
    <row r="118" spans="1:15" ht="15">
      <c r="A118" s="3046" t="s">
        <v>1951</v>
      </c>
      <c r="B118" s="3047"/>
      <c r="C118" s="3047"/>
      <c r="D118" s="3047"/>
      <c r="E118" s="3047"/>
      <c r="F118" s="3047"/>
      <c r="G118" s="3047"/>
      <c r="H118" s="3047"/>
      <c r="I118" s="3047"/>
    </row>
    <row r="119" spans="1:15" ht="14.25">
      <c r="A119" s="2970" t="s">
        <v>1952</v>
      </c>
      <c r="B119" s="3000" t="s">
        <v>1953</v>
      </c>
      <c r="C119" s="3000" t="s">
        <v>1954</v>
      </c>
      <c r="D119" s="3072" t="s">
        <v>1955</v>
      </c>
      <c r="E119" s="3073"/>
      <c r="F119" s="2971" t="s">
        <v>1813</v>
      </c>
      <c r="G119" s="2971"/>
      <c r="H119" s="2971" t="s">
        <v>1956</v>
      </c>
      <c r="I119" s="3071"/>
    </row>
    <row r="120" spans="1:15" ht="14.25">
      <c r="A120" s="2970"/>
      <c r="B120" s="3001"/>
      <c r="C120" s="3001"/>
      <c r="D120" s="1887" t="s">
        <v>1957</v>
      </c>
      <c r="E120" s="1887" t="s">
        <v>1958</v>
      </c>
      <c r="F120" s="1887" t="s">
        <v>1957</v>
      </c>
      <c r="G120" s="1887" t="s">
        <v>1959</v>
      </c>
      <c r="H120" s="1887" t="s">
        <v>1957</v>
      </c>
      <c r="I120" s="637" t="s">
        <v>1959</v>
      </c>
    </row>
    <row r="121" spans="1:15" ht="14.25">
      <c r="A121" s="2181" t="str">
        <f>项目基本情况!I1</f>
        <v>北京市房地产</v>
      </c>
      <c r="B121" s="1887">
        <f>项目基本情况!C12</f>
        <v>189.28</v>
      </c>
      <c r="C121" s="1887">
        <f>项目基本情况!C13</f>
        <v>0</v>
      </c>
      <c r="D121" s="1887">
        <f ca="1">ROUND(IF(B32="总价",C34,IF('数据-取费表'!B3="万元",E121*B121/10000,E121*B121)),0)</f>
        <v>13104126</v>
      </c>
      <c r="E121" s="1887">
        <f ca="1">ROUND(IF(B32="楼面单价",C34,IF(H19="元",D121/B121,D121*10000/B121)),0)</f>
        <v>69231</v>
      </c>
      <c r="F121" s="1887">
        <f ca="1">ROUND(IF(B32="总价",C35,IF('数据-取费表'!B3="万元",G121*B121/10000,G121*B121)),0)</f>
        <v>-7211983</v>
      </c>
      <c r="G121" s="1887">
        <f ca="1">ROUND(IF(B32="楼面单价",C35,IF(H19="元",F121/B121,F121*10000/B121)),0)</f>
        <v>-38102</v>
      </c>
      <c r="H121" s="1887">
        <f ca="1">ROUND(IF(B32="总价",C32,IF('数据-取费表'!B3="万元",I121*B121/10000,I121*B121)),0)</f>
        <v>5892143</v>
      </c>
      <c r="I121" s="637">
        <f ca="1">ROUND(IF(B32="楼面单价",C32,IF(H19="元",H121/B121,H121*10000/B121)),0)</f>
        <v>31129</v>
      </c>
    </row>
    <row r="122" spans="1:15" ht="14.25">
      <c r="A122" s="2970" t="s">
        <v>1960</v>
      </c>
      <c r="B122" s="2971"/>
      <c r="C122" s="2971"/>
      <c r="D122" s="3004" t="str">
        <f ca="1">IF(H19="元",NUMBERSTRING(INT(D121),2)&amp;"元整",NUMBERSTRING(INT(D121*10000),2)&amp;"元整")</f>
        <v>壹仟叁佰壹拾万肆仟壹佰贰拾陆元整</v>
      </c>
      <c r="E122" s="3051"/>
      <c r="F122" s="3004" t="e">
        <f ca="1">IF(H19="元",NUMBERSTRING(INT(F121),2)&amp;"元整",NUMBERSTRING(INT(F121*10000),2)&amp;"元整")</f>
        <v>#NUM!</v>
      </c>
      <c r="G122" s="3051"/>
      <c r="H122" s="3004" t="str">
        <f ca="1">IF(H19="元",NUMBERSTRING(INT(H121),2)&amp;"元整",NUMBERSTRING(INT(H121*10000),2)&amp;"元整")</f>
        <v>伍佰捌拾玖万贰仟壹佰肆拾叁元整</v>
      </c>
      <c r="I122" s="3005"/>
    </row>
    <row r="123" spans="1:15" ht="15">
      <c r="A123" s="3052" t="str">
        <f>IF(项目基本情况!D5="房地产市场价值","——",MID(A108,3,LEN(A108)-2))</f>
        <v>估价师所知悉的法定优先受偿款</v>
      </c>
      <c r="B123" s="2982"/>
      <c r="C123" s="3053"/>
      <c r="D123" s="2981">
        <f>I105</f>
        <v>0</v>
      </c>
      <c r="E123" s="2982"/>
      <c r="F123" s="2982"/>
      <c r="G123" s="2982"/>
      <c r="H123" s="2982"/>
      <c r="I123" s="2983"/>
    </row>
    <row r="124" spans="1:15" ht="14.25">
      <c r="A124" s="3054" t="s">
        <v>1960</v>
      </c>
      <c r="B124" s="3055"/>
      <c r="C124" s="3056"/>
      <c r="D124" s="2984">
        <f>H109</f>
        <v>0</v>
      </c>
      <c r="E124" s="2985"/>
      <c r="F124" s="2985"/>
      <c r="G124" s="2985"/>
      <c r="H124" s="2985"/>
      <c r="I124" s="2986"/>
    </row>
    <row r="125" spans="1:15" ht="15">
      <c r="A125" s="2987" t="str">
        <f>IF(项目基本情况!D5="房地产市场价值","——",MID(A112,3,LEN(A112)-2))</f>
        <v>房地产抵押价值</v>
      </c>
      <c r="B125" s="2988"/>
      <c r="C125" s="2988"/>
      <c r="D125" s="2981">
        <f ca="1">I110</f>
        <v>5892143</v>
      </c>
      <c r="E125" s="2982"/>
      <c r="F125" s="2982"/>
      <c r="G125" s="2982"/>
      <c r="H125" s="2982"/>
      <c r="I125" s="2983"/>
    </row>
    <row r="126" spans="1:15" ht="14.25">
      <c r="A126" s="2970" t="s">
        <v>1960</v>
      </c>
      <c r="B126" s="2971"/>
      <c r="C126" s="2971"/>
      <c r="D126" s="2984">
        <f ca="1">I111</f>
        <v>31129</v>
      </c>
      <c r="E126" s="2985"/>
      <c r="F126" s="2985"/>
      <c r="G126" s="2985"/>
      <c r="H126" s="2985"/>
      <c r="I126" s="2986"/>
    </row>
    <row r="127" spans="1:15" ht="15.75" thickBot="1">
      <c r="A127" s="2987" t="str">
        <f>IF(项目基本情况!D5="房地产市场价值","——",MID(A114,3,LEN(A114)-2))</f>
        <v/>
      </c>
      <c r="B127" s="2988"/>
      <c r="C127" s="2988"/>
      <c r="D127" s="3086" t="str">
        <f>I112</f>
        <v>——</v>
      </c>
      <c r="E127" s="3087"/>
      <c r="F127" s="3087"/>
      <c r="G127" s="3087"/>
      <c r="H127" s="3087"/>
      <c r="I127" s="3088"/>
    </row>
    <row r="128" spans="1:15" ht="15.75" thickTop="1" thickBot="1">
      <c r="A128" s="2970" t="s">
        <v>1960</v>
      </c>
      <c r="B128" s="2971"/>
      <c r="C128" s="2972"/>
      <c r="D128" s="3044" t="str">
        <f>I113</f>
        <v>——</v>
      </c>
      <c r="E128" s="3044"/>
      <c r="F128" s="3044"/>
      <c r="G128" s="3044"/>
      <c r="H128" s="3044"/>
      <c r="I128" s="3044"/>
    </row>
    <row r="129" spans="1:9" ht="16.5" thickTop="1" thickBot="1">
      <c r="A129" s="2987" t="str">
        <f>IF(项目基本情况!D5="房地产市场价值","——",MID(F114,3,LEN(F114)-2))</f>
        <v/>
      </c>
      <c r="B129" s="2988"/>
      <c r="C129" s="2981"/>
      <c r="D129" s="2993" t="str">
        <f>I114</f>
        <v>——</v>
      </c>
      <c r="E129" s="2993"/>
      <c r="F129" s="2993"/>
      <c r="G129" s="2993"/>
      <c r="H129" s="2993"/>
      <c r="I129" s="2993"/>
    </row>
    <row r="130" spans="1:9" ht="15.75" thickTop="1" thickBot="1">
      <c r="A130" s="2998" t="s">
        <v>1960</v>
      </c>
      <c r="B130" s="2999"/>
      <c r="C130" s="2999"/>
      <c r="D130" s="3006">
        <f>H116</f>
        <v>0</v>
      </c>
      <c r="E130" s="3007"/>
      <c r="F130" s="3007"/>
      <c r="G130" s="3007"/>
      <c r="H130" s="3007"/>
      <c r="I130" s="300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68" t="str">
        <f>IF(B32="总价","（以上估价结果中楼面单价为总价除以建筑面积得出）","（以上估价结果中总价为楼面单价乘以建筑面积得出）")</f>
        <v>（以上估价结果中楼面单价为总价除以建筑面积得出）</v>
      </c>
      <c r="B132" s="2968"/>
      <c r="C132" s="2968"/>
      <c r="D132" s="2968"/>
      <c r="E132" s="2968"/>
      <c r="F132" s="2968"/>
      <c r="G132" s="2968"/>
      <c r="H132" s="2968"/>
      <c r="I132" s="2968"/>
    </row>
    <row r="133" spans="1:9" ht="21.75" customHeight="1">
      <c r="A133" s="2300" t="s">
        <v>1961</v>
      </c>
      <c r="B133" s="2301"/>
      <c r="C133" s="2302" t="s">
        <v>1962</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1963</v>
      </c>
      <c r="G139" s="2314"/>
      <c r="H139" s="2314"/>
      <c r="I139" s="2315" t="s">
        <v>1964</v>
      </c>
    </row>
    <row r="140" spans="1:9" ht="21.75" customHeight="1">
      <c r="A140" s="798"/>
      <c r="B140" s="2316"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1966</v>
      </c>
    </row>
    <row r="143" spans="1:9" ht="21.75" customHeight="1">
      <c r="A143" s="798"/>
      <c r="B143" s="2316" t="s">
        <v>1967</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1966</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tabColor rgb="FFFF0000"/>
  </sheetPr>
  <dimension ref="A1:I30"/>
  <sheetViews>
    <sheetView tabSelected="1" workbookViewId="0">
      <selection activeCell="C30" sqref="C30:D30"/>
    </sheetView>
  </sheetViews>
  <sheetFormatPr defaultRowHeight="13.5"/>
  <cols>
    <col min="1" max="1" width="12.5" style="2850" customWidth="1"/>
    <col min="2" max="2" width="9" style="2850"/>
    <col min="3" max="3" width="12.375" style="2850" customWidth="1"/>
    <col min="4" max="4" width="9" style="2850"/>
    <col min="5" max="5" width="12.25" style="2850" customWidth="1"/>
    <col min="6" max="6" width="11.25" style="2850" customWidth="1"/>
    <col min="7" max="7" width="17.25" style="2850" customWidth="1"/>
    <col min="8" max="8" width="8.25" style="2850" customWidth="1"/>
    <col min="9" max="9" width="7.625" style="2850" customWidth="1"/>
    <col min="10" max="257" width="9" style="2850"/>
    <col min="258" max="258" width="12.5" style="2850" customWidth="1"/>
    <col min="259" max="259" width="9" style="2850"/>
    <col min="260" max="260" width="13.5" style="2850" customWidth="1"/>
    <col min="261" max="261" width="9" style="2850"/>
    <col min="262" max="262" width="16.75" style="2850" customWidth="1"/>
    <col min="263" max="264" width="11.25" style="2850" customWidth="1"/>
    <col min="265" max="513" width="9" style="2850"/>
    <col min="514" max="514" width="12.5" style="2850" customWidth="1"/>
    <col min="515" max="515" width="9" style="2850"/>
    <col min="516" max="516" width="13.5" style="2850" customWidth="1"/>
    <col min="517" max="517" width="9" style="2850"/>
    <col min="518" max="518" width="16.75" style="2850" customWidth="1"/>
    <col min="519" max="520" width="11.25" style="2850" customWidth="1"/>
    <col min="521" max="769" width="9" style="2850"/>
    <col min="770" max="770" width="12.5" style="2850" customWidth="1"/>
    <col min="771" max="771" width="9" style="2850"/>
    <col min="772" max="772" width="13.5" style="2850" customWidth="1"/>
    <col min="773" max="773" width="9" style="2850"/>
    <col min="774" max="774" width="16.75" style="2850" customWidth="1"/>
    <col min="775" max="776" width="11.25" style="2850" customWidth="1"/>
    <col min="777" max="1025" width="9" style="2850"/>
    <col min="1026" max="1026" width="12.5" style="2850" customWidth="1"/>
    <col min="1027" max="1027" width="9" style="2850"/>
    <col min="1028" max="1028" width="13.5" style="2850" customWidth="1"/>
    <col min="1029" max="1029" width="9" style="2850"/>
    <col min="1030" max="1030" width="16.75" style="2850" customWidth="1"/>
    <col min="1031" max="1032" width="11.25" style="2850" customWidth="1"/>
    <col min="1033" max="1281" width="9" style="2850"/>
    <col min="1282" max="1282" width="12.5" style="2850" customWidth="1"/>
    <col min="1283" max="1283" width="9" style="2850"/>
    <col min="1284" max="1284" width="13.5" style="2850" customWidth="1"/>
    <col min="1285" max="1285" width="9" style="2850"/>
    <col min="1286" max="1286" width="16.75" style="2850" customWidth="1"/>
    <col min="1287" max="1288" width="11.25" style="2850" customWidth="1"/>
    <col min="1289" max="1537" width="9" style="2850"/>
    <col min="1538" max="1538" width="12.5" style="2850" customWidth="1"/>
    <col min="1539" max="1539" width="9" style="2850"/>
    <col min="1540" max="1540" width="13.5" style="2850" customWidth="1"/>
    <col min="1541" max="1541" width="9" style="2850"/>
    <col min="1542" max="1542" width="16.75" style="2850" customWidth="1"/>
    <col min="1543" max="1544" width="11.25" style="2850" customWidth="1"/>
    <col min="1545" max="1793" width="9" style="2850"/>
    <col min="1794" max="1794" width="12.5" style="2850" customWidth="1"/>
    <col min="1795" max="1795" width="9" style="2850"/>
    <col min="1796" max="1796" width="13.5" style="2850" customWidth="1"/>
    <col min="1797" max="1797" width="9" style="2850"/>
    <col min="1798" max="1798" width="16.75" style="2850" customWidth="1"/>
    <col min="1799" max="1800" width="11.25" style="2850" customWidth="1"/>
    <col min="1801" max="2049" width="9" style="2850"/>
    <col min="2050" max="2050" width="12.5" style="2850" customWidth="1"/>
    <col min="2051" max="2051" width="9" style="2850"/>
    <col min="2052" max="2052" width="13.5" style="2850" customWidth="1"/>
    <col min="2053" max="2053" width="9" style="2850"/>
    <col min="2054" max="2054" width="16.75" style="2850" customWidth="1"/>
    <col min="2055" max="2056" width="11.25" style="2850" customWidth="1"/>
    <col min="2057" max="2305" width="9" style="2850"/>
    <col min="2306" max="2306" width="12.5" style="2850" customWidth="1"/>
    <col min="2307" max="2307" width="9" style="2850"/>
    <col min="2308" max="2308" width="13.5" style="2850" customWidth="1"/>
    <col min="2309" max="2309" width="9" style="2850"/>
    <col min="2310" max="2310" width="16.75" style="2850" customWidth="1"/>
    <col min="2311" max="2312" width="11.25" style="2850" customWidth="1"/>
    <col min="2313" max="2561" width="9" style="2850"/>
    <col min="2562" max="2562" width="12.5" style="2850" customWidth="1"/>
    <col min="2563" max="2563" width="9" style="2850"/>
    <col min="2564" max="2564" width="13.5" style="2850" customWidth="1"/>
    <col min="2565" max="2565" width="9" style="2850"/>
    <col min="2566" max="2566" width="16.75" style="2850" customWidth="1"/>
    <col min="2567" max="2568" width="11.25" style="2850" customWidth="1"/>
    <col min="2569" max="2817" width="9" style="2850"/>
    <col min="2818" max="2818" width="12.5" style="2850" customWidth="1"/>
    <col min="2819" max="2819" width="9" style="2850"/>
    <col min="2820" max="2820" width="13.5" style="2850" customWidth="1"/>
    <col min="2821" max="2821" width="9" style="2850"/>
    <col min="2822" max="2822" width="16.75" style="2850" customWidth="1"/>
    <col min="2823" max="2824" width="11.25" style="2850" customWidth="1"/>
    <col min="2825" max="3073" width="9" style="2850"/>
    <col min="3074" max="3074" width="12.5" style="2850" customWidth="1"/>
    <col min="3075" max="3075" width="9" style="2850"/>
    <col min="3076" max="3076" width="13.5" style="2850" customWidth="1"/>
    <col min="3077" max="3077" width="9" style="2850"/>
    <col min="3078" max="3078" width="16.75" style="2850" customWidth="1"/>
    <col min="3079" max="3080" width="11.25" style="2850" customWidth="1"/>
    <col min="3081" max="3329" width="9" style="2850"/>
    <col min="3330" max="3330" width="12.5" style="2850" customWidth="1"/>
    <col min="3331" max="3331" width="9" style="2850"/>
    <col min="3332" max="3332" width="13.5" style="2850" customWidth="1"/>
    <col min="3333" max="3333" width="9" style="2850"/>
    <col min="3334" max="3334" width="16.75" style="2850" customWidth="1"/>
    <col min="3335" max="3336" width="11.25" style="2850" customWidth="1"/>
    <col min="3337" max="3585" width="9" style="2850"/>
    <col min="3586" max="3586" width="12.5" style="2850" customWidth="1"/>
    <col min="3587" max="3587" width="9" style="2850"/>
    <col min="3588" max="3588" width="13.5" style="2850" customWidth="1"/>
    <col min="3589" max="3589" width="9" style="2850"/>
    <col min="3590" max="3590" width="16.75" style="2850" customWidth="1"/>
    <col min="3591" max="3592" width="11.25" style="2850" customWidth="1"/>
    <col min="3593" max="3841" width="9" style="2850"/>
    <col min="3842" max="3842" width="12.5" style="2850" customWidth="1"/>
    <col min="3843" max="3843" width="9" style="2850"/>
    <col min="3844" max="3844" width="13.5" style="2850" customWidth="1"/>
    <col min="3845" max="3845" width="9" style="2850"/>
    <col min="3846" max="3846" width="16.75" style="2850" customWidth="1"/>
    <col min="3847" max="3848" width="11.25" style="2850" customWidth="1"/>
    <col min="3849" max="4097" width="9" style="2850"/>
    <col min="4098" max="4098" width="12.5" style="2850" customWidth="1"/>
    <col min="4099" max="4099" width="9" style="2850"/>
    <col min="4100" max="4100" width="13.5" style="2850" customWidth="1"/>
    <col min="4101" max="4101" width="9" style="2850"/>
    <col min="4102" max="4102" width="16.75" style="2850" customWidth="1"/>
    <col min="4103" max="4104" width="11.25" style="2850" customWidth="1"/>
    <col min="4105" max="4353" width="9" style="2850"/>
    <col min="4354" max="4354" width="12.5" style="2850" customWidth="1"/>
    <col min="4355" max="4355" width="9" style="2850"/>
    <col min="4356" max="4356" width="13.5" style="2850" customWidth="1"/>
    <col min="4357" max="4357" width="9" style="2850"/>
    <col min="4358" max="4358" width="16.75" style="2850" customWidth="1"/>
    <col min="4359" max="4360" width="11.25" style="2850" customWidth="1"/>
    <col min="4361" max="4609" width="9" style="2850"/>
    <col min="4610" max="4610" width="12.5" style="2850" customWidth="1"/>
    <col min="4611" max="4611" width="9" style="2850"/>
    <col min="4612" max="4612" width="13.5" style="2850" customWidth="1"/>
    <col min="4613" max="4613" width="9" style="2850"/>
    <col min="4614" max="4614" width="16.75" style="2850" customWidth="1"/>
    <col min="4615" max="4616" width="11.25" style="2850" customWidth="1"/>
    <col min="4617" max="4865" width="9" style="2850"/>
    <col min="4866" max="4866" width="12.5" style="2850" customWidth="1"/>
    <col min="4867" max="4867" width="9" style="2850"/>
    <col min="4868" max="4868" width="13.5" style="2850" customWidth="1"/>
    <col min="4869" max="4869" width="9" style="2850"/>
    <col min="4870" max="4870" width="16.75" style="2850" customWidth="1"/>
    <col min="4871" max="4872" width="11.25" style="2850" customWidth="1"/>
    <col min="4873" max="5121" width="9" style="2850"/>
    <col min="5122" max="5122" width="12.5" style="2850" customWidth="1"/>
    <col min="5123" max="5123" width="9" style="2850"/>
    <col min="5124" max="5124" width="13.5" style="2850" customWidth="1"/>
    <col min="5125" max="5125" width="9" style="2850"/>
    <col min="5126" max="5126" width="16.75" style="2850" customWidth="1"/>
    <col min="5127" max="5128" width="11.25" style="2850" customWidth="1"/>
    <col min="5129" max="5377" width="9" style="2850"/>
    <col min="5378" max="5378" width="12.5" style="2850" customWidth="1"/>
    <col min="5379" max="5379" width="9" style="2850"/>
    <col min="5380" max="5380" width="13.5" style="2850" customWidth="1"/>
    <col min="5381" max="5381" width="9" style="2850"/>
    <col min="5382" max="5382" width="16.75" style="2850" customWidth="1"/>
    <col min="5383" max="5384" width="11.25" style="2850" customWidth="1"/>
    <col min="5385" max="5633" width="9" style="2850"/>
    <col min="5634" max="5634" width="12.5" style="2850" customWidth="1"/>
    <col min="5635" max="5635" width="9" style="2850"/>
    <col min="5636" max="5636" width="13.5" style="2850" customWidth="1"/>
    <col min="5637" max="5637" width="9" style="2850"/>
    <col min="5638" max="5638" width="16.75" style="2850" customWidth="1"/>
    <col min="5639" max="5640" width="11.25" style="2850" customWidth="1"/>
    <col min="5641" max="5889" width="9" style="2850"/>
    <col min="5890" max="5890" width="12.5" style="2850" customWidth="1"/>
    <col min="5891" max="5891" width="9" style="2850"/>
    <col min="5892" max="5892" width="13.5" style="2850" customWidth="1"/>
    <col min="5893" max="5893" width="9" style="2850"/>
    <col min="5894" max="5894" width="16.75" style="2850" customWidth="1"/>
    <col min="5895" max="5896" width="11.25" style="2850" customWidth="1"/>
    <col min="5897" max="6145" width="9" style="2850"/>
    <col min="6146" max="6146" width="12.5" style="2850" customWidth="1"/>
    <col min="6147" max="6147" width="9" style="2850"/>
    <col min="6148" max="6148" width="13.5" style="2850" customWidth="1"/>
    <col min="6149" max="6149" width="9" style="2850"/>
    <col min="6150" max="6150" width="16.75" style="2850" customWidth="1"/>
    <col min="6151" max="6152" width="11.25" style="2850" customWidth="1"/>
    <col min="6153" max="6401" width="9" style="2850"/>
    <col min="6402" max="6402" width="12.5" style="2850" customWidth="1"/>
    <col min="6403" max="6403" width="9" style="2850"/>
    <col min="6404" max="6404" width="13.5" style="2850" customWidth="1"/>
    <col min="6405" max="6405" width="9" style="2850"/>
    <col min="6406" max="6406" width="16.75" style="2850" customWidth="1"/>
    <col min="6407" max="6408" width="11.25" style="2850" customWidth="1"/>
    <col min="6409" max="6657" width="9" style="2850"/>
    <col min="6658" max="6658" width="12.5" style="2850" customWidth="1"/>
    <col min="6659" max="6659" width="9" style="2850"/>
    <col min="6660" max="6660" width="13.5" style="2850" customWidth="1"/>
    <col min="6661" max="6661" width="9" style="2850"/>
    <col min="6662" max="6662" width="16.75" style="2850" customWidth="1"/>
    <col min="6663" max="6664" width="11.25" style="2850" customWidth="1"/>
    <col min="6665" max="6913" width="9" style="2850"/>
    <col min="6914" max="6914" width="12.5" style="2850" customWidth="1"/>
    <col min="6915" max="6915" width="9" style="2850"/>
    <col min="6916" max="6916" width="13.5" style="2850" customWidth="1"/>
    <col min="6917" max="6917" width="9" style="2850"/>
    <col min="6918" max="6918" width="16.75" style="2850" customWidth="1"/>
    <col min="6919" max="6920" width="11.25" style="2850" customWidth="1"/>
    <col min="6921" max="7169" width="9" style="2850"/>
    <col min="7170" max="7170" width="12.5" style="2850" customWidth="1"/>
    <col min="7171" max="7171" width="9" style="2850"/>
    <col min="7172" max="7172" width="13.5" style="2850" customWidth="1"/>
    <col min="7173" max="7173" width="9" style="2850"/>
    <col min="7174" max="7174" width="16.75" style="2850" customWidth="1"/>
    <col min="7175" max="7176" width="11.25" style="2850" customWidth="1"/>
    <col min="7177" max="7425" width="9" style="2850"/>
    <col min="7426" max="7426" width="12.5" style="2850" customWidth="1"/>
    <col min="7427" max="7427" width="9" style="2850"/>
    <col min="7428" max="7428" width="13.5" style="2850" customWidth="1"/>
    <col min="7429" max="7429" width="9" style="2850"/>
    <col min="7430" max="7430" width="16.75" style="2850" customWidth="1"/>
    <col min="7431" max="7432" width="11.25" style="2850" customWidth="1"/>
    <col min="7433" max="7681" width="9" style="2850"/>
    <col min="7682" max="7682" width="12.5" style="2850" customWidth="1"/>
    <col min="7683" max="7683" width="9" style="2850"/>
    <col min="7684" max="7684" width="13.5" style="2850" customWidth="1"/>
    <col min="7685" max="7685" width="9" style="2850"/>
    <col min="7686" max="7686" width="16.75" style="2850" customWidth="1"/>
    <col min="7687" max="7688" width="11.25" style="2850" customWidth="1"/>
    <col min="7689" max="7937" width="9" style="2850"/>
    <col min="7938" max="7938" width="12.5" style="2850" customWidth="1"/>
    <col min="7939" max="7939" width="9" style="2850"/>
    <col min="7940" max="7940" width="13.5" style="2850" customWidth="1"/>
    <col min="7941" max="7941" width="9" style="2850"/>
    <col min="7942" max="7942" width="16.75" style="2850" customWidth="1"/>
    <col min="7943" max="7944" width="11.25" style="2850" customWidth="1"/>
    <col min="7945" max="8193" width="9" style="2850"/>
    <col min="8194" max="8194" width="12.5" style="2850" customWidth="1"/>
    <col min="8195" max="8195" width="9" style="2850"/>
    <col min="8196" max="8196" width="13.5" style="2850" customWidth="1"/>
    <col min="8197" max="8197" width="9" style="2850"/>
    <col min="8198" max="8198" width="16.75" style="2850" customWidth="1"/>
    <col min="8199" max="8200" width="11.25" style="2850" customWidth="1"/>
    <col min="8201" max="8449" width="9" style="2850"/>
    <col min="8450" max="8450" width="12.5" style="2850" customWidth="1"/>
    <col min="8451" max="8451" width="9" style="2850"/>
    <col min="8452" max="8452" width="13.5" style="2850" customWidth="1"/>
    <col min="8453" max="8453" width="9" style="2850"/>
    <col min="8454" max="8454" width="16.75" style="2850" customWidth="1"/>
    <col min="8455" max="8456" width="11.25" style="2850" customWidth="1"/>
    <col min="8457" max="8705" width="9" style="2850"/>
    <col min="8706" max="8706" width="12.5" style="2850" customWidth="1"/>
    <col min="8707" max="8707" width="9" style="2850"/>
    <col min="8708" max="8708" width="13.5" style="2850" customWidth="1"/>
    <col min="8709" max="8709" width="9" style="2850"/>
    <col min="8710" max="8710" width="16.75" style="2850" customWidth="1"/>
    <col min="8711" max="8712" width="11.25" style="2850" customWidth="1"/>
    <col min="8713" max="8961" width="9" style="2850"/>
    <col min="8962" max="8962" width="12.5" style="2850" customWidth="1"/>
    <col min="8963" max="8963" width="9" style="2850"/>
    <col min="8964" max="8964" width="13.5" style="2850" customWidth="1"/>
    <col min="8965" max="8965" width="9" style="2850"/>
    <col min="8966" max="8966" width="16.75" style="2850" customWidth="1"/>
    <col min="8967" max="8968" width="11.25" style="2850" customWidth="1"/>
    <col min="8969" max="9217" width="9" style="2850"/>
    <col min="9218" max="9218" width="12.5" style="2850" customWidth="1"/>
    <col min="9219" max="9219" width="9" style="2850"/>
    <col min="9220" max="9220" width="13.5" style="2850" customWidth="1"/>
    <col min="9221" max="9221" width="9" style="2850"/>
    <col min="9222" max="9222" width="16.75" style="2850" customWidth="1"/>
    <col min="9223" max="9224" width="11.25" style="2850" customWidth="1"/>
    <col min="9225" max="9473" width="9" style="2850"/>
    <col min="9474" max="9474" width="12.5" style="2850" customWidth="1"/>
    <col min="9475" max="9475" width="9" style="2850"/>
    <col min="9476" max="9476" width="13.5" style="2850" customWidth="1"/>
    <col min="9477" max="9477" width="9" style="2850"/>
    <col min="9478" max="9478" width="16.75" style="2850" customWidth="1"/>
    <col min="9479" max="9480" width="11.25" style="2850" customWidth="1"/>
    <col min="9481" max="9729" width="9" style="2850"/>
    <col min="9730" max="9730" width="12.5" style="2850" customWidth="1"/>
    <col min="9731" max="9731" width="9" style="2850"/>
    <col min="9732" max="9732" width="13.5" style="2850" customWidth="1"/>
    <col min="9733" max="9733" width="9" style="2850"/>
    <col min="9734" max="9734" width="16.75" style="2850" customWidth="1"/>
    <col min="9735" max="9736" width="11.25" style="2850" customWidth="1"/>
    <col min="9737" max="9985" width="9" style="2850"/>
    <col min="9986" max="9986" width="12.5" style="2850" customWidth="1"/>
    <col min="9987" max="9987" width="9" style="2850"/>
    <col min="9988" max="9988" width="13.5" style="2850" customWidth="1"/>
    <col min="9989" max="9989" width="9" style="2850"/>
    <col min="9990" max="9990" width="16.75" style="2850" customWidth="1"/>
    <col min="9991" max="9992" width="11.25" style="2850" customWidth="1"/>
    <col min="9993" max="10241" width="9" style="2850"/>
    <col min="10242" max="10242" width="12.5" style="2850" customWidth="1"/>
    <col min="10243" max="10243" width="9" style="2850"/>
    <col min="10244" max="10244" width="13.5" style="2850" customWidth="1"/>
    <col min="10245" max="10245" width="9" style="2850"/>
    <col min="10246" max="10246" width="16.75" style="2850" customWidth="1"/>
    <col min="10247" max="10248" width="11.25" style="2850" customWidth="1"/>
    <col min="10249" max="10497" width="9" style="2850"/>
    <col min="10498" max="10498" width="12.5" style="2850" customWidth="1"/>
    <col min="10499" max="10499" width="9" style="2850"/>
    <col min="10500" max="10500" width="13.5" style="2850" customWidth="1"/>
    <col min="10501" max="10501" width="9" style="2850"/>
    <col min="10502" max="10502" width="16.75" style="2850" customWidth="1"/>
    <col min="10503" max="10504" width="11.25" style="2850" customWidth="1"/>
    <col min="10505" max="10753" width="9" style="2850"/>
    <col min="10754" max="10754" width="12.5" style="2850" customWidth="1"/>
    <col min="10755" max="10755" width="9" style="2850"/>
    <col min="10756" max="10756" width="13.5" style="2850" customWidth="1"/>
    <col min="10757" max="10757" width="9" style="2850"/>
    <col min="10758" max="10758" width="16.75" style="2850" customWidth="1"/>
    <col min="10759" max="10760" width="11.25" style="2850" customWidth="1"/>
    <col min="10761" max="11009" width="9" style="2850"/>
    <col min="11010" max="11010" width="12.5" style="2850" customWidth="1"/>
    <col min="11011" max="11011" width="9" style="2850"/>
    <col min="11012" max="11012" width="13.5" style="2850" customWidth="1"/>
    <col min="11013" max="11013" width="9" style="2850"/>
    <col min="11014" max="11014" width="16.75" style="2850" customWidth="1"/>
    <col min="11015" max="11016" width="11.25" style="2850" customWidth="1"/>
    <col min="11017" max="11265" width="9" style="2850"/>
    <col min="11266" max="11266" width="12.5" style="2850" customWidth="1"/>
    <col min="11267" max="11267" width="9" style="2850"/>
    <col min="11268" max="11268" width="13.5" style="2850" customWidth="1"/>
    <col min="11269" max="11269" width="9" style="2850"/>
    <col min="11270" max="11270" width="16.75" style="2850" customWidth="1"/>
    <col min="11271" max="11272" width="11.25" style="2850" customWidth="1"/>
    <col min="11273" max="11521" width="9" style="2850"/>
    <col min="11522" max="11522" width="12.5" style="2850" customWidth="1"/>
    <col min="11523" max="11523" width="9" style="2850"/>
    <col min="11524" max="11524" width="13.5" style="2850" customWidth="1"/>
    <col min="11525" max="11525" width="9" style="2850"/>
    <col min="11526" max="11526" width="16.75" style="2850" customWidth="1"/>
    <col min="11527" max="11528" width="11.25" style="2850" customWidth="1"/>
    <col min="11529" max="11777" width="9" style="2850"/>
    <col min="11778" max="11778" width="12.5" style="2850" customWidth="1"/>
    <col min="11779" max="11779" width="9" style="2850"/>
    <col min="11780" max="11780" width="13.5" style="2850" customWidth="1"/>
    <col min="11781" max="11781" width="9" style="2850"/>
    <col min="11782" max="11782" width="16.75" style="2850" customWidth="1"/>
    <col min="11783" max="11784" width="11.25" style="2850" customWidth="1"/>
    <col min="11785" max="12033" width="9" style="2850"/>
    <col min="12034" max="12034" width="12.5" style="2850" customWidth="1"/>
    <col min="12035" max="12035" width="9" style="2850"/>
    <col min="12036" max="12036" width="13.5" style="2850" customWidth="1"/>
    <col min="12037" max="12037" width="9" style="2850"/>
    <col min="12038" max="12038" width="16.75" style="2850" customWidth="1"/>
    <col min="12039" max="12040" width="11.25" style="2850" customWidth="1"/>
    <col min="12041" max="12289" width="9" style="2850"/>
    <col min="12290" max="12290" width="12.5" style="2850" customWidth="1"/>
    <col min="12291" max="12291" width="9" style="2850"/>
    <col min="12292" max="12292" width="13.5" style="2850" customWidth="1"/>
    <col min="12293" max="12293" width="9" style="2850"/>
    <col min="12294" max="12294" width="16.75" style="2850" customWidth="1"/>
    <col min="12295" max="12296" width="11.25" style="2850" customWidth="1"/>
    <col min="12297" max="12545" width="9" style="2850"/>
    <col min="12546" max="12546" width="12.5" style="2850" customWidth="1"/>
    <col min="12547" max="12547" width="9" style="2850"/>
    <col min="12548" max="12548" width="13.5" style="2850" customWidth="1"/>
    <col min="12549" max="12549" width="9" style="2850"/>
    <col min="12550" max="12550" width="16.75" style="2850" customWidth="1"/>
    <col min="12551" max="12552" width="11.25" style="2850" customWidth="1"/>
    <col min="12553" max="12801" width="9" style="2850"/>
    <col min="12802" max="12802" width="12.5" style="2850" customWidth="1"/>
    <col min="12803" max="12803" width="9" style="2850"/>
    <col min="12804" max="12804" width="13.5" style="2850" customWidth="1"/>
    <col min="12805" max="12805" width="9" style="2850"/>
    <col min="12806" max="12806" width="16.75" style="2850" customWidth="1"/>
    <col min="12807" max="12808" width="11.25" style="2850" customWidth="1"/>
    <col min="12809" max="13057" width="9" style="2850"/>
    <col min="13058" max="13058" width="12.5" style="2850" customWidth="1"/>
    <col min="13059" max="13059" width="9" style="2850"/>
    <col min="13060" max="13060" width="13.5" style="2850" customWidth="1"/>
    <col min="13061" max="13061" width="9" style="2850"/>
    <col min="13062" max="13062" width="16.75" style="2850" customWidth="1"/>
    <col min="13063" max="13064" width="11.25" style="2850" customWidth="1"/>
    <col min="13065" max="13313" width="9" style="2850"/>
    <col min="13314" max="13314" width="12.5" style="2850" customWidth="1"/>
    <col min="13315" max="13315" width="9" style="2850"/>
    <col min="13316" max="13316" width="13.5" style="2850" customWidth="1"/>
    <col min="13317" max="13317" width="9" style="2850"/>
    <col min="13318" max="13318" width="16.75" style="2850" customWidth="1"/>
    <col min="13319" max="13320" width="11.25" style="2850" customWidth="1"/>
    <col min="13321" max="13569" width="9" style="2850"/>
    <col min="13570" max="13570" width="12.5" style="2850" customWidth="1"/>
    <col min="13571" max="13571" width="9" style="2850"/>
    <col min="13572" max="13572" width="13.5" style="2850" customWidth="1"/>
    <col min="13573" max="13573" width="9" style="2850"/>
    <col min="13574" max="13574" width="16.75" style="2850" customWidth="1"/>
    <col min="13575" max="13576" width="11.25" style="2850" customWidth="1"/>
    <col min="13577" max="13825" width="9" style="2850"/>
    <col min="13826" max="13826" width="12.5" style="2850" customWidth="1"/>
    <col min="13827" max="13827" width="9" style="2850"/>
    <col min="13828" max="13828" width="13.5" style="2850" customWidth="1"/>
    <col min="13829" max="13829" width="9" style="2850"/>
    <col min="13830" max="13830" width="16.75" style="2850" customWidth="1"/>
    <col min="13831" max="13832" width="11.25" style="2850" customWidth="1"/>
    <col min="13833" max="14081" width="9" style="2850"/>
    <col min="14082" max="14082" width="12.5" style="2850" customWidth="1"/>
    <col min="14083" max="14083" width="9" style="2850"/>
    <col min="14084" max="14084" width="13.5" style="2850" customWidth="1"/>
    <col min="14085" max="14085" width="9" style="2850"/>
    <col min="14086" max="14086" width="16.75" style="2850" customWidth="1"/>
    <col min="14087" max="14088" width="11.25" style="2850" customWidth="1"/>
    <col min="14089" max="14337" width="9" style="2850"/>
    <col min="14338" max="14338" width="12.5" style="2850" customWidth="1"/>
    <col min="14339" max="14339" width="9" style="2850"/>
    <col min="14340" max="14340" width="13.5" style="2850" customWidth="1"/>
    <col min="14341" max="14341" width="9" style="2850"/>
    <col min="14342" max="14342" width="16.75" style="2850" customWidth="1"/>
    <col min="14343" max="14344" width="11.25" style="2850" customWidth="1"/>
    <col min="14345" max="14593" width="9" style="2850"/>
    <col min="14594" max="14594" width="12.5" style="2850" customWidth="1"/>
    <col min="14595" max="14595" width="9" style="2850"/>
    <col min="14596" max="14596" width="13.5" style="2850" customWidth="1"/>
    <col min="14597" max="14597" width="9" style="2850"/>
    <col min="14598" max="14598" width="16.75" style="2850" customWidth="1"/>
    <col min="14599" max="14600" width="11.25" style="2850" customWidth="1"/>
    <col min="14601" max="14849" width="9" style="2850"/>
    <col min="14850" max="14850" width="12.5" style="2850" customWidth="1"/>
    <col min="14851" max="14851" width="9" style="2850"/>
    <col min="14852" max="14852" width="13.5" style="2850" customWidth="1"/>
    <col min="14853" max="14853" width="9" style="2850"/>
    <col min="14854" max="14854" width="16.75" style="2850" customWidth="1"/>
    <col min="14855" max="14856" width="11.25" style="2850" customWidth="1"/>
    <col min="14857" max="15105" width="9" style="2850"/>
    <col min="15106" max="15106" width="12.5" style="2850" customWidth="1"/>
    <col min="15107" max="15107" width="9" style="2850"/>
    <col min="15108" max="15108" width="13.5" style="2850" customWidth="1"/>
    <col min="15109" max="15109" width="9" style="2850"/>
    <col min="15110" max="15110" width="16.75" style="2850" customWidth="1"/>
    <col min="15111" max="15112" width="11.25" style="2850" customWidth="1"/>
    <col min="15113" max="15361" width="9" style="2850"/>
    <col min="15362" max="15362" width="12.5" style="2850" customWidth="1"/>
    <col min="15363" max="15363" width="9" style="2850"/>
    <col min="15364" max="15364" width="13.5" style="2850" customWidth="1"/>
    <col min="15365" max="15365" width="9" style="2850"/>
    <col min="15366" max="15366" width="16.75" style="2850" customWidth="1"/>
    <col min="15367" max="15368" width="11.25" style="2850" customWidth="1"/>
    <col min="15369" max="15617" width="9" style="2850"/>
    <col min="15618" max="15618" width="12.5" style="2850" customWidth="1"/>
    <col min="15619" max="15619" width="9" style="2850"/>
    <col min="15620" max="15620" width="13.5" style="2850" customWidth="1"/>
    <col min="15621" max="15621" width="9" style="2850"/>
    <col min="15622" max="15622" width="16.75" style="2850" customWidth="1"/>
    <col min="15623" max="15624" width="11.25" style="2850" customWidth="1"/>
    <col min="15625" max="15873" width="9" style="2850"/>
    <col min="15874" max="15874" width="12.5" style="2850" customWidth="1"/>
    <col min="15875" max="15875" width="9" style="2850"/>
    <col min="15876" max="15876" width="13.5" style="2850" customWidth="1"/>
    <col min="15877" max="15877" width="9" style="2850"/>
    <col min="15878" max="15878" width="16.75" style="2850" customWidth="1"/>
    <col min="15879" max="15880" width="11.25" style="2850" customWidth="1"/>
    <col min="15881" max="16129" width="9" style="2850"/>
    <col min="16130" max="16130" width="12.5" style="2850" customWidth="1"/>
    <col min="16131" max="16131" width="9" style="2850"/>
    <col min="16132" max="16132" width="13.5" style="2850" customWidth="1"/>
    <col min="16133" max="16133" width="9" style="2850"/>
    <col min="16134" max="16134" width="16.75" style="2850" customWidth="1"/>
    <col min="16135" max="16136" width="11.25" style="2850" customWidth="1"/>
    <col min="16137" max="16384" width="9" style="2850"/>
  </cols>
  <sheetData>
    <row r="1" spans="1:8">
      <c r="A1" s="3114" t="s">
        <v>3085</v>
      </c>
      <c r="B1" s="3114"/>
      <c r="C1" s="3114"/>
      <c r="D1" s="3114"/>
      <c r="E1" s="3114"/>
      <c r="F1" s="3114"/>
      <c r="G1" s="3114"/>
    </row>
    <row r="2" spans="1:8" ht="16.5" customHeight="1">
      <c r="A2" s="2872" t="s">
        <v>3086</v>
      </c>
      <c r="B2" s="2872" t="s">
        <v>3087</v>
      </c>
      <c r="C2" s="2872" t="s">
        <v>3088</v>
      </c>
      <c r="D2" s="2872" t="s">
        <v>3089</v>
      </c>
      <c r="E2" s="2872" t="s">
        <v>3090</v>
      </c>
      <c r="F2" s="2872" t="s">
        <v>3113</v>
      </c>
      <c r="G2" s="2872" t="s">
        <v>3114</v>
      </c>
    </row>
    <row r="3" spans="1:8">
      <c r="A3" s="2870">
        <v>1603</v>
      </c>
      <c r="B3" s="2852">
        <v>13</v>
      </c>
      <c r="C3" s="2852">
        <f>典型户型修正!E27</f>
        <v>1</v>
      </c>
      <c r="D3" s="2852">
        <f>项目基本情况!C12</f>
        <v>189.28</v>
      </c>
      <c r="E3" s="2852">
        <v>1</v>
      </c>
      <c r="F3" s="2851">
        <f ca="1">结果表!G20</f>
        <v>31129</v>
      </c>
      <c r="G3" s="2851">
        <f ca="1">结果表!G19</f>
        <v>5892143</v>
      </c>
    </row>
    <row r="4" spans="1:8">
      <c r="A4" s="2870">
        <v>1703</v>
      </c>
      <c r="B4" s="2852">
        <v>14</v>
      </c>
      <c r="C4" s="2852">
        <f>C3</f>
        <v>1</v>
      </c>
      <c r="D4" s="2852">
        <f>项目基本情况!C12</f>
        <v>189.28</v>
      </c>
      <c r="E4" s="2852">
        <v>1</v>
      </c>
      <c r="F4" s="2851">
        <f ca="1">结果表!G20</f>
        <v>31129</v>
      </c>
      <c r="G4" s="2851">
        <f ca="1">G3</f>
        <v>5892143</v>
      </c>
    </row>
    <row r="5" spans="1:8">
      <c r="A5" s="2870">
        <v>1803</v>
      </c>
      <c r="B5" s="2852">
        <v>15</v>
      </c>
      <c r="C5" s="2852">
        <f>C3</f>
        <v>1</v>
      </c>
      <c r="D5" s="2852">
        <f>项目基本情况!C12</f>
        <v>189.28</v>
      </c>
      <c r="E5" s="2852">
        <v>1</v>
      </c>
      <c r="F5" s="2851">
        <f ca="1">结果表!G20</f>
        <v>31129</v>
      </c>
      <c r="G5" s="2851">
        <f ca="1">G3</f>
        <v>5892143</v>
      </c>
    </row>
    <row r="6" spans="1:8">
      <c r="A6" s="2870">
        <v>1903</v>
      </c>
      <c r="B6" s="2852">
        <v>16</v>
      </c>
      <c r="C6" s="2852">
        <f>C3</f>
        <v>1</v>
      </c>
      <c r="D6" s="2852">
        <f>项目基本情况!C12</f>
        <v>189.28</v>
      </c>
      <c r="E6" s="2852">
        <v>1</v>
      </c>
      <c r="F6" s="2851">
        <f ca="1">结果表!G20</f>
        <v>31129</v>
      </c>
      <c r="G6" s="2851">
        <f t="shared" ref="G6" ca="1" si="0">G5</f>
        <v>5892143</v>
      </c>
    </row>
    <row r="7" spans="1:8">
      <c r="A7" s="2870">
        <v>2003</v>
      </c>
      <c r="B7" s="2852">
        <v>17</v>
      </c>
      <c r="C7" s="2852">
        <f>C3</f>
        <v>1</v>
      </c>
      <c r="D7" s="2852">
        <f>项目基本情况!C12</f>
        <v>189.28</v>
      </c>
      <c r="E7" s="2852">
        <v>1</v>
      </c>
      <c r="F7" s="2851">
        <f ca="1">结果表!G20</f>
        <v>31129</v>
      </c>
      <c r="G7" s="2851">
        <f ca="1">G3</f>
        <v>5892143</v>
      </c>
    </row>
    <row r="8" spans="1:8">
      <c r="A8" s="2870">
        <v>2103</v>
      </c>
      <c r="B8" s="2852">
        <v>18</v>
      </c>
      <c r="C8" s="2852">
        <f>典型户型修正!E28</f>
        <v>1.02</v>
      </c>
      <c r="D8" s="2852">
        <f>项目基本情况!C12</f>
        <v>189.28</v>
      </c>
      <c r="E8" s="2852">
        <v>1</v>
      </c>
      <c r="F8" s="2851">
        <f ca="1">ROUND(结果表!C20*结果表!C18+典型户型修正!R28*结果表!D18,0)</f>
        <v>31367</v>
      </c>
      <c r="G8" s="2851">
        <f ca="1">结果表!C19*结果表!C18+典型户型修正!S28*结果表!D18</f>
        <v>5937172.7000000002</v>
      </c>
    </row>
    <row r="9" spans="1:8">
      <c r="A9" s="2870">
        <v>2203</v>
      </c>
      <c r="B9" s="2852">
        <v>19</v>
      </c>
      <c r="C9" s="2852">
        <f>C8</f>
        <v>1.02</v>
      </c>
      <c r="D9" s="2852">
        <f>项目基本情况!C12</f>
        <v>189.28</v>
      </c>
      <c r="E9" s="2852">
        <v>1</v>
      </c>
      <c r="F9" s="2851">
        <f ca="1">F8</f>
        <v>31367</v>
      </c>
      <c r="G9" s="2851">
        <f ca="1">G8</f>
        <v>5937172.7000000002</v>
      </c>
    </row>
    <row r="10" spans="1:8">
      <c r="A10" s="2870">
        <v>2803</v>
      </c>
      <c r="B10" s="2852">
        <v>24</v>
      </c>
      <c r="C10" s="2852">
        <f>C8</f>
        <v>1.02</v>
      </c>
      <c r="D10" s="2852">
        <f>项目基本情况!C12</f>
        <v>189.28</v>
      </c>
      <c r="E10" s="2852">
        <v>1</v>
      </c>
      <c r="F10" s="2851">
        <f ca="1">F8</f>
        <v>31367</v>
      </c>
      <c r="G10" s="2851">
        <f ca="1">G9</f>
        <v>5937172.7000000002</v>
      </c>
    </row>
    <row r="11" spans="1:8">
      <c r="A11" s="2870">
        <v>2903</v>
      </c>
      <c r="B11" s="2852">
        <v>25</v>
      </c>
      <c r="C11" s="2852">
        <f>C8</f>
        <v>1.02</v>
      </c>
      <c r="D11" s="2852">
        <f>项目基本情况!C12</f>
        <v>189.28</v>
      </c>
      <c r="E11" s="2852">
        <v>1</v>
      </c>
      <c r="F11" s="2851">
        <f ca="1">F8</f>
        <v>31367</v>
      </c>
      <c r="G11" s="2852">
        <f ca="1">G10</f>
        <v>5937172.7000000002</v>
      </c>
    </row>
    <row r="12" spans="1:8">
      <c r="A12" s="3113" t="s">
        <v>3140</v>
      </c>
      <c r="B12" s="3110"/>
      <c r="C12" s="3111"/>
      <c r="D12" s="2852">
        <f>SUM(D3:D11)</f>
        <v>1703.52</v>
      </c>
      <c r="E12" s="2852"/>
      <c r="F12" s="2852"/>
      <c r="G12" s="2852">
        <f ca="1">SUM(G3:G11)</f>
        <v>53209405.800000012</v>
      </c>
    </row>
    <row r="13" spans="1:8" hidden="1">
      <c r="A13" s="3098" t="s">
        <v>3085</v>
      </c>
      <c r="B13" s="3099"/>
      <c r="C13" s="3099"/>
      <c r="D13" s="3099"/>
      <c r="E13" s="3099"/>
      <c r="F13" s="3099"/>
      <c r="G13" s="3099"/>
      <c r="H13" s="3099"/>
    </row>
    <row r="14" spans="1:8" hidden="1">
      <c r="A14" s="2851" t="s">
        <v>3086</v>
      </c>
      <c r="B14" s="2851" t="s">
        <v>3087</v>
      </c>
      <c r="C14" s="2851" t="s">
        <v>3088</v>
      </c>
      <c r="D14" s="2851" t="s">
        <v>3093</v>
      </c>
      <c r="E14" s="2851" t="s">
        <v>3090</v>
      </c>
      <c r="F14" s="2851" t="s">
        <v>3091</v>
      </c>
      <c r="G14" s="2851"/>
      <c r="H14" s="2851" t="s">
        <v>3092</v>
      </c>
    </row>
    <row r="15" spans="1:8" hidden="1">
      <c r="A15" s="2851" t="s">
        <v>3094</v>
      </c>
      <c r="B15" s="2852">
        <v>1</v>
      </c>
      <c r="C15" s="2852">
        <v>1</v>
      </c>
      <c r="D15" s="2853">
        <f>[1]比较法—租金!C36</f>
        <v>0</v>
      </c>
      <c r="E15" s="2852">
        <v>1</v>
      </c>
      <c r="F15" s="2851">
        <f>[1]收益法!D49</f>
        <v>0</v>
      </c>
      <c r="G15" s="2851"/>
      <c r="H15" s="2851" t="s">
        <v>512</v>
      </c>
    </row>
    <row r="16" spans="1:8" hidden="1">
      <c r="A16" s="2851" t="s">
        <v>3095</v>
      </c>
      <c r="B16" s="2852">
        <v>2</v>
      </c>
      <c r="C16" s="2852">
        <v>0.8</v>
      </c>
      <c r="D16" s="2852">
        <v>531.41999999999996</v>
      </c>
      <c r="E16" s="2852">
        <v>0.96</v>
      </c>
      <c r="F16" s="2851" t="s">
        <v>512</v>
      </c>
      <c r="G16" s="2851"/>
      <c r="H16" s="2851">
        <f>ROUND(F15*C16*E16,1)</f>
        <v>0</v>
      </c>
    </row>
    <row r="17" spans="1:9" hidden="1">
      <c r="A17" s="3100" t="s">
        <v>1039</v>
      </c>
      <c r="B17" s="3101"/>
      <c r="C17" s="3102"/>
      <c r="D17" s="2853">
        <f>D15+D16</f>
        <v>531.41999999999996</v>
      </c>
      <c r="E17" s="3103" t="s">
        <v>512</v>
      </c>
      <c r="F17" s="3104"/>
      <c r="G17" s="2861"/>
      <c r="H17" s="2851">
        <f>ROUND((D15*F15+D16*H16)/D17,1)</f>
        <v>0</v>
      </c>
    </row>
    <row r="18" spans="1:9" hidden="1">
      <c r="A18" s="3100" t="s">
        <v>2959</v>
      </c>
      <c r="B18" s="3105"/>
      <c r="C18" s="3106"/>
      <c r="D18" s="3107">
        <f>D17</f>
        <v>531.41999999999996</v>
      </c>
      <c r="E18" s="2851">
        <f>ROUND(H17*0.9,1)</f>
        <v>0</v>
      </c>
      <c r="F18" s="2786" t="s">
        <v>2956</v>
      </c>
      <c r="G18" s="2786"/>
      <c r="H18" s="2851">
        <f>ROUND(H17*1.1,1)</f>
        <v>0</v>
      </c>
    </row>
    <row r="19" spans="1:9" hidden="1">
      <c r="A19" s="3103" t="s">
        <v>3096</v>
      </c>
      <c r="B19" s="3110"/>
      <c r="C19" s="3111"/>
      <c r="D19" s="3108"/>
      <c r="E19" s="3103">
        <v>2.1</v>
      </c>
      <c r="F19" s="3112"/>
      <c r="G19" s="3112"/>
      <c r="H19" s="3104"/>
    </row>
    <row r="20" spans="1:9" hidden="1">
      <c r="A20" s="3103" t="s">
        <v>3097</v>
      </c>
      <c r="B20" s="3110"/>
      <c r="C20" s="3111"/>
      <c r="D20" s="3109"/>
      <c r="E20" s="2852">
        <f>E18+E19</f>
        <v>2.1</v>
      </c>
      <c r="F20" s="2786" t="s">
        <v>2956</v>
      </c>
      <c r="G20" s="2786"/>
      <c r="H20" s="2851">
        <f>H18+E19</f>
        <v>2.1</v>
      </c>
    </row>
    <row r="21" spans="1:9" hidden="1"/>
    <row r="22" spans="1:9" hidden="1">
      <c r="A22" s="2854" t="s">
        <v>3098</v>
      </c>
      <c r="B22" s="2850">
        <v>19.3</v>
      </c>
    </row>
    <row r="23" spans="1:9" hidden="1"/>
    <row r="25" spans="1:9" s="2875" customFormat="1" ht="13.5" customHeight="1">
      <c r="A25" s="2874" t="s">
        <v>3141</v>
      </c>
      <c r="B25" s="2874"/>
      <c r="C25" s="2874"/>
      <c r="D25" s="2874"/>
      <c r="E25" s="2874"/>
      <c r="F25" s="2874" t="s">
        <v>3142</v>
      </c>
      <c r="G25" s="2874"/>
      <c r="H25" s="2874"/>
      <c r="I25" s="2874"/>
    </row>
    <row r="26" spans="1:9" s="2854" customFormat="1" ht="14.25">
      <c r="A26" s="2876" t="s">
        <v>3127</v>
      </c>
      <c r="B26" s="2877" t="s">
        <v>3128</v>
      </c>
      <c r="C26" s="3095" t="s">
        <v>3114</v>
      </c>
      <c r="D26" s="3096"/>
      <c r="E26" s="2873"/>
      <c r="F26" s="2876" t="s">
        <v>3127</v>
      </c>
      <c r="G26" s="2877" t="s">
        <v>3128</v>
      </c>
      <c r="H26" s="3095" t="s">
        <v>3114</v>
      </c>
      <c r="I26" s="3096"/>
    </row>
    <row r="27" spans="1:9" s="2854" customFormat="1" ht="19.5" customHeight="1">
      <c r="A27" s="2878">
        <f>D12</f>
        <v>1703.52</v>
      </c>
      <c r="B27" s="2878">
        <f ca="1">'收益法（反推）'!C41</f>
        <v>2.7</v>
      </c>
      <c r="C27" s="3095">
        <f ca="1">B27*A27*365</f>
        <v>1678818.96</v>
      </c>
      <c r="D27" s="3097"/>
      <c r="E27" s="2873"/>
      <c r="F27" s="2878">
        <f>D12</f>
        <v>1703.52</v>
      </c>
      <c r="G27" s="2878">
        <f ca="1">'收益法（反推）'!H41</f>
        <v>2.35</v>
      </c>
      <c r="H27" s="3095">
        <f ca="1">F27*G27*366</f>
        <v>1465197.5519999999</v>
      </c>
      <c r="I27" s="3097"/>
    </row>
    <row r="29" spans="1:9" ht="14.25">
      <c r="A29" s="3304" t="s">
        <v>3143</v>
      </c>
      <c r="B29" s="3305" t="s">
        <v>3128</v>
      </c>
      <c r="C29" s="3306" t="s">
        <v>3144</v>
      </c>
      <c r="D29" s="3307"/>
      <c r="E29" s="2873"/>
      <c r="F29" s="3304" t="s">
        <v>3143</v>
      </c>
      <c r="G29" s="3305" t="s">
        <v>3128</v>
      </c>
      <c r="H29" s="3306" t="s">
        <v>3144</v>
      </c>
      <c r="I29" s="3307"/>
    </row>
    <row r="30" spans="1:9">
      <c r="A30" s="2852">
        <f>D3</f>
        <v>189.28</v>
      </c>
      <c r="B30" s="3308">
        <f ca="1">B27</f>
        <v>2.7</v>
      </c>
      <c r="C30" s="3309">
        <f ca="1">A30*B30*30</f>
        <v>15331.68</v>
      </c>
      <c r="D30" s="3309"/>
      <c r="F30" s="2852">
        <f>D3</f>
        <v>189.28</v>
      </c>
      <c r="G30" s="3308">
        <f ca="1">G27</f>
        <v>2.35</v>
      </c>
      <c r="H30" s="3309">
        <f ca="1">F30*G30*30</f>
        <v>13344.24</v>
      </c>
      <c r="I30" s="3309"/>
    </row>
  </sheetData>
  <mergeCells count="18">
    <mergeCell ref="A12:C12"/>
    <mergeCell ref="A1:G1"/>
    <mergeCell ref="C29:D29"/>
    <mergeCell ref="H29:I29"/>
    <mergeCell ref="C30:D30"/>
    <mergeCell ref="H30:I30"/>
    <mergeCell ref="C26:D26"/>
    <mergeCell ref="C27:D27"/>
    <mergeCell ref="H26:I26"/>
    <mergeCell ref="H27:I27"/>
    <mergeCell ref="A13:H13"/>
    <mergeCell ref="A17:C17"/>
    <mergeCell ref="E17:F17"/>
    <mergeCell ref="A18:C18"/>
    <mergeCell ref="D18:D20"/>
    <mergeCell ref="A19:C19"/>
    <mergeCell ref="E19:H19"/>
    <mergeCell ref="A20:C20"/>
  </mergeCells>
  <phoneticPr fontId="4"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1968</v>
      </c>
      <c r="B1" s="2195"/>
      <c r="C1" s="2195"/>
      <c r="D1" s="2195"/>
      <c r="E1" s="2195"/>
      <c r="F1" s="2195"/>
      <c r="G1" s="2195"/>
      <c r="H1" s="2195"/>
      <c r="I1" s="2195"/>
    </row>
    <row r="2" spans="1:12" ht="21.75" customHeight="1">
      <c r="A2" s="3125" t="s">
        <v>1969</v>
      </c>
      <c r="B2" s="3125"/>
      <c r="C2" s="3125"/>
      <c r="D2" s="3125"/>
      <c r="E2" s="3125"/>
      <c r="F2" s="3125"/>
      <c r="G2" s="3125"/>
      <c r="H2" s="3125"/>
      <c r="I2" s="3125"/>
    </row>
    <row r="3" spans="1:12" ht="12.75">
      <c r="A3" s="3035" t="s">
        <v>1773</v>
      </c>
      <c r="B3" s="3036"/>
      <c r="C3" s="3036"/>
      <c r="D3" s="3036"/>
      <c r="E3" s="3036"/>
      <c r="F3" s="3036"/>
      <c r="G3" s="3036"/>
      <c r="H3" s="3036"/>
      <c r="I3" s="3036"/>
    </row>
    <row r="4" spans="1:12" ht="14.25">
      <c r="A4" s="2197" t="s">
        <v>1774</v>
      </c>
      <c r="B4" s="2198" t="s">
        <v>1775</v>
      </c>
      <c r="C4" s="2199"/>
      <c r="D4" s="2199"/>
      <c r="E4" s="3016" t="s">
        <v>1970</v>
      </c>
      <c r="F4" s="3017"/>
      <c r="G4" s="3017"/>
      <c r="H4" s="3017"/>
      <c r="I4" s="302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09" t="s">
        <v>1777</v>
      </c>
      <c r="B5" s="2971">
        <v>25</v>
      </c>
      <c r="C5" s="3020"/>
      <c r="D5" s="3034"/>
      <c r="E5" s="56" t="s">
        <v>1778</v>
      </c>
      <c r="F5" s="2200"/>
      <c r="G5" s="2200"/>
      <c r="H5" s="2200"/>
      <c r="I5" s="2201"/>
    </row>
    <row r="6" spans="1:12" ht="12.75">
      <c r="A6" s="3009"/>
      <c r="B6" s="2971"/>
      <c r="C6" s="3037"/>
      <c r="D6" s="3034"/>
      <c r="E6" s="56" t="s">
        <v>1779</v>
      </c>
      <c r="F6" s="2200"/>
      <c r="G6" s="2200"/>
      <c r="H6" s="2200"/>
      <c r="I6" s="2201"/>
    </row>
    <row r="7" spans="1:12" ht="12.75">
      <c r="A7" s="3009"/>
      <c r="B7" s="2971"/>
      <c r="C7" s="3021"/>
      <c r="D7" s="3034"/>
      <c r="E7" s="56" t="s">
        <v>1780</v>
      </c>
      <c r="F7" s="2200"/>
      <c r="G7" s="2200"/>
      <c r="H7" s="2200"/>
      <c r="I7" s="2201"/>
    </row>
    <row r="8" spans="1:12" ht="12.75">
      <c r="A8" s="3009" t="s">
        <v>1781</v>
      </c>
      <c r="B8" s="2971">
        <v>15</v>
      </c>
      <c r="C8" s="3020"/>
      <c r="D8" s="3034"/>
      <c r="E8" s="56" t="s">
        <v>1782</v>
      </c>
      <c r="F8" s="2200"/>
      <c r="G8" s="2200"/>
      <c r="H8" s="2200"/>
      <c r="I8" s="2201"/>
    </row>
    <row r="9" spans="1:12" ht="12.75">
      <c r="A9" s="3009"/>
      <c r="B9" s="2971"/>
      <c r="C9" s="3021"/>
      <c r="D9" s="3034"/>
      <c r="E9" s="56" t="s">
        <v>1783</v>
      </c>
      <c r="F9" s="2200"/>
      <c r="G9" s="2200"/>
      <c r="H9" s="2200"/>
      <c r="I9" s="2201"/>
    </row>
    <row r="10" spans="1:12" ht="12.75">
      <c r="A10" s="3009" t="s">
        <v>1784</v>
      </c>
      <c r="B10" s="2971">
        <v>15</v>
      </c>
      <c r="C10" s="3020"/>
      <c r="D10" s="3034"/>
      <c r="E10" s="56" t="s">
        <v>1785</v>
      </c>
      <c r="F10" s="2200"/>
      <c r="G10" s="2200"/>
      <c r="H10" s="2200"/>
      <c r="I10" s="2201"/>
    </row>
    <row r="11" spans="1:12" ht="12.75">
      <c r="A11" s="3009"/>
      <c r="B11" s="2971"/>
      <c r="C11" s="3021"/>
      <c r="D11" s="3034"/>
      <c r="E11" s="56" t="s">
        <v>1786</v>
      </c>
      <c r="F11" s="2200"/>
      <c r="G11" s="2200"/>
      <c r="H11" s="2200"/>
      <c r="I11" s="2201"/>
    </row>
    <row r="12" spans="1:12" ht="12.75">
      <c r="A12" s="3009" t="s">
        <v>1787</v>
      </c>
      <c r="B12" s="2971">
        <v>15</v>
      </c>
      <c r="C12" s="3020"/>
      <c r="D12" s="3034"/>
      <c r="E12" s="56" t="s">
        <v>1788</v>
      </c>
      <c r="F12" s="2200"/>
      <c r="G12" s="2200"/>
      <c r="H12" s="2200"/>
      <c r="I12" s="2201"/>
    </row>
    <row r="13" spans="1:12" ht="12.75">
      <c r="A13" s="3009"/>
      <c r="B13" s="2971"/>
      <c r="C13" s="3021"/>
      <c r="D13" s="3034"/>
      <c r="E13" s="56" t="s">
        <v>1789</v>
      </c>
      <c r="F13" s="2200"/>
      <c r="G13" s="2200"/>
      <c r="H13" s="2200"/>
      <c r="I13" s="2201"/>
    </row>
    <row r="14" spans="1:12" ht="12.75">
      <c r="A14" s="3009" t="s">
        <v>1790</v>
      </c>
      <c r="B14" s="2971">
        <v>30</v>
      </c>
      <c r="C14" s="3020"/>
      <c r="D14" s="3034"/>
      <c r="E14" s="56" t="s">
        <v>1791</v>
      </c>
      <c r="F14" s="2200"/>
      <c r="G14" s="2200"/>
      <c r="H14" s="2200"/>
      <c r="I14" s="2201"/>
    </row>
    <row r="15" spans="1:12" ht="12.75">
      <c r="A15" s="3009"/>
      <c r="B15" s="2971"/>
      <c r="C15" s="3037"/>
      <c r="D15" s="3034"/>
      <c r="E15" s="56" t="s">
        <v>1792</v>
      </c>
      <c r="F15" s="2200"/>
      <c r="G15" s="2200"/>
      <c r="H15" s="2200"/>
      <c r="I15" s="2201"/>
    </row>
    <row r="16" spans="1:12" ht="12.75">
      <c r="A16" s="3009"/>
      <c r="B16" s="2971"/>
      <c r="C16" s="3021"/>
      <c r="D16" s="3034"/>
      <c r="E16" s="56" t="s">
        <v>1793</v>
      </c>
      <c r="F16" s="2200"/>
      <c r="G16" s="2200"/>
      <c r="H16" s="2200"/>
      <c r="I16" s="2201"/>
    </row>
    <row r="17" spans="1:35" ht="15">
      <c r="A17" s="2202" t="s">
        <v>1794</v>
      </c>
      <c r="B17" s="2203"/>
      <c r="C17" s="57">
        <f>SUM(C5:C16)</f>
        <v>0</v>
      </c>
      <c r="D17" s="57">
        <f>SUM(D5:D16)</f>
        <v>0</v>
      </c>
      <c r="E17" s="2195"/>
      <c r="F17" s="2195"/>
      <c r="G17" s="2195"/>
      <c r="H17" s="2195"/>
      <c r="I17" s="2195"/>
    </row>
    <row r="18" spans="1:35" ht="15.75" thickBot="1">
      <c r="A18" s="2204" t="s">
        <v>1795</v>
      </c>
      <c r="B18" s="2205"/>
      <c r="C18" s="58" t="e">
        <f>ROUND(C17/SUM(C17:D17),2)</f>
        <v>#DIV/0!</v>
      </c>
      <c r="D18" s="58" t="e">
        <f>1-C18</f>
        <v>#DIV/0!</v>
      </c>
      <c r="E18" s="2195"/>
      <c r="F18" s="2195"/>
      <c r="G18" s="2195"/>
      <c r="H18" s="2195"/>
      <c r="I18" s="2195"/>
    </row>
    <row r="19" spans="1:35" ht="15">
      <c r="A19" s="2206" t="s">
        <v>1796</v>
      </c>
      <c r="B19" s="2207" t="s">
        <v>1797</v>
      </c>
      <c r="C19" s="59" t="e">
        <f ca="1">SUMIF(INDIRECT("'"&amp;C4&amp;"'"&amp;"!A:A"),'结果表 (1修多)'!B19,INDIRECT("'"&amp;C4&amp;"'"&amp;"!B:B"))</f>
        <v>#REF!</v>
      </c>
      <c r="D19" s="60" t="e">
        <f ca="1">SUMIF(INDIRECT("'"&amp;D4&amp;"'"&amp;"!A:A"),'结果表 (1修多)'!B19,INDIRECT("'"&amp;D4&amp;"'"&amp;"!B:B"))</f>
        <v>#REF!</v>
      </c>
      <c r="E19" s="2206" t="s">
        <v>1798</v>
      </c>
      <c r="F19" s="2207" t="s">
        <v>1797</v>
      </c>
      <c r="G19" s="61" t="e">
        <f ca="1">ROUND(C19*$C$18+D19*$D$18,0)</f>
        <v>#REF!</v>
      </c>
      <c r="H19" s="2208" t="str">
        <f>'数据-取费表'!B3</f>
        <v>元</v>
      </c>
      <c r="I19" s="2195"/>
    </row>
    <row r="20" spans="1:35" ht="15">
      <c r="A20" s="2209"/>
      <c r="B20" s="2210" t="s">
        <v>1799</v>
      </c>
      <c r="C20" s="62" t="e">
        <f ca="1">SUMIF(INDIRECT("'"&amp;C4&amp;"'"&amp;"!A:A"),'结果表 (1修多)'!B20,INDIRECT("'"&amp;C4&amp;"'"&amp;"!B:B"))</f>
        <v>#REF!</v>
      </c>
      <c r="D20" s="63" t="e">
        <f ca="1">SUMIF(INDIRECT("'"&amp;D4&amp;"'"&amp;"!A:A"),'结果表 (1修多)'!B20,INDIRECT("'"&amp;D4&amp;"'"&amp;"!B:B"))</f>
        <v>#REF!</v>
      </c>
      <c r="E20" s="2209"/>
      <c r="F20" s="2210" t="s">
        <v>1799</v>
      </c>
      <c r="G20" s="64" t="e">
        <f ca="1">ROUND(C20*$C$18+D20*$D$18,0)</f>
        <v>#REF!</v>
      </c>
      <c r="H20" s="2211" t="s">
        <v>1800</v>
      </c>
      <c r="I20" s="2195"/>
    </row>
    <row r="21" spans="1:35" ht="15" customHeight="1" thickBot="1">
      <c r="A21" s="2212"/>
      <c r="B21" s="2213"/>
      <c r="C21" s="770"/>
      <c r="D21" s="771"/>
      <c r="E21" s="2212"/>
      <c r="F21" s="2213"/>
      <c r="G21" s="65"/>
      <c r="H21" s="2214"/>
      <c r="I21" s="2195"/>
    </row>
    <row r="22" spans="1:35" ht="15" thickBot="1">
      <c r="A22" s="2215" t="s">
        <v>1801</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3040" t="s">
        <v>1802</v>
      </c>
      <c r="B24" s="2207" t="s">
        <v>1797</v>
      </c>
      <c r="C24" s="61">
        <f>D30</f>
        <v>0</v>
      </c>
      <c r="D24" s="994"/>
      <c r="E24" s="2195"/>
      <c r="F24" s="2195"/>
      <c r="G24" s="2195"/>
      <c r="H24" s="2195"/>
      <c r="I24" s="2195"/>
    </row>
    <row r="25" spans="1:35" ht="21.75" customHeight="1">
      <c r="A25" s="3041"/>
      <c r="B25" s="2210" t="s">
        <v>1799</v>
      </c>
      <c r="C25" s="66">
        <f>IF(B30=0,0,C30)</f>
        <v>0</v>
      </c>
      <c r="D25" s="2218"/>
      <c r="E25" s="2195"/>
      <c r="F25" s="2195"/>
      <c r="G25" s="2195"/>
      <c r="H25" s="2195"/>
      <c r="I25" s="2195"/>
    </row>
    <row r="26" spans="1:35" ht="13.5" customHeight="1">
      <c r="A26" s="2219" t="s">
        <v>1803</v>
      </c>
      <c r="B26" s="67" t="s">
        <v>1804</v>
      </c>
      <c r="C26" s="67" t="s">
        <v>1805</v>
      </c>
      <c r="D26" s="68" t="s">
        <v>1806</v>
      </c>
      <c r="E26" s="2195"/>
      <c r="F26" s="2195"/>
      <c r="G26" s="2195"/>
      <c r="H26" s="2195"/>
      <c r="I26" s="2195"/>
    </row>
    <row r="27" spans="1:35" ht="14.25">
      <c r="A27" s="2220" t="s">
        <v>1971</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5" t="s">
        <v>1972</v>
      </c>
      <c r="B30" s="2716"/>
      <c r="C30" s="2716"/>
      <c r="D30" s="2716"/>
      <c r="E30" s="2714" t="s">
        <v>2806</v>
      </c>
      <c r="F30" s="2195"/>
      <c r="G30" s="2195"/>
      <c r="H30" s="2195"/>
      <c r="I30" s="2195"/>
    </row>
    <row r="31" spans="1:35" s="2222" customFormat="1" ht="15.75" thickBot="1">
      <c r="A31" s="3116" t="s">
        <v>1973</v>
      </c>
      <c r="B31" s="3116"/>
      <c r="C31" s="3116"/>
      <c r="D31" s="3116"/>
      <c r="E31" s="3116"/>
      <c r="F31" s="3116"/>
      <c r="G31" s="3116"/>
      <c r="H31" s="3116"/>
      <c r="I31" s="311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1974</v>
      </c>
      <c r="C32" s="1308">
        <f>典型户型修正!R27</f>
        <v>39643</v>
      </c>
      <c r="D32" s="2195" t="s">
        <v>1975</v>
      </c>
      <c r="E32" s="2195"/>
      <c r="F32" s="2195"/>
      <c r="G32" s="2195"/>
      <c r="H32" s="2195"/>
      <c r="I32" s="2195"/>
    </row>
    <row r="33" spans="1:16" ht="15">
      <c r="A33" s="2322" t="s">
        <v>1976</v>
      </c>
      <c r="B33" s="2323" t="s">
        <v>1977</v>
      </c>
      <c r="C33" s="1309">
        <f>典型户型修正!B2</f>
        <v>15157353</v>
      </c>
      <c r="D33" s="2324" t="str">
        <f>IF('数据-取费表'!B3="万元","万元","元")</f>
        <v>元</v>
      </c>
      <c r="E33" s="2195"/>
      <c r="F33" s="2195"/>
      <c r="G33" s="2195"/>
      <c r="H33" s="2195"/>
      <c r="I33" s="2195"/>
    </row>
    <row r="34" spans="1:16" ht="15.75" thickBot="1">
      <c r="A34" s="2325"/>
      <c r="B34" s="2326" t="s">
        <v>1978</v>
      </c>
      <c r="C34" s="771">
        <f>典型户型修正!B3</f>
        <v>40039</v>
      </c>
      <c r="D34" s="2195" t="s">
        <v>1979</v>
      </c>
      <c r="E34" s="2195"/>
      <c r="F34" s="2195"/>
      <c r="G34" s="2195"/>
      <c r="H34" s="2195"/>
      <c r="I34" s="2195"/>
    </row>
    <row r="35" spans="1:16" ht="15">
      <c r="A35" s="2327"/>
      <c r="B35" s="2328" t="s">
        <v>1980</v>
      </c>
      <c r="C35" s="1316">
        <f>IF('数据-取费表'!B3="万元",典型户型修正!V25,典型户型修正!U25)</f>
        <v>0</v>
      </c>
      <c r="D35" s="2195" t="str">
        <f>D33</f>
        <v>元</v>
      </c>
      <c r="E35" s="2195"/>
      <c r="F35" s="2195"/>
      <c r="G35" s="2195"/>
      <c r="H35" s="2195"/>
      <c r="I35" s="2195"/>
    </row>
    <row r="36" spans="1:16" ht="15.75" thickBot="1">
      <c r="A36" s="2234"/>
      <c r="B36" s="2329" t="s">
        <v>1981</v>
      </c>
      <c r="C36" s="1317">
        <f>IF('数据-取费表'!B3="万元",典型户型修正!Y25,典型户型修正!X25)</f>
        <v>0</v>
      </c>
      <c r="D36" s="2195" t="str">
        <f>D33</f>
        <v>元</v>
      </c>
      <c r="E36" s="2195"/>
      <c r="F36" s="2195"/>
      <c r="G36" s="2195"/>
      <c r="H36" s="2195"/>
      <c r="I36" s="2195"/>
    </row>
    <row r="37" spans="1:16" ht="15.75" thickBot="1">
      <c r="A37" s="3022" t="s">
        <v>1982</v>
      </c>
      <c r="B37" s="2237" t="s">
        <v>1983</v>
      </c>
      <c r="C37" s="69"/>
      <c r="D37" s="2238"/>
      <c r="E37" s="2239"/>
      <c r="F37" s="2239"/>
      <c r="G37" s="2195"/>
      <c r="H37" s="2195"/>
      <c r="I37" s="2195"/>
    </row>
    <row r="38" spans="1:16" ht="15.75" thickBot="1">
      <c r="A38" s="3023"/>
      <c r="B38" s="2240" t="s">
        <v>1984</v>
      </c>
      <c r="C38" s="71"/>
      <c r="D38" s="2205"/>
      <c r="E38" s="2205"/>
      <c r="F38" s="2239"/>
      <c r="G38" s="2205"/>
      <c r="H38" s="2205"/>
      <c r="I38" s="2205"/>
    </row>
    <row r="39" spans="1:16" ht="15.75" thickBot="1">
      <c r="A39" s="3024"/>
      <c r="B39" s="2241" t="s">
        <v>1985</v>
      </c>
      <c r="C39" s="712"/>
      <c r="D39" s="2242" t="s">
        <v>1986</v>
      </c>
      <c r="E39" s="2205"/>
      <c r="F39" s="2239"/>
      <c r="G39" s="2205"/>
      <c r="H39" s="2205"/>
      <c r="I39" s="2205"/>
    </row>
    <row r="40" spans="1:16" ht="15">
      <c r="A40" s="2209" t="s">
        <v>1987</v>
      </c>
      <c r="B40" s="2243" t="s">
        <v>1988</v>
      </c>
      <c r="C40" s="2244" t="s">
        <v>1989</v>
      </c>
      <c r="D40" s="2244" t="s">
        <v>1990</v>
      </c>
      <c r="E40" s="2245" t="s">
        <v>1991</v>
      </c>
      <c r="F40" s="2239"/>
      <c r="G40" s="2205"/>
      <c r="H40" s="2205"/>
      <c r="I40" s="2205"/>
    </row>
    <row r="41" spans="1:16" ht="14.25">
      <c r="A41" s="2246" t="s">
        <v>1992</v>
      </c>
      <c r="B41" s="74"/>
      <c r="C41" s="75"/>
      <c r="D41" s="75"/>
      <c r="E41" s="76"/>
      <c r="F41" s="2239"/>
      <c r="G41" s="2205"/>
      <c r="H41" s="2205"/>
      <c r="I41" s="2205"/>
    </row>
    <row r="42" spans="1:16" ht="14.25">
      <c r="A42" s="2246" t="s">
        <v>1993</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1994</v>
      </c>
      <c r="B45" s="2252"/>
      <c r="C45" s="2252"/>
      <c r="D45" s="2253"/>
      <c r="E45" s="2253"/>
      <c r="F45" s="2254"/>
      <c r="G45" s="2254"/>
      <c r="H45" s="2254"/>
      <c r="I45" s="2254"/>
      <c r="J45" s="2255" t="s">
        <v>1825</v>
      </c>
      <c r="K45" s="2256"/>
      <c r="L45" s="2256"/>
      <c r="M45" s="2256"/>
      <c r="N45" s="2256"/>
      <c r="O45" s="2256"/>
      <c r="P45" s="1845"/>
    </row>
    <row r="46" spans="1:16" ht="14.25" customHeight="1" thickBot="1">
      <c r="A46" s="3028" t="s">
        <v>1995</v>
      </c>
      <c r="B46" s="3029"/>
      <c r="C46" s="3030"/>
      <c r="D46" s="80">
        <f>ROUND(I103*F46,0)</f>
        <v>15157353</v>
      </c>
      <c r="E46" s="81" t="s">
        <v>1996</v>
      </c>
      <c r="F46" s="82">
        <v>1</v>
      </c>
      <c r="G46" s="83" t="s">
        <v>1997</v>
      </c>
      <c r="H46" s="2195"/>
      <c r="I46" s="2195"/>
      <c r="J46" s="3090" t="s">
        <v>1829</v>
      </c>
      <c r="K46" s="3090"/>
      <c r="L46" s="3090"/>
      <c r="M46" s="3090"/>
      <c r="N46" s="3090"/>
      <c r="O46" s="3090"/>
      <c r="P46" s="1845"/>
    </row>
    <row r="47" spans="1:16" ht="14.25" customHeight="1">
      <c r="A47" s="3013" t="s">
        <v>1830</v>
      </c>
      <c r="B47" s="3014"/>
      <c r="C47" s="3014"/>
      <c r="D47" s="3014"/>
      <c r="E47" s="3014"/>
      <c r="F47" s="3014"/>
      <c r="G47" s="3015"/>
      <c r="H47" s="2257"/>
      <c r="I47" s="1144"/>
      <c r="J47" s="1883">
        <v>1</v>
      </c>
      <c r="K47" s="3090" t="s">
        <v>1831</v>
      </c>
      <c r="L47" s="3090"/>
      <c r="M47" s="3126"/>
      <c r="N47" s="3126"/>
      <c r="O47" s="3126"/>
      <c r="P47" s="1845"/>
    </row>
    <row r="48" spans="1:16" ht="12" customHeight="1">
      <c r="A48" s="85" t="s">
        <v>1832</v>
      </c>
      <c r="B48" s="86"/>
      <c r="C48" s="87"/>
      <c r="D48" s="88" t="s">
        <v>1833</v>
      </c>
      <c r="E48" s="14" t="s">
        <v>1834</v>
      </c>
      <c r="F48" s="89" t="s">
        <v>1835</v>
      </c>
      <c r="G48" s="90" t="s">
        <v>1836</v>
      </c>
      <c r="H48" s="2257"/>
      <c r="I48" s="1144"/>
      <c r="J48" s="1883">
        <v>2</v>
      </c>
      <c r="K48" s="3090" t="s">
        <v>1837</v>
      </c>
      <c r="L48" s="3090"/>
      <c r="M48" s="3092">
        <f>'数据-取费表'!B2</f>
        <v>42510</v>
      </c>
      <c r="N48" s="3092"/>
      <c r="O48" s="3092"/>
      <c r="P48" s="1845"/>
    </row>
    <row r="49" spans="1:16" ht="25.5">
      <c r="A49" s="3025" t="s">
        <v>1838</v>
      </c>
      <c r="B49" s="3026"/>
      <c r="C49" s="3026"/>
      <c r="D49" s="56">
        <f>IF(H49="情况1",0,IF(H49="情况2",D53,IF(H49="情况3",D54,IF(H49="情况4",D55))))</f>
        <v>793957</v>
      </c>
      <c r="E49" s="1893" t="str">
        <f>IF(H49="情况4","(销售额-原购置价)×税（费）率","销售额×税（费）率")</f>
        <v>销售额×税（费）率</v>
      </c>
      <c r="F49" s="91">
        <f>IF(H49="情况1","免征",'数据-取费表'!E29)</f>
        <v>5.5000000000000007E-2</v>
      </c>
      <c r="G49" s="2258" t="s">
        <v>1839</v>
      </c>
      <c r="H49" s="2259" t="s">
        <v>1840</v>
      </c>
      <c r="I49" s="2257"/>
      <c r="J49" s="1883">
        <v>3</v>
      </c>
      <c r="K49" s="3090" t="s">
        <v>1841</v>
      </c>
      <c r="L49" s="3090"/>
      <c r="M49" s="3091">
        <f>I103</f>
        <v>15157353</v>
      </c>
      <c r="N49" s="3091"/>
      <c r="O49" s="3091"/>
      <c r="P49" s="1845"/>
    </row>
    <row r="50" spans="1:16" ht="25.5" customHeight="1">
      <c r="A50" s="92" t="s">
        <v>1842</v>
      </c>
      <c r="B50" s="3018" t="s">
        <v>1843</v>
      </c>
      <c r="C50" s="3018"/>
      <c r="D50" s="93">
        <v>0</v>
      </c>
      <c r="E50" s="13" t="s">
        <v>1844</v>
      </c>
      <c r="F50" s="18" t="s">
        <v>48</v>
      </c>
      <c r="G50" s="3083"/>
      <c r="H50" s="2195"/>
      <c r="I50" s="2260"/>
      <c r="J50" s="1883">
        <v>4</v>
      </c>
      <c r="K50" s="3090" t="str">
        <f>IF(项目基本情况!F5="房地产抵押价值","房地产抵押价值","抵押担保权已注销时的房地产抵押价值")</f>
        <v>抵押担保权已注销时的房地产抵押价值</v>
      </c>
      <c r="L50" s="3090"/>
      <c r="M50" s="3091" t="str">
        <f>IF(项目基本情况!F5="房地产抵押价值",I111,I113)</f>
        <v>——</v>
      </c>
      <c r="N50" s="3091"/>
      <c r="O50" s="3091"/>
      <c r="P50" s="1845"/>
    </row>
    <row r="51" spans="1:16" ht="25.5" customHeight="1">
      <c r="A51" s="94"/>
      <c r="B51" s="3018" t="s">
        <v>1845</v>
      </c>
      <c r="C51" s="3018"/>
      <c r="D51" s="95"/>
      <c r="E51" s="21"/>
      <c r="F51" s="96"/>
      <c r="G51" s="3084"/>
      <c r="H51" s="2195"/>
      <c r="I51" s="2260"/>
      <c r="J51" s="3090" t="s">
        <v>1846</v>
      </c>
      <c r="K51" s="3090"/>
      <c r="L51" s="3090"/>
      <c r="M51" s="3090"/>
      <c r="N51" s="3090"/>
      <c r="O51" s="3090"/>
      <c r="P51" s="1845"/>
    </row>
    <row r="52" spans="1:16" ht="12" customHeight="1">
      <c r="A52" s="97"/>
      <c r="B52" s="3018" t="s">
        <v>1847</v>
      </c>
      <c r="C52" s="3018"/>
      <c r="D52" s="98"/>
      <c r="E52" s="20"/>
      <c r="F52" s="96"/>
      <c r="G52" s="3085"/>
      <c r="H52" s="2195"/>
      <c r="I52" s="2260"/>
      <c r="J52" s="2261" t="s">
        <v>1848</v>
      </c>
      <c r="K52" s="3090" t="s">
        <v>1849</v>
      </c>
      <c r="L52" s="3090"/>
      <c r="M52" s="2261" t="s">
        <v>1850</v>
      </c>
      <c r="N52" s="2261" t="s">
        <v>1851</v>
      </c>
      <c r="O52" s="2261" t="s">
        <v>1852</v>
      </c>
      <c r="P52" s="1845"/>
    </row>
    <row r="53" spans="1:16" ht="24" customHeight="1">
      <c r="A53" s="99" t="s">
        <v>1853</v>
      </c>
      <c r="B53" s="3018" t="s">
        <v>1854</v>
      </c>
      <c r="C53" s="3018"/>
      <c r="D53" s="98">
        <f>ROUND(D46*'数据-取费表'!E29/(1+'数据-取费表'!F30),0)</f>
        <v>793957</v>
      </c>
      <c r="E53" s="10" t="s">
        <v>1855</v>
      </c>
      <c r="F53" s="100">
        <f>'数据-取费表'!E29</f>
        <v>5.5000000000000007E-2</v>
      </c>
      <c r="G53" s="2262"/>
      <c r="H53" s="2195"/>
      <c r="I53" s="2260"/>
      <c r="J53" s="1883">
        <v>1</v>
      </c>
      <c r="K53" s="3050" t="s">
        <v>1856</v>
      </c>
      <c r="L53" s="3050"/>
      <c r="M53" s="778">
        <f>D49</f>
        <v>793957</v>
      </c>
      <c r="N53" s="1883" t="str">
        <f>E49</f>
        <v>销售额×税（费）率</v>
      </c>
      <c r="O53" s="779">
        <f>F49</f>
        <v>5.5000000000000007E-2</v>
      </c>
      <c r="P53" s="1845"/>
    </row>
    <row r="54" spans="1:16" ht="12" customHeight="1">
      <c r="A54" s="99" t="s">
        <v>1857</v>
      </c>
      <c r="B54" s="3019" t="s">
        <v>1858</v>
      </c>
      <c r="C54" s="2949"/>
      <c r="D54" s="98">
        <f>ROUND(D46*'数据-取费表'!E29/(1+'数据-取费表'!F30),0)</f>
        <v>793957</v>
      </c>
      <c r="E54" s="10" t="s">
        <v>1855</v>
      </c>
      <c r="F54" s="100">
        <f>'数据-取费表'!E29</f>
        <v>5.5000000000000007E-2</v>
      </c>
      <c r="G54" s="2262"/>
      <c r="H54" s="2195"/>
      <c r="I54" s="2260"/>
      <c r="J54" s="1883">
        <v>2</v>
      </c>
      <c r="K54" s="3050" t="s">
        <v>1859</v>
      </c>
      <c r="L54" s="3050"/>
      <c r="M54" s="778">
        <f t="shared" ref="M54:O55" si="1">D56</f>
        <v>7579</v>
      </c>
      <c r="N54" s="1883" t="str">
        <f t="shared" si="1"/>
        <v>销售额×税（费）率</v>
      </c>
      <c r="O54" s="779">
        <f t="shared" si="1"/>
        <v>5.0000000000000001E-4</v>
      </c>
      <c r="P54" s="1845"/>
    </row>
    <row r="55" spans="1:16" ht="12" customHeight="1">
      <c r="A55" s="99" t="s">
        <v>1860</v>
      </c>
      <c r="B55" s="3019" t="s">
        <v>1861</v>
      </c>
      <c r="C55" s="2949"/>
      <c r="D55" s="98">
        <f>C69</f>
        <v>793957</v>
      </c>
      <c r="E55" s="20" t="s">
        <v>1862</v>
      </c>
      <c r="F55" s="100">
        <f>'数据-取费表'!E29</f>
        <v>5.5000000000000007E-2</v>
      </c>
      <c r="G55" s="2262"/>
      <c r="H55" s="2263"/>
      <c r="I55" s="2260"/>
      <c r="J55" s="1883">
        <v>3</v>
      </c>
      <c r="K55" s="3050" t="s">
        <v>1863</v>
      </c>
      <c r="L55" s="3050"/>
      <c r="M55" s="778">
        <f t="shared" si="1"/>
        <v>8592775</v>
      </c>
      <c r="N55" s="1883" t="str">
        <f t="shared" si="1"/>
        <v>增值额×税（费）率</v>
      </c>
      <c r="O55" s="780" t="str">
        <f t="shared" si="1"/>
        <v>——</v>
      </c>
      <c r="P55" s="1845"/>
    </row>
    <row r="56" spans="1:16" ht="24" customHeight="1">
      <c r="A56" s="2941" t="s">
        <v>1864</v>
      </c>
      <c r="B56" s="3026"/>
      <c r="C56" s="3026"/>
      <c r="D56" s="101">
        <f>IF(H56="个人住宅",0,ROUND(D46*I56,0))</f>
        <v>7579</v>
      </c>
      <c r="E56" s="10" t="s">
        <v>1865</v>
      </c>
      <c r="F56" s="100">
        <f>IF(H56="正常",I56,"免征")</f>
        <v>5.0000000000000001E-4</v>
      </c>
      <c r="G56" s="2262"/>
      <c r="H56" s="2259" t="s">
        <v>1866</v>
      </c>
      <c r="I56" s="102">
        <f>'数据-取费表'!E37</f>
        <v>5.0000000000000001E-4</v>
      </c>
      <c r="J56" s="1883" t="str">
        <f>IF(H60="非个人房产","",4)</f>
        <v/>
      </c>
      <c r="K56" s="3050" t="str">
        <f>IF(H60="非个人房产","——","个人所得税")</f>
        <v>——</v>
      </c>
      <c r="L56" s="3050"/>
      <c r="M56" s="781" t="str">
        <f>D60</f>
        <v>——</v>
      </c>
      <c r="N56" s="1886" t="str">
        <f>E60</f>
        <v>——</v>
      </c>
      <c r="O56" s="782" t="str">
        <f>F60</f>
        <v>——</v>
      </c>
      <c r="P56" s="1845"/>
    </row>
    <row r="57" spans="1:16" ht="24.75">
      <c r="A57" s="2941" t="s">
        <v>1867</v>
      </c>
      <c r="B57" s="3026"/>
      <c r="C57" s="3026"/>
      <c r="D57" s="101">
        <f>IF(H57="个人住宅",D58,D59)</f>
        <v>8592775</v>
      </c>
      <c r="E57" s="10" t="s">
        <v>1868</v>
      </c>
      <c r="F57" s="100" t="str">
        <f>IF(H57="正常",F59,"免征")</f>
        <v>——</v>
      </c>
      <c r="G57" s="2264" t="s">
        <v>1869</v>
      </c>
      <c r="H57" s="2265" t="s">
        <v>1866</v>
      </c>
      <c r="I57" s="1022"/>
      <c r="J57" s="1883" t="str">
        <f>IF(项目基本情况!I6="上海银行",IF(J56="",4,J56+1),"")</f>
        <v/>
      </c>
      <c r="K57" s="3068" t="str">
        <f>IF(项目基本情况!I6="上海银行","其他处置费用","")</f>
        <v/>
      </c>
      <c r="L57" s="3069"/>
      <c r="M57" s="778" t="str">
        <f>IF(项目基本情况!I6="上海银行",M70,"")</f>
        <v/>
      </c>
      <c r="N57" s="3081" t="str">
        <f>IF(项目基本情况!I6="上海银行","包含处置中涉及的律师、诉讼、拍卖、评估等费用","")</f>
        <v/>
      </c>
      <c r="O57" s="3082"/>
      <c r="P57" s="1845"/>
    </row>
    <row r="58" spans="1:16" ht="12.75">
      <c r="A58" s="99" t="s">
        <v>1842</v>
      </c>
      <c r="B58" s="3016" t="s">
        <v>1870</v>
      </c>
      <c r="C58" s="3027"/>
      <c r="D58" s="103">
        <v>0</v>
      </c>
      <c r="E58" s="13" t="s">
        <v>1844</v>
      </c>
      <c r="F58" s="70"/>
      <c r="G58" s="2262"/>
      <c r="H58" s="1022"/>
      <c r="I58" s="1022"/>
      <c r="J58" s="3050">
        <f>IF(AND(J56="",J57=""),4,IF(项目基本情况!I6="上海银行",J57+1,J56+1))</f>
        <v>4</v>
      </c>
      <c r="K58" s="3050" t="s">
        <v>1871</v>
      </c>
      <c r="L58" s="2266" t="s">
        <v>1872</v>
      </c>
      <c r="M58" s="783"/>
      <c r="N58" s="784">
        <f>SUMIF(M53:M57,"&lt;9e307")</f>
        <v>9394311</v>
      </c>
      <c r="O58" s="2267"/>
      <c r="P58" s="1841" t="e">
        <f>N58/M50</f>
        <v>#VALUE!</v>
      </c>
    </row>
    <row r="59" spans="1:16" ht="24.75">
      <c r="A59" s="99" t="s">
        <v>1853</v>
      </c>
      <c r="B59" s="3016" t="s">
        <v>1873</v>
      </c>
      <c r="C59" s="3017"/>
      <c r="D59" s="101">
        <f>IF(H59="转让取得",C82,C98)</f>
        <v>8592775</v>
      </c>
      <c r="E59" s="10" t="s">
        <v>1868</v>
      </c>
      <c r="F59" s="14" t="s">
        <v>48</v>
      </c>
      <c r="G59" s="2262"/>
      <c r="H59" s="2265" t="s">
        <v>1874</v>
      </c>
      <c r="I59" s="1022"/>
      <c r="J59" s="3050"/>
      <c r="K59" s="3050"/>
      <c r="L59" s="2266" t="s">
        <v>1875</v>
      </c>
      <c r="M59" s="785"/>
      <c r="N59" s="2268" t="str">
        <f>IF(H19="元",NUMBERSTRING(INT(N58),2)&amp;"元整",NUMBERSTRING(INT(N58*10000),2)&amp;"元整")</f>
        <v>玖佰叁拾玖万肆仟叁佰壹拾壹元整</v>
      </c>
      <c r="O59" s="2269"/>
      <c r="P59" s="1845"/>
    </row>
    <row r="60" spans="1:16" ht="24.75" thickBot="1">
      <c r="A60" s="2942" t="s">
        <v>1876</v>
      </c>
      <c r="B60" s="2945"/>
      <c r="C60" s="2945"/>
      <c r="D60" s="104" t="str">
        <f>IF(H60="非个人房产","——",IF(H60="个人住宅",0,ROUND(D46*I60,0)))</f>
        <v>——</v>
      </c>
      <c r="E60" s="105" t="str">
        <f>IF(H60="非个人房产","——","销售额×税（费）率")</f>
        <v>——</v>
      </c>
      <c r="F60" s="106" t="str">
        <f>IF(H60="非个人房产","——",IF(H60="个人住宅","免征",I60))</f>
        <v>——</v>
      </c>
      <c r="G60" s="2270" t="s">
        <v>1869</v>
      </c>
      <c r="H60" s="2265" t="s">
        <v>1998</v>
      </c>
      <c r="I60" s="107">
        <v>0.01</v>
      </c>
      <c r="J60" s="3048">
        <f>J58+1</f>
        <v>5</v>
      </c>
      <c r="K60" s="3050" t="s">
        <v>1878</v>
      </c>
      <c r="L60" s="1883" t="s">
        <v>1872</v>
      </c>
      <c r="M60" s="786"/>
      <c r="N60" s="787" t="e">
        <f>M50-N58</f>
        <v>#VALUE!</v>
      </c>
      <c r="O60" s="2271"/>
      <c r="P60" s="1845"/>
    </row>
    <row r="61" spans="1:16" ht="12" customHeight="1">
      <c r="A61" s="2067"/>
      <c r="B61" s="2195"/>
      <c r="C61" s="2195"/>
      <c r="D61" s="2195"/>
      <c r="E61" s="1022"/>
      <c r="F61" s="1022"/>
      <c r="G61" s="1022"/>
      <c r="H61" s="2248"/>
      <c r="I61" s="2195"/>
      <c r="J61" s="3049"/>
      <c r="K61" s="3050"/>
      <c r="L61" s="2266" t="s">
        <v>1875</v>
      </c>
      <c r="M61" s="785"/>
      <c r="N61" s="2268" t="e">
        <f>IF(H19="元",NUMBERSTRING(INT(N60),2)&amp;"元整",NUMBERSTRING(INT(N60*10000),2)&amp;"元整")</f>
        <v>#VALUE!</v>
      </c>
      <c r="O61" s="2269"/>
      <c r="P61" s="1845"/>
    </row>
    <row r="62" spans="1:16" ht="13.5" thickBot="1">
      <c r="A62" s="3031" t="s">
        <v>1879</v>
      </c>
      <c r="B62" s="3031"/>
      <c r="C62" s="3031"/>
      <c r="D62" s="3031"/>
      <c r="E62" s="3031"/>
      <c r="F62" s="1022"/>
      <c r="G62" s="1022"/>
      <c r="H62" s="2248"/>
      <c r="I62" s="2195"/>
      <c r="J62" s="1883">
        <f>J60+1</f>
        <v>6</v>
      </c>
      <c r="K62" s="3050" t="s">
        <v>1880</v>
      </c>
      <c r="L62" s="3050"/>
      <c r="M62" s="788"/>
      <c r="N62" s="789" t="e">
        <f>IF(H19="元",ROUND(N60/项目基本情况!C12,0),ROUND(N60*10000/项目基本情况!C12,0))</f>
        <v>#VALUE!</v>
      </c>
      <c r="O62" s="2272"/>
      <c r="P62" s="1845"/>
    </row>
    <row r="63" spans="1:16" ht="12.75">
      <c r="A63" s="3038" t="s">
        <v>1881</v>
      </c>
      <c r="B63" s="3039"/>
      <c r="C63" s="1885"/>
      <c r="D63" s="1885" t="s">
        <v>1882</v>
      </c>
      <c r="E63" s="108" t="s">
        <v>1883</v>
      </c>
      <c r="F63" s="1022"/>
      <c r="G63" s="1022"/>
      <c r="H63" s="2248"/>
      <c r="I63" s="2195"/>
      <c r="J63" s="1845"/>
      <c r="K63" s="1845"/>
      <c r="L63" s="1845"/>
      <c r="M63" s="1845"/>
      <c r="N63" s="1845"/>
      <c r="O63" s="1845"/>
      <c r="P63" s="1845"/>
    </row>
    <row r="64" spans="1:16" ht="12.75">
      <c r="A64" s="109">
        <v>1</v>
      </c>
      <c r="B64" s="110" t="s">
        <v>1884</v>
      </c>
      <c r="C64" s="111">
        <f>ROUND((C65+C66)/(1+'数据-取费表'!F30),0)</f>
        <v>14435574</v>
      </c>
      <c r="D64" s="112"/>
      <c r="E64" s="113"/>
      <c r="F64" s="1022"/>
      <c r="G64" s="1022"/>
      <c r="H64" s="2248"/>
      <c r="I64" s="2195"/>
      <c r="J64" s="3070" t="s">
        <v>1885</v>
      </c>
      <c r="K64" s="2273"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15157353</v>
      </c>
      <c r="D65" s="117" t="s">
        <v>41</v>
      </c>
      <c r="E65" s="118"/>
      <c r="F65" s="1022"/>
      <c r="G65" s="1022"/>
      <c r="H65" s="2248"/>
      <c r="I65" s="2195"/>
      <c r="J65" s="3070"/>
      <c r="K65" s="2273"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8"/>
      <c r="I66" s="2195"/>
      <c r="J66" s="3070"/>
      <c r="K66" s="2273"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8"/>
      <c r="I67" s="2195"/>
      <c r="J67" s="3070"/>
      <c r="K67" s="2273" t="s">
        <v>1894</v>
      </c>
      <c r="L67" s="1844" t="e">
        <f>M50*0.5%</f>
        <v>#VALUE!</v>
      </c>
      <c r="M67" s="14" t="e">
        <f>IF(L67&gt;0.5,0.5,ROUND(L67,0))</f>
        <v>#VALUE!</v>
      </c>
      <c r="N67" s="1845" t="s">
        <v>1895</v>
      </c>
      <c r="O67" s="1845"/>
      <c r="P67" s="1845"/>
    </row>
    <row r="68" spans="1:35" ht="12.75">
      <c r="A68" s="120" t="s">
        <v>42</v>
      </c>
      <c r="B68" s="121" t="s">
        <v>1896</v>
      </c>
      <c r="C68" s="124">
        <f>C64-C67</f>
        <v>14435574</v>
      </c>
      <c r="D68" s="117" t="s">
        <v>41</v>
      </c>
      <c r="E68" s="118"/>
      <c r="F68" s="1022"/>
      <c r="G68" s="1022"/>
      <c r="H68" s="2248"/>
      <c r="I68" s="2195"/>
      <c r="J68" s="3070"/>
      <c r="K68" s="2273"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793957</v>
      </c>
      <c r="D69" s="128">
        <f>'数据-取费表'!E29</f>
        <v>5.5000000000000007E-2</v>
      </c>
      <c r="E69" s="129"/>
      <c r="F69" s="1022"/>
      <c r="G69" s="1022"/>
      <c r="H69" s="2248"/>
      <c r="I69" s="2195"/>
      <c r="J69" s="3070"/>
      <c r="K69" s="2273" t="s">
        <v>1899</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3070"/>
      <c r="K70" s="2273" t="s">
        <v>1900</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3042" t="s">
        <v>1901</v>
      </c>
      <c r="B71" s="3043"/>
      <c r="C71" s="3043"/>
      <c r="D71" s="3043"/>
      <c r="E71" s="3043"/>
      <c r="F71" s="3043"/>
      <c r="G71" s="3043"/>
      <c r="H71" s="304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3038" t="s">
        <v>1881</v>
      </c>
      <c r="B72" s="3039"/>
      <c r="C72" s="1885"/>
      <c r="D72" s="1885" t="s">
        <v>1882</v>
      </c>
      <c r="E72" s="130" t="s">
        <v>1883</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1902</v>
      </c>
      <c r="C73" s="124">
        <f>ROUND(D46/(1+'数据-取费表'!F30),0)</f>
        <v>14435574</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1904</v>
      </c>
      <c r="C74" s="124">
        <f>C75+C79</f>
        <v>72178</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1905</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1906</v>
      </c>
      <c r="C76" s="137"/>
      <c r="D76" s="117" t="s">
        <v>41</v>
      </c>
      <c r="E76" s="138" t="s">
        <v>1907</v>
      </c>
      <c r="F76" s="2284"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1910</v>
      </c>
      <c r="C77" s="117">
        <f>IF(F76="购房发票",ROUND(C76*H76*D77,0),0)</f>
        <v>0</v>
      </c>
      <c r="D77" s="141">
        <v>0.05</v>
      </c>
      <c r="E77" s="3019" t="s">
        <v>1911</v>
      </c>
      <c r="F77" s="3018"/>
      <c r="G77" s="3018"/>
      <c r="H77" s="303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5" t="s">
        <v>1914</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1915</v>
      </c>
      <c r="C79" s="144">
        <f>ROUND(D46*D79/(1+'数据-取费表'!F30),0)</f>
        <v>72178</v>
      </c>
      <c r="D79" s="145">
        <f>'数据-取费表'!E31</f>
        <v>5.000000000000001E-3</v>
      </c>
      <c r="E79" s="3010" t="s">
        <v>1916</v>
      </c>
      <c r="F79" s="3011"/>
      <c r="G79" s="3011"/>
      <c r="H79" s="301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1917</v>
      </c>
      <c r="C80" s="124">
        <f>C73-C74</f>
        <v>14363396</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1918</v>
      </c>
      <c r="C81" s="147">
        <f>IF(C80&lt;=0,0,C80/C74)</f>
        <v>198.99963977943418</v>
      </c>
      <c r="D81" s="117" t="s">
        <v>41</v>
      </c>
      <c r="E81" s="12" t="str">
        <f>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1919</v>
      </c>
      <c r="C82" s="149">
        <f>ROUND(IF(C80&lt;=0,0,IF(C81&gt;=200%,C80*60%-C74*35%,IF(C81&gt;=100%,C80*50%-C74*15%,IF(C81&gt;=50%,C80*40%-C74*5%,IF(C81&lt;50%,C80*30%,0))))),0)</f>
        <v>8592775</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3042" t="s">
        <v>1920</v>
      </c>
      <c r="B84" s="3043"/>
      <c r="C84" s="3043"/>
      <c r="D84" s="3043"/>
      <c r="E84" s="3043"/>
      <c r="F84" s="3043"/>
      <c r="G84" s="3043"/>
      <c r="H84" s="304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3038" t="s">
        <v>1881</v>
      </c>
      <c r="B85" s="3039"/>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1902</v>
      </c>
      <c r="C86" s="124">
        <f>ROUND(D46/(1+'数据-取费表'!F30),0)</f>
        <v>14435574</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1904</v>
      </c>
      <c r="C87" s="124">
        <f>IF(H89="仅含出让金",C88+C91+C92+C93+C94+C95,C88+C92+C93+C94+C95)</f>
        <v>72178</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1922</v>
      </c>
      <c r="C89" s="157"/>
      <c r="D89" s="145"/>
      <c r="E89" s="158" t="s">
        <v>1923</v>
      </c>
      <c r="F89" s="1882"/>
      <c r="G89" s="159" t="s">
        <v>1924</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1927</v>
      </c>
      <c r="C92" s="144">
        <f>IF(H92="——",成本法!C33,I92)</f>
        <v>0</v>
      </c>
      <c r="D92" s="145"/>
      <c r="E92" s="3010" t="s">
        <v>1928</v>
      </c>
      <c r="F92" s="3011"/>
      <c r="G92" s="3011"/>
      <c r="H92" s="2288" t="s">
        <v>1929</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1930</v>
      </c>
      <c r="C93" s="144">
        <f>ROUND((C88+C91+C92)*D93,0)</f>
        <v>0</v>
      </c>
      <c r="D93" s="145">
        <v>0.1</v>
      </c>
      <c r="E93" s="3010" t="s">
        <v>1931</v>
      </c>
      <c r="F93" s="3011"/>
      <c r="G93" s="3011"/>
      <c r="H93" s="301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1915</v>
      </c>
      <c r="C94" s="144">
        <f>ROUND(D46*D94/(1+'数据-取费表'!F30),0)</f>
        <v>72178</v>
      </c>
      <c r="D94" s="145">
        <f>'数据-取费表'!E31</f>
        <v>5.000000000000001E-3</v>
      </c>
      <c r="E94" s="3010" t="s">
        <v>1916</v>
      </c>
      <c r="F94" s="3011"/>
      <c r="G94" s="3011"/>
      <c r="H94" s="301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1932</v>
      </c>
      <c r="C95" s="144">
        <f>ROUND((C88+C91+C92)*D95,0)</f>
        <v>0</v>
      </c>
      <c r="D95" s="145">
        <v>0.2</v>
      </c>
      <c r="E95" s="3010" t="s">
        <v>1933</v>
      </c>
      <c r="F95" s="3011"/>
      <c r="G95" s="3011"/>
      <c r="H95" s="301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1917</v>
      </c>
      <c r="C96" s="124">
        <f>ROUND(C86-C87,0)</f>
        <v>14363396</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1918</v>
      </c>
      <c r="C97" s="147">
        <f>IF(C96&lt;=0,0,C96/C87)</f>
        <v>198.99963977943418</v>
      </c>
      <c r="D97" s="117" t="s">
        <v>41</v>
      </c>
      <c r="E97" s="12" t="str">
        <f>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1919</v>
      </c>
      <c r="C98" s="149">
        <f>ROUND(IF(C96&lt;=0,0,IF(C97&gt;=200%,C96*60%-C87*35%,IF(C97&gt;=100%,C96*50%-C87*15%,IF(C97&gt;=50%,C96*40%-C87*5%,IF(C97&lt;50%,C96*30%,0))))),0)</f>
        <v>8592775</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1934</v>
      </c>
      <c r="B99" s="2195"/>
      <c r="C99" s="2195"/>
      <c r="D99" s="2195"/>
      <c r="E99" s="1022"/>
      <c r="F99" s="1022"/>
      <c r="G99" s="1022"/>
      <c r="H99" s="2248"/>
      <c r="I99" s="2195"/>
    </row>
    <row r="100" spans="1:35" ht="15.75">
      <c r="A100" s="3065" t="s">
        <v>1935</v>
      </c>
      <c r="B100" s="3066"/>
      <c r="C100" s="3066"/>
      <c r="D100" s="3067"/>
      <c r="E100" s="2195"/>
      <c r="F100" s="3076" t="s">
        <v>1936</v>
      </c>
      <c r="G100" s="3077"/>
      <c r="H100" s="3077"/>
      <c r="I100" s="3078"/>
    </row>
    <row r="101" spans="1:35" ht="15.75">
      <c r="A101" s="3079" t="s">
        <v>1937</v>
      </c>
      <c r="B101" s="3080"/>
      <c r="C101" s="720">
        <f>C4</f>
        <v>0</v>
      </c>
      <c r="D101" s="721">
        <f>D4</f>
        <v>0</v>
      </c>
      <c r="E101" s="2195"/>
      <c r="F101" s="2975" t="s">
        <v>1938</v>
      </c>
      <c r="G101" s="2976"/>
      <c r="H101" s="3121" t="s">
        <v>1939</v>
      </c>
      <c r="I101" s="2974"/>
    </row>
    <row r="102" spans="1:35" ht="15.75">
      <c r="A102" s="3122" t="s">
        <v>1999</v>
      </c>
      <c r="B102" s="2290" t="str">
        <f>IF(H19="元","总价（元）","总价（万元）")</f>
        <v>总价（元）</v>
      </c>
      <c r="C102" s="720" t="e">
        <f ca="1">C19</f>
        <v>#REF!</v>
      </c>
      <c r="D102" s="721" t="e">
        <f ca="1">D19</f>
        <v>#REF!</v>
      </c>
      <c r="E102" s="2195"/>
      <c r="F102" s="3123"/>
      <c r="G102" s="3124"/>
      <c r="H102" s="2973">
        <f>典型户型修正!B25</f>
        <v>378.56</v>
      </c>
      <c r="I102" s="2974"/>
    </row>
    <row r="103" spans="1:35" ht="15.75">
      <c r="A103" s="3122"/>
      <c r="B103" s="2290" t="s">
        <v>1941</v>
      </c>
      <c r="C103" s="722" t="e">
        <f ca="1">C20</f>
        <v>#REF!</v>
      </c>
      <c r="D103" s="723" t="e">
        <f ca="1">D20</f>
        <v>#REF!</v>
      </c>
      <c r="E103" s="2195"/>
      <c r="F103" s="3002" t="s">
        <v>1942</v>
      </c>
      <c r="G103" s="3003"/>
      <c r="H103" s="2291" t="str">
        <f>C109</f>
        <v>总价（元）</v>
      </c>
      <c r="I103" s="1862">
        <f>H124</f>
        <v>15157353</v>
      </c>
    </row>
    <row r="104" spans="1:35" ht="15">
      <c r="A104" s="3122" t="s">
        <v>2000</v>
      </c>
      <c r="B104" s="2292" t="str">
        <f>B102</f>
        <v>总价（元）</v>
      </c>
      <c r="C104" s="1190" t="e">
        <f ca="1">ROUND(IF('数据-取费表'!B4="总价",G19,IF(H19="元",G20*'数据-取费表'!E5,G20*'数据-取费表'!E5/10000)),0)</f>
        <v>#REF!</v>
      </c>
      <c r="D104" s="725"/>
      <c r="E104" s="2195"/>
      <c r="F104" s="3002"/>
      <c r="G104" s="3003"/>
      <c r="H104" s="2291" t="s">
        <v>1941</v>
      </c>
      <c r="I104" s="1050">
        <f>I124</f>
        <v>40039</v>
      </c>
    </row>
    <row r="105" spans="1:35" ht="15.75">
      <c r="A105" s="3122"/>
      <c r="B105" s="2290" t="s">
        <v>1941</v>
      </c>
      <c r="C105" s="1191" t="e">
        <f ca="1">ROUND(IF('数据-取费表'!B4="楼面单价",G20,IF(H19="元",G19/'数据-取费表'!E5,G19*10000/'数据-取费表'!E5)),0)</f>
        <v>#REF!</v>
      </c>
      <c r="D105" s="725"/>
      <c r="E105" s="2195"/>
      <c r="F105" s="3074"/>
      <c r="G105" s="3075"/>
      <c r="H105" s="3059"/>
      <c r="I105" s="3060"/>
    </row>
    <row r="106" spans="1:35" ht="15.75">
      <c r="A106" s="3115" t="s">
        <v>2001</v>
      </c>
      <c r="B106" s="2330" t="str">
        <f>B102</f>
        <v>总价（元）</v>
      </c>
      <c r="C106" s="724">
        <f>H124</f>
        <v>15157353</v>
      </c>
      <c r="D106" s="1189"/>
      <c r="E106" s="2195"/>
      <c r="F106" s="3063" t="s">
        <v>1945</v>
      </c>
      <c r="G106" s="3064"/>
      <c r="H106" s="2294" t="str">
        <f>C111</f>
        <v>总额（元）</v>
      </c>
      <c r="I106" s="1862">
        <f>SUMIF(I107:I109,"&lt;9E307")</f>
        <v>0</v>
      </c>
    </row>
    <row r="107" spans="1:35" ht="15.75" thickBot="1">
      <c r="A107" s="3058"/>
      <c r="B107" s="2293" t="s">
        <v>1941</v>
      </c>
      <c r="C107" s="726">
        <f>I124</f>
        <v>40039</v>
      </c>
      <c r="D107" s="727"/>
      <c r="E107" s="2195"/>
      <c r="F107" s="2991" t="s">
        <v>1947</v>
      </c>
      <c r="G107" s="2992"/>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118" t="s">
        <v>1944</v>
      </c>
      <c r="B108" s="3119"/>
      <c r="C108" s="3119"/>
      <c r="D108" s="3120"/>
      <c r="E108" s="2195"/>
      <c r="F108" s="2991" t="s">
        <v>1948</v>
      </c>
      <c r="G108" s="2992"/>
      <c r="H108" s="2294" t="str">
        <f>C113</f>
        <v>总额（元）</v>
      </c>
      <c r="I108" s="1050">
        <f>C38</f>
        <v>0</v>
      </c>
      <c r="K108" s="2295"/>
    </row>
    <row r="109" spans="1:35" ht="15">
      <c r="A109" s="2989" t="s">
        <v>2002</v>
      </c>
      <c r="B109" s="2990"/>
      <c r="C109" s="2291" t="str">
        <f>B102</f>
        <v>总价（元）</v>
      </c>
      <c r="D109" s="1051">
        <f>H124</f>
        <v>15157353</v>
      </c>
      <c r="E109" s="2195"/>
      <c r="F109" s="2991" t="s">
        <v>1950</v>
      </c>
      <c r="G109" s="2992"/>
      <c r="H109" s="2294" t="str">
        <f>C114</f>
        <v>总额（元）</v>
      </c>
      <c r="I109" s="1050">
        <f>C39</f>
        <v>0</v>
      </c>
    </row>
    <row r="110" spans="1:35" ht="15.75">
      <c r="A110" s="2989"/>
      <c r="B110" s="2990"/>
      <c r="C110" s="2291" t="s">
        <v>1941</v>
      </c>
      <c r="D110" s="1052">
        <f>I124</f>
        <v>40039</v>
      </c>
      <c r="E110" s="2195"/>
      <c r="F110" s="3074"/>
      <c r="G110" s="3075"/>
      <c r="H110" s="3061"/>
      <c r="I110" s="3062"/>
    </row>
    <row r="111" spans="1:35" ht="28.5" customHeight="1">
      <c r="A111" s="2996" t="s">
        <v>1949</v>
      </c>
      <c r="B111" s="2997"/>
      <c r="C111" s="2294" t="str">
        <f>IF(H19="元","总额（元）","总额（万元）")</f>
        <v>总额（元）</v>
      </c>
      <c r="D111" s="1051">
        <f>IF(D37="正常操作",I107+I108+I109,I108+I109)</f>
        <v>0</v>
      </c>
      <c r="E111" s="2195"/>
      <c r="F111" s="2977" t="str">
        <f>IF(项目基本情况!F5="已注销","——","3.房地产抵押价值")</f>
        <v>3.房地产抵押价值</v>
      </c>
      <c r="G111" s="2978"/>
      <c r="H111" s="2331" t="str">
        <f>C115</f>
        <v>总价（元）</v>
      </c>
      <c r="I111" s="1862">
        <f>IF(F111="——","——",I103-I106)</f>
        <v>15157353</v>
      </c>
    </row>
    <row r="112" spans="1:35" ht="15">
      <c r="A112" s="2991" t="s">
        <v>1947</v>
      </c>
      <c r="B112" s="2992"/>
      <c r="C112" s="2294" t="str">
        <f>C111</f>
        <v>总额（元）</v>
      </c>
      <c r="D112" s="637">
        <f>IF(D37="同一抵押权人同一抵押物续贷",C37&amp;"（未扣减，详见特别提示）",C37)</f>
        <v>0</v>
      </c>
      <c r="E112" s="2195"/>
      <c r="F112" s="3093"/>
      <c r="G112" s="3094"/>
      <c r="H112" s="2291" t="s">
        <v>1941</v>
      </c>
      <c r="I112" s="2297">
        <f>D116</f>
        <v>40039</v>
      </c>
    </row>
    <row r="113" spans="1:26" ht="15.75">
      <c r="A113" s="2991" t="s">
        <v>1948</v>
      </c>
      <c r="B113" s="2992"/>
      <c r="C113" s="2294" t="str">
        <f>C111</f>
        <v>总额（元）</v>
      </c>
      <c r="D113" s="637">
        <f>C38</f>
        <v>0</v>
      </c>
      <c r="E113" s="2195"/>
      <c r="F113" s="2977" t="str">
        <f>IF(项目基本情况!F5="已注销及未注销","4.抵押担保权已注销时的房地产抵押价值",IF(项目基本情况!F5="已注销","3.抵押担保权已注销时的房地产抵押价值","——"))</f>
        <v>——</v>
      </c>
      <c r="G113" s="2978"/>
      <c r="H113" s="2331" t="str">
        <f>C117</f>
        <v>总价（元）</v>
      </c>
      <c r="I113" s="1862" t="str">
        <f>IF(F113="——","——",I103-I108-I109)</f>
        <v>——</v>
      </c>
    </row>
    <row r="114" spans="1:26" ht="15">
      <c r="A114" s="2991" t="s">
        <v>1950</v>
      </c>
      <c r="B114" s="2992"/>
      <c r="C114" s="2294" t="str">
        <f>C111</f>
        <v>总额（元）</v>
      </c>
      <c r="D114" s="637">
        <f>C39</f>
        <v>0</v>
      </c>
      <c r="E114" s="2195"/>
      <c r="F114" s="3093"/>
      <c r="G114" s="3094"/>
      <c r="H114" s="2291" t="s">
        <v>1941</v>
      </c>
      <c r="I114" s="1050" t="str">
        <f>D118</f>
        <v>——</v>
      </c>
    </row>
    <row r="115" spans="1:26" ht="15.75">
      <c r="A115" s="2989" t="str">
        <f>IF(项目基本情况!F5="已注销","——","3.房地产抵押价值")</f>
        <v>3.房地产抵押价值</v>
      </c>
      <c r="B115" s="2990"/>
      <c r="C115" s="2291" t="str">
        <f>B102</f>
        <v>总价（元）</v>
      </c>
      <c r="D115" s="1051">
        <f>IF(A115="——","——",D109-D111)</f>
        <v>15157353</v>
      </c>
      <c r="E115" s="2195"/>
      <c r="F115" s="2977" t="str">
        <f>IF(项目基本情况!G5="抵押净值",IF(OR(项目基本情况!F5="已注销",项目基本情况!F5="房地产抵押价值"),"4.抵押净值","5.抵押净值"),"——")</f>
        <v>——</v>
      </c>
      <c r="G115" s="2978"/>
      <c r="H115" s="2291" t="str">
        <f>C119</f>
        <v>总价（元）</v>
      </c>
      <c r="I115" s="1862" t="str">
        <f>IF(F115="——","——",N60)</f>
        <v>——</v>
      </c>
    </row>
    <row r="116" spans="1:26" ht="15.75" thickBot="1">
      <c r="A116" s="2989"/>
      <c r="B116" s="2990"/>
      <c r="C116" s="2291" t="s">
        <v>2003</v>
      </c>
      <c r="D116" s="1052">
        <f>ROUND(IF(D115=D109,D110,IF(H19="元",D115/B124,D115*10000/B124)),0)</f>
        <v>40039</v>
      </c>
      <c r="E116" s="2195"/>
      <c r="F116" s="2979"/>
      <c r="G116" s="2980"/>
      <c r="H116" s="2299" t="s">
        <v>2003</v>
      </c>
      <c r="I116" s="1864" t="str">
        <f>D120</f>
        <v>——</v>
      </c>
    </row>
    <row r="117" spans="1:26" ht="15.75">
      <c r="A117" s="2989" t="str">
        <f>IF(项目基本情况!F5="已注销及未注销","4.抵押担保权已注销时的房地产抵押价值",IF(项目基本情况!F5="已注销","3.抵押担保权已注销时的房地产抵押价值","——"))</f>
        <v>——</v>
      </c>
      <c r="B117" s="2990"/>
      <c r="C117" s="2291" t="str">
        <f>B102</f>
        <v>总价（元）</v>
      </c>
      <c r="D117" s="1051" t="str">
        <f>IF(A117="——","——",D109-D113-D114)</f>
        <v>——</v>
      </c>
      <c r="E117" s="2195"/>
      <c r="F117" s="3089"/>
      <c r="G117" s="3089"/>
      <c r="H117" s="3045"/>
      <c r="I117" s="3045"/>
      <c r="N117" s="55"/>
      <c r="O117" s="55"/>
    </row>
    <row r="118" spans="1:26" s="1845" customFormat="1" ht="15">
      <c r="A118" s="2989"/>
      <c r="B118" s="2990"/>
      <c r="C118" s="2291" t="s">
        <v>2003</v>
      </c>
      <c r="D118" s="1052" t="str">
        <f>IF(A117="——","——",IF(H19="元",ROUND(D117/B124,0),ROUND(D117*10000/B124,0)))</f>
        <v>——</v>
      </c>
      <c r="E118" s="2195"/>
      <c r="F118" s="3117" t="str">
        <f>IF(B32="总价","（以上估价结果中楼面单价为总价除以建筑面积得出）","（以上估价结果中总价为楼面单价乘以建筑面积得出）")</f>
        <v>（以上估价结果中总价为楼面单价乘以建筑面积得出）</v>
      </c>
      <c r="G118" s="3117"/>
      <c r="H118" s="3117"/>
      <c r="I118" s="3117"/>
      <c r="J118" s="798"/>
      <c r="K118" s="798"/>
      <c r="L118" s="798"/>
      <c r="M118" s="798"/>
      <c r="N118" s="55"/>
      <c r="O118" s="55"/>
      <c r="P118" s="798"/>
      <c r="Q118" s="798"/>
      <c r="R118" s="798"/>
      <c r="S118" s="798"/>
      <c r="T118" s="798"/>
      <c r="U118" s="798"/>
      <c r="V118" s="798"/>
      <c r="W118" s="798"/>
      <c r="X118" s="798"/>
      <c r="Y118" s="798"/>
      <c r="Z118" s="798"/>
    </row>
    <row r="119" spans="1:26" s="1845" customFormat="1" ht="15">
      <c r="A119" s="2989" t="str">
        <f>IF(项目基本情况!G5="抵押净值",IF(OR(项目基本情况!F5="已注销",项目基本情况!F5="房地产抵押价值"),"4.抵押净值","5.抵押净值"),"——")</f>
        <v>——</v>
      </c>
      <c r="B119" s="2990"/>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94"/>
      <c r="B120" s="2995"/>
      <c r="C120" s="2299" t="s">
        <v>2003</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3046" t="s">
        <v>2004</v>
      </c>
      <c r="B121" s="3047"/>
      <c r="C121" s="3047"/>
      <c r="D121" s="3047"/>
      <c r="E121" s="3047"/>
      <c r="F121" s="3047"/>
      <c r="G121" s="3047"/>
      <c r="H121" s="3047"/>
      <c r="I121" s="30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70" t="s">
        <v>1952</v>
      </c>
      <c r="B122" s="3000" t="s">
        <v>2005</v>
      </c>
      <c r="C122" s="3000" t="s">
        <v>2006</v>
      </c>
      <c r="D122" s="3072" t="s">
        <v>1955</v>
      </c>
      <c r="E122" s="3073"/>
      <c r="F122" s="2971" t="s">
        <v>2007</v>
      </c>
      <c r="G122" s="2971"/>
      <c r="H122" s="2971" t="s">
        <v>1956</v>
      </c>
      <c r="I122" s="307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70"/>
      <c r="B123" s="3001"/>
      <c r="C123" s="3001"/>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378.56</v>
      </c>
      <c r="C124" s="400"/>
      <c r="D124" s="1887">
        <f>C35</f>
        <v>0</v>
      </c>
      <c r="E124" s="1887">
        <f>ROUND(IF(H19="元",D124/B124,D124*10000/B124),0)</f>
        <v>0</v>
      </c>
      <c r="F124" s="1887">
        <f>C36</f>
        <v>0</v>
      </c>
      <c r="G124" s="1887">
        <f>ROUND(IF(H19="元",F124/B124,F124*10000/B124),0)</f>
        <v>0</v>
      </c>
      <c r="H124" s="1887">
        <f>C33</f>
        <v>15157353</v>
      </c>
      <c r="I124" s="637">
        <f>C34</f>
        <v>40039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70" t="s">
        <v>1960</v>
      </c>
      <c r="B125" s="2971"/>
      <c r="C125" s="2971"/>
      <c r="D125" s="3004" t="str">
        <f>IF(H19="元",NUMBERSTRING(INT(D124),2)&amp;"元整",NUMBERSTRING(INT(D124*10000),2)&amp;"元整")</f>
        <v>零元整</v>
      </c>
      <c r="E125" s="3051"/>
      <c r="F125" s="3004" t="str">
        <f>IF(H19="元",NUMBERSTRING(INT(F124),2)&amp;"元整",NUMBERSTRING(INT(F124*10000),2)&amp;"元整")</f>
        <v>零元整</v>
      </c>
      <c r="G125" s="3051"/>
      <c r="H125" s="3004" t="str">
        <f>IF(H19="元",NUMBERSTRING(INT(H124),2)&amp;"元整",NUMBERSTRING(INT(H124*10000),2)&amp;"元整")</f>
        <v>壹仟伍佰壹拾伍万柒仟叁佰伍拾叁元整</v>
      </c>
      <c r="I125" s="3005"/>
      <c r="J125" s="798"/>
      <c r="K125" s="798"/>
      <c r="L125" s="798"/>
      <c r="M125" s="798"/>
      <c r="N125" s="798"/>
      <c r="O125" s="798"/>
      <c r="P125" s="798"/>
      <c r="Q125" s="798"/>
      <c r="R125" s="798"/>
      <c r="S125" s="798"/>
      <c r="T125" s="798"/>
      <c r="U125" s="798"/>
      <c r="V125" s="798"/>
      <c r="W125" s="798"/>
      <c r="X125" s="798"/>
      <c r="Y125" s="798"/>
      <c r="Z125" s="798"/>
    </row>
    <row r="126" spans="1:26" s="1845" customFormat="1" ht="15">
      <c r="A126" s="3052" t="str">
        <f>IF(项目基本情况!D5="房地产市场价值","——",MID(A111,3,LEN(A111)-2))</f>
        <v>估价师所知悉的法定优先受偿款</v>
      </c>
      <c r="B126" s="2982"/>
      <c r="C126" s="3053"/>
      <c r="D126" s="2981">
        <f>I106</f>
        <v>0</v>
      </c>
      <c r="E126" s="2982"/>
      <c r="F126" s="2982"/>
      <c r="G126" s="2982"/>
      <c r="H126" s="2982"/>
      <c r="I126" s="298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3054" t="s">
        <v>1960</v>
      </c>
      <c r="B127" s="3055"/>
      <c r="C127" s="3056"/>
      <c r="D127" s="2984">
        <f>H110</f>
        <v>0</v>
      </c>
      <c r="E127" s="2985"/>
      <c r="F127" s="2985"/>
      <c r="G127" s="2985"/>
      <c r="H127" s="2985"/>
      <c r="I127" s="298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87" t="str">
        <f>IF(项目基本情况!D5="房地产市场价值","——",MID(A115,3,LEN(A115)-2))</f>
        <v>房地产抵押价值</v>
      </c>
      <c r="B128" s="2988"/>
      <c r="C128" s="2988"/>
      <c r="D128" s="2981">
        <f>I111</f>
        <v>15157353</v>
      </c>
      <c r="E128" s="2982"/>
      <c r="F128" s="2982"/>
      <c r="G128" s="2982"/>
      <c r="H128" s="2982"/>
      <c r="I128" s="298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70" t="s">
        <v>1960</v>
      </c>
      <c r="B129" s="2971"/>
      <c r="C129" s="2971"/>
      <c r="D129" s="2984">
        <f>I112</f>
        <v>40039</v>
      </c>
      <c r="E129" s="2985"/>
      <c r="F129" s="2985"/>
      <c r="G129" s="2985"/>
      <c r="H129" s="2985"/>
      <c r="I129" s="298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87" t="str">
        <f>IF(项目基本情况!D5="房地产市场价值","——",MID(A117,3,LEN(A117)-2))</f>
        <v/>
      </c>
      <c r="B130" s="2988"/>
      <c r="C130" s="2988"/>
      <c r="D130" s="3086" t="str">
        <f>I113</f>
        <v>——</v>
      </c>
      <c r="E130" s="3087"/>
      <c r="F130" s="3087"/>
      <c r="G130" s="3087"/>
      <c r="H130" s="3087"/>
      <c r="I130" s="308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70" t="s">
        <v>1960</v>
      </c>
      <c r="B131" s="2971"/>
      <c r="C131" s="2972"/>
      <c r="D131" s="3044" t="str">
        <f>I114</f>
        <v>——</v>
      </c>
      <c r="E131" s="3044"/>
      <c r="F131" s="3044"/>
      <c r="G131" s="3044"/>
      <c r="H131" s="3044"/>
      <c r="I131" s="304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87" t="str">
        <f>IF(项目基本情况!D5="房地产市场价值","——",MID(F115,3,LEN(F115)-2))</f>
        <v/>
      </c>
      <c r="B132" s="2988"/>
      <c r="C132" s="2981"/>
      <c r="D132" s="2993" t="str">
        <f>I115</f>
        <v>——</v>
      </c>
      <c r="E132" s="2993"/>
      <c r="F132" s="2993"/>
      <c r="G132" s="2993"/>
      <c r="H132" s="2993"/>
      <c r="I132" s="299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98" t="s">
        <v>1960</v>
      </c>
      <c r="B133" s="2999"/>
      <c r="C133" s="2999"/>
      <c r="D133" s="3006">
        <f>H117</f>
        <v>0</v>
      </c>
      <c r="E133" s="3007"/>
      <c r="F133" s="3007"/>
      <c r="G133" s="3007"/>
      <c r="H133" s="3007"/>
      <c r="I133" s="300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8" t="str">
        <f>IF(B32="总价","（以上估价结果中楼面单价为总价除以建筑面积得出）","（以上估价结果中总价为楼面单价乘以建筑面积得出）")</f>
        <v>（以上估价结果中总价为楼面单价乘以建筑面积得出）</v>
      </c>
      <c r="B135" s="2968"/>
      <c r="C135" s="2968"/>
      <c r="D135" s="2968"/>
      <c r="E135" s="2968"/>
      <c r="F135" s="2968"/>
      <c r="G135" s="2968"/>
      <c r="H135" s="2968"/>
      <c r="I135" s="296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1961</v>
      </c>
      <c r="B136" s="2301"/>
      <c r="C136" s="2302" t="s">
        <v>1962</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1963</v>
      </c>
      <c r="G142" s="2314"/>
      <c r="H142" s="2314"/>
      <c r="I142" s="2315"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4" zoomScale="85" zoomScaleNormal="85" workbookViewId="0">
      <selection activeCell="F50" sqref="F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t="e">
        <f>IF(D2="——",IF(C2="元",ROUND(C49*D3,0),ROUND(C49*D3/10000,0)),IF(C2="元",ROUND(C49*D3,0),ROUND(C49*D3/10000,0))-E2)</f>
        <v>#DIV/0!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t="e">
        <f>ROUND(IF(D2="——",C49,IF(C2="万元",B2*10000/D3,B2/D3)),0)</f>
        <v>#DIV/0!</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60" t="s">
        <v>2343</v>
      </c>
      <c r="D4" s="3161"/>
      <c r="E4" s="3162" t="s">
        <v>2344</v>
      </c>
      <c r="F4" s="3163"/>
      <c r="G4" s="3160" t="s">
        <v>2345</v>
      </c>
      <c r="H4" s="3161"/>
      <c r="I4" s="3160" t="s">
        <v>2346</v>
      </c>
      <c r="J4" s="3161"/>
      <c r="K4" s="2396"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57" t="s">
        <v>2345</v>
      </c>
      <c r="AC4" s="3157" t="s">
        <v>2346</v>
      </c>
    </row>
    <row r="5" spans="1:29" ht="15">
      <c r="A5" s="383"/>
      <c r="B5" s="384"/>
      <c r="C5" s="3145" t="s">
        <v>2840</v>
      </c>
      <c r="D5" s="3146"/>
      <c r="E5" s="3171" t="s">
        <v>2861</v>
      </c>
      <c r="F5" s="3172"/>
      <c r="G5" s="3145" t="s">
        <v>2862</v>
      </c>
      <c r="H5" s="3146"/>
      <c r="I5" s="3171" t="s">
        <v>2861</v>
      </c>
      <c r="J5" s="3172"/>
      <c r="K5" s="2397"/>
      <c r="L5" s="1243"/>
      <c r="M5" s="1244"/>
      <c r="N5" s="1244"/>
      <c r="O5" s="1244"/>
      <c r="P5" s="3166"/>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2397" t="s">
        <v>2354</v>
      </c>
      <c r="L6" s="1243"/>
      <c r="M6" s="1244"/>
      <c r="N6" s="1244"/>
      <c r="O6" s="1244"/>
      <c r="P6" s="3168"/>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391">
        <v>42084</v>
      </c>
      <c r="F7" s="392">
        <f>SUMIF(58:58,YEAR(E7)&amp;"-"&amp;MONTH(E7),59:59)</f>
        <v>0</v>
      </c>
      <c r="G7" s="391">
        <v>42107</v>
      </c>
      <c r="H7" s="390">
        <f>SUMIF(58:58,YEAR(G7)&amp;"-"&amp;MONTH(G7),59:59)</f>
        <v>0</v>
      </c>
      <c r="I7" s="391">
        <v>42102</v>
      </c>
      <c r="J7" s="390">
        <f>SUMIF(58:58,YEAR(I7)&amp;"-"&amp;MONTH(I7),59:59)</f>
        <v>0</v>
      </c>
      <c r="K7" s="2398"/>
      <c r="L7" s="1245"/>
      <c r="M7" s="1246"/>
      <c r="N7" s="1246"/>
      <c r="O7" s="1246"/>
      <c r="P7" s="3147" t="s">
        <v>2356</v>
      </c>
      <c r="Q7" s="3155"/>
      <c r="R7" s="749" t="s">
        <v>34</v>
      </c>
      <c r="S7" s="750">
        <f t="shared" ref="S7:S15" si="0">F7</f>
        <v>0</v>
      </c>
      <c r="T7" s="749" t="s">
        <v>34</v>
      </c>
      <c r="U7" s="750">
        <f t="shared" ref="U7:U15" si="1">H7</f>
        <v>0</v>
      </c>
      <c r="V7" s="749" t="s">
        <v>34</v>
      </c>
      <c r="W7" s="750">
        <f t="shared" ref="W7:W15" si="2">J7</f>
        <v>0</v>
      </c>
      <c r="X7" s="751"/>
      <c r="Y7" s="3147" t="s">
        <v>2356</v>
      </c>
      <c r="Z7" s="3148"/>
      <c r="AA7" s="752" t="e">
        <f>D7/F7</f>
        <v>#DIV/0!</v>
      </c>
      <c r="AB7" s="752" t="e">
        <f>D7/H7</f>
        <v>#DIV/0!</v>
      </c>
      <c r="AC7" s="752" t="e">
        <f>D7/J7</f>
        <v>#DIV/0!</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47" t="s">
        <v>2359</v>
      </c>
      <c r="Q8" s="3148"/>
      <c r="R8" s="749" t="s">
        <v>34</v>
      </c>
      <c r="S8" s="750">
        <f t="shared" si="0"/>
        <v>100</v>
      </c>
      <c r="T8" s="749" t="s">
        <v>34</v>
      </c>
      <c r="U8" s="750">
        <f t="shared" si="1"/>
        <v>100</v>
      </c>
      <c r="V8" s="749" t="s">
        <v>34</v>
      </c>
      <c r="W8" s="750">
        <f t="shared" si="2"/>
        <v>100</v>
      </c>
      <c r="X8" s="751"/>
      <c r="Y8" s="3147" t="s">
        <v>2359</v>
      </c>
      <c r="Z8" s="3148"/>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56"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75" thickBot="1">
      <c r="A10" s="401"/>
      <c r="B10" s="402" t="s">
        <v>2364</v>
      </c>
      <c r="C10" s="403" t="s">
        <v>2860</v>
      </c>
      <c r="D10" s="52">
        <v>100</v>
      </c>
      <c r="E10" s="404" t="s">
        <v>2860</v>
      </c>
      <c r="F10" s="405">
        <f>SUMIF(65:65,E10,66:66)-SUMIF(65:65,C10,66:66)+100</f>
        <v>100</v>
      </c>
      <c r="G10" s="403" t="s">
        <v>2865</v>
      </c>
      <c r="H10" s="52">
        <f>SUMIF(65:65,G10,66:66)-SUMIF(65:65,C10,66:66)+100</f>
        <v>101</v>
      </c>
      <c r="I10" s="403" t="s">
        <v>2860</v>
      </c>
      <c r="J10" s="52">
        <f>SUMIF(65:65,I10,66:66)-SUMIF(65:65,C10,66:66)+100</f>
        <v>100</v>
      </c>
      <c r="K10" s="406">
        <v>1</v>
      </c>
      <c r="L10" s="1248"/>
      <c r="M10" s="1249"/>
      <c r="N10" s="1249"/>
      <c r="O10" s="1249"/>
      <c r="P10" s="3156"/>
      <c r="Q10" s="1887" t="str">
        <f t="shared" si="6"/>
        <v>土地使用年限（年）</v>
      </c>
      <c r="R10" s="749" t="s">
        <v>25</v>
      </c>
      <c r="S10" s="750">
        <f t="shared" si="0"/>
        <v>100</v>
      </c>
      <c r="T10" s="749" t="s">
        <v>25</v>
      </c>
      <c r="U10" s="750">
        <f t="shared" si="1"/>
        <v>101</v>
      </c>
      <c r="V10" s="749" t="s">
        <v>25</v>
      </c>
      <c r="W10" s="750">
        <f t="shared" si="2"/>
        <v>100</v>
      </c>
      <c r="X10" s="751"/>
      <c r="Y10" s="2971"/>
      <c r="Z10" s="23" t="str">
        <f t="shared" si="7"/>
        <v>土地使用年限（年）</v>
      </c>
      <c r="AA10" s="752">
        <f t="shared" si="3"/>
        <v>1</v>
      </c>
      <c r="AB10" s="752">
        <f t="shared" si="4"/>
        <v>0.99009900990099009</v>
      </c>
      <c r="AC10" s="752">
        <f t="shared" si="5"/>
        <v>1</v>
      </c>
    </row>
    <row r="11" spans="1:29" ht="15" hidden="1">
      <c r="A11" s="408"/>
      <c r="B11" s="402"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56"/>
      <c r="Q11" s="1887" t="str">
        <f t="shared" si="6"/>
        <v>容积率</v>
      </c>
      <c r="R11" s="749" t="s">
        <v>28</v>
      </c>
      <c r="S11" s="750">
        <f t="shared" si="0"/>
        <v>100</v>
      </c>
      <c r="T11" s="749" t="s">
        <v>28</v>
      </c>
      <c r="U11" s="750">
        <f t="shared" si="1"/>
        <v>100</v>
      </c>
      <c r="V11" s="749" t="s">
        <v>28</v>
      </c>
      <c r="W11" s="750">
        <f t="shared" si="2"/>
        <v>100</v>
      </c>
      <c r="X11" s="751"/>
      <c r="Y11" s="2971"/>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56"/>
      <c r="Q12" s="1887">
        <f t="shared" si="6"/>
        <v>111</v>
      </c>
      <c r="R12" s="749" t="s">
        <v>28</v>
      </c>
      <c r="S12" s="750">
        <f t="shared" si="0"/>
        <v>100</v>
      </c>
      <c r="T12" s="749" t="s">
        <v>28</v>
      </c>
      <c r="U12" s="750">
        <f t="shared" si="1"/>
        <v>100</v>
      </c>
      <c r="V12" s="749" t="s">
        <v>28</v>
      </c>
      <c r="W12" s="750">
        <f t="shared" si="2"/>
        <v>100</v>
      </c>
      <c r="X12" s="751"/>
      <c r="Y12" s="2971"/>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56"/>
      <c r="Q13" s="1887">
        <f t="shared" si="6"/>
        <v>111</v>
      </c>
      <c r="R13" s="749" t="s">
        <v>28</v>
      </c>
      <c r="S13" s="750">
        <f t="shared" si="0"/>
        <v>100</v>
      </c>
      <c r="T13" s="749" t="s">
        <v>28</v>
      </c>
      <c r="U13" s="750">
        <f t="shared" si="1"/>
        <v>100</v>
      </c>
      <c r="V13" s="749" t="s">
        <v>28</v>
      </c>
      <c r="W13" s="750">
        <f t="shared" si="2"/>
        <v>100</v>
      </c>
      <c r="X13" s="751"/>
      <c r="Y13" s="297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56"/>
      <c r="Q14" s="1887">
        <f t="shared" si="6"/>
        <v>111</v>
      </c>
      <c r="R14" s="749" t="s">
        <v>28</v>
      </c>
      <c r="S14" s="750">
        <f t="shared" si="0"/>
        <v>100</v>
      </c>
      <c r="T14" s="749" t="s">
        <v>28</v>
      </c>
      <c r="U14" s="750">
        <f t="shared" si="1"/>
        <v>100</v>
      </c>
      <c r="V14" s="749" t="s">
        <v>28</v>
      </c>
      <c r="W14" s="750">
        <f t="shared" si="2"/>
        <v>100</v>
      </c>
      <c r="X14" s="751"/>
      <c r="Y14" s="2971"/>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34" t="s">
        <v>2367</v>
      </c>
      <c r="Q15" s="1899" t="str">
        <f t="shared" si="6"/>
        <v>居住社区成熟度</v>
      </c>
      <c r="R15" s="753" t="s">
        <v>28</v>
      </c>
      <c r="S15" s="754">
        <f t="shared" si="0"/>
        <v>100</v>
      </c>
      <c r="T15" s="753" t="s">
        <v>28</v>
      </c>
      <c r="U15" s="754">
        <f t="shared" si="1"/>
        <v>100</v>
      </c>
      <c r="V15" s="753" t="s">
        <v>28</v>
      </c>
      <c r="W15" s="754">
        <f t="shared" si="2"/>
        <v>100</v>
      </c>
      <c r="X15" s="1900"/>
      <c r="Y15" s="3136"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35"/>
      <c r="Q16" s="1899"/>
      <c r="R16" s="753"/>
      <c r="S16" s="754"/>
      <c r="T16" s="753"/>
      <c r="U16" s="754"/>
      <c r="V16" s="753"/>
      <c r="W16" s="754"/>
      <c r="X16" s="1900"/>
      <c r="Y16" s="3137"/>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99</v>
      </c>
      <c r="G17" s="434"/>
      <c r="H17" s="435">
        <f>SUMIF(78:78,G18,79:79)-SUMIF(78:78,C18,79:79)+100</f>
        <v>100</v>
      </c>
      <c r="I17" s="432"/>
      <c r="J17" s="435">
        <f>SUMIF(78:78,I18,79:79)-SUMIF(78:78,C18,79:79)+100</f>
        <v>99</v>
      </c>
      <c r="K17" s="424">
        <v>1</v>
      </c>
      <c r="L17" s="1253"/>
      <c r="M17" s="1244"/>
      <c r="N17" s="1244"/>
      <c r="O17" s="1244"/>
      <c r="P17" s="3135"/>
      <c r="Q17" s="1899" t="str">
        <f>B17</f>
        <v>交通便捷度</v>
      </c>
      <c r="R17" s="753" t="s">
        <v>28</v>
      </c>
      <c r="S17" s="754">
        <f>F17</f>
        <v>99</v>
      </c>
      <c r="T17" s="753" t="s">
        <v>28</v>
      </c>
      <c r="U17" s="754">
        <f>H17</f>
        <v>100</v>
      </c>
      <c r="V17" s="753" t="s">
        <v>28</v>
      </c>
      <c r="W17" s="754">
        <f>J17</f>
        <v>99</v>
      </c>
      <c r="X17" s="1900"/>
      <c r="Y17" s="3137"/>
      <c r="Z17" s="1902" t="str">
        <f>Q17</f>
        <v>交通便捷度</v>
      </c>
      <c r="AA17" s="1903">
        <f t="shared" si="3"/>
        <v>1.0101010101010102</v>
      </c>
      <c r="AB17" s="1903">
        <f t="shared" si="4"/>
        <v>1</v>
      </c>
      <c r="AC17" s="1903">
        <f t="shared" si="5"/>
        <v>1.0101010101010102</v>
      </c>
    </row>
    <row r="18" spans="1:29" ht="15">
      <c r="A18" s="408"/>
      <c r="B18" s="436"/>
      <c r="C18" s="437" t="s">
        <v>30</v>
      </c>
      <c r="D18" s="430"/>
      <c r="E18" s="1468" t="s">
        <v>31</v>
      </c>
      <c r="F18" s="433"/>
      <c r="G18" s="2407" t="s">
        <v>30</v>
      </c>
      <c r="H18" s="427"/>
      <c r="I18" s="1468" t="s">
        <v>31</v>
      </c>
      <c r="J18" s="427"/>
      <c r="K18" s="2405"/>
      <c r="L18" s="1253"/>
      <c r="M18" s="1244"/>
      <c r="N18" s="1244"/>
      <c r="O18" s="1244"/>
      <c r="P18" s="3135"/>
      <c r="Q18" s="1899"/>
      <c r="R18" s="753"/>
      <c r="S18" s="754"/>
      <c r="T18" s="753"/>
      <c r="U18" s="754"/>
      <c r="V18" s="753"/>
      <c r="W18" s="754"/>
      <c r="X18" s="1900"/>
      <c r="Y18" s="3137"/>
      <c r="Z18" s="1902"/>
      <c r="AA18" s="1903">
        <v>1</v>
      </c>
      <c r="AB18" s="1903">
        <v>1</v>
      </c>
      <c r="AC18" s="1903">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98</v>
      </c>
      <c r="I19" s="438"/>
      <c r="J19" s="430">
        <f>SUMIF(80:80,I20,81:81)-SUMIF(80:80,C20,81:81)+100</f>
        <v>100</v>
      </c>
      <c r="K19" s="424">
        <v>2</v>
      </c>
      <c r="L19" s="1253"/>
      <c r="M19" s="1244"/>
      <c r="N19" s="1244"/>
      <c r="O19" s="1244"/>
      <c r="P19" s="3135"/>
      <c r="Q19" s="1899" t="str">
        <f>B19</f>
        <v>公共配套设施</v>
      </c>
      <c r="R19" s="753" t="s">
        <v>28</v>
      </c>
      <c r="S19" s="754">
        <f>F19</f>
        <v>100</v>
      </c>
      <c r="T19" s="753" t="s">
        <v>28</v>
      </c>
      <c r="U19" s="754">
        <f>H19</f>
        <v>98</v>
      </c>
      <c r="V19" s="753" t="s">
        <v>28</v>
      </c>
      <c r="W19" s="754">
        <f>J19</f>
        <v>100</v>
      </c>
      <c r="X19" s="1900"/>
      <c r="Y19" s="3137"/>
      <c r="Z19" s="1902" t="str">
        <f>Q19</f>
        <v>公共配套设施</v>
      </c>
      <c r="AA19" s="1903">
        <f t="shared" si="3"/>
        <v>1</v>
      </c>
      <c r="AB19" s="1903">
        <f t="shared" si="4"/>
        <v>1.0204081632653061</v>
      </c>
      <c r="AC19" s="1903">
        <f t="shared" si="5"/>
        <v>1</v>
      </c>
    </row>
    <row r="20" spans="1:29" ht="15">
      <c r="A20" s="408"/>
      <c r="B20" s="436"/>
      <c r="C20" s="426" t="s">
        <v>29</v>
      </c>
      <c r="D20" s="427"/>
      <c r="E20" s="428" t="s">
        <v>29</v>
      </c>
      <c r="F20" s="429"/>
      <c r="G20" s="2404" t="s">
        <v>30</v>
      </c>
      <c r="H20" s="427"/>
      <c r="I20" s="428" t="s">
        <v>29</v>
      </c>
      <c r="J20" s="427"/>
      <c r="K20" s="2405"/>
      <c r="L20" s="1253"/>
      <c r="M20" s="1244"/>
      <c r="N20" s="1244"/>
      <c r="O20" s="1244"/>
      <c r="P20" s="3135"/>
      <c r="Q20" s="1899"/>
      <c r="R20" s="753"/>
      <c r="S20" s="754"/>
      <c r="T20" s="753"/>
      <c r="U20" s="754"/>
      <c r="V20" s="753"/>
      <c r="W20" s="754"/>
      <c r="X20" s="1900"/>
      <c r="Y20" s="3137"/>
      <c r="Z20" s="1902"/>
      <c r="AA20" s="1903">
        <v>1</v>
      </c>
      <c r="AB20" s="1903">
        <v>1</v>
      </c>
      <c r="AC20" s="1903">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35"/>
      <c r="Q21" s="1899" t="str">
        <f>B21</f>
        <v>基础设施水平</v>
      </c>
      <c r="R21" s="753" t="s">
        <v>28</v>
      </c>
      <c r="S21" s="754">
        <f>F21</f>
        <v>100</v>
      </c>
      <c r="T21" s="753" t="s">
        <v>28</v>
      </c>
      <c r="U21" s="754">
        <f>H21</f>
        <v>100</v>
      </c>
      <c r="V21" s="753" t="s">
        <v>28</v>
      </c>
      <c r="W21" s="754">
        <f>J21</f>
        <v>100</v>
      </c>
      <c r="X21" s="1900"/>
      <c r="Y21" s="3137"/>
      <c r="Z21" s="1902" t="str">
        <f>Q21</f>
        <v>基础设施水平</v>
      </c>
      <c r="AA21" s="1903">
        <f t="shared" ref="AA21" si="8">D21/F21</f>
        <v>1</v>
      </c>
      <c r="AB21" s="1903">
        <f t="shared" ref="AB21" si="9">D21/H21</f>
        <v>1</v>
      </c>
      <c r="AC21" s="1903">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35"/>
      <c r="Q22" s="1899"/>
      <c r="R22" s="753"/>
      <c r="S22" s="754"/>
      <c r="T22" s="753"/>
      <c r="U22" s="754"/>
      <c r="V22" s="753"/>
      <c r="W22" s="754"/>
      <c r="X22" s="1900"/>
      <c r="Y22" s="3137"/>
      <c r="Z22" s="1902"/>
      <c r="AA22" s="1903">
        <v>1</v>
      </c>
      <c r="AB22" s="1903">
        <v>1</v>
      </c>
      <c r="AC22" s="1903">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35"/>
      <c r="Q23" s="1899" t="str">
        <f>B23</f>
        <v>自然及人文环境</v>
      </c>
      <c r="R23" s="753" t="s">
        <v>28</v>
      </c>
      <c r="S23" s="754">
        <f>F23</f>
        <v>100</v>
      </c>
      <c r="T23" s="753" t="s">
        <v>28</v>
      </c>
      <c r="U23" s="754">
        <f>H23</f>
        <v>100</v>
      </c>
      <c r="V23" s="753" t="s">
        <v>28</v>
      </c>
      <c r="W23" s="754">
        <f>J23</f>
        <v>100</v>
      </c>
      <c r="X23" s="1900"/>
      <c r="Y23" s="313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35"/>
      <c r="Q24" s="1899"/>
      <c r="R24" s="753"/>
      <c r="S24" s="754"/>
      <c r="T24" s="753"/>
      <c r="U24" s="754"/>
      <c r="V24" s="753"/>
      <c r="W24" s="754"/>
      <c r="X24" s="1900"/>
      <c r="Y24" s="3137"/>
      <c r="Z24" s="1902"/>
      <c r="AA24" s="1903">
        <v>1</v>
      </c>
      <c r="AB24" s="1903">
        <v>1</v>
      </c>
      <c r="AC24" s="1903">
        <v>1</v>
      </c>
    </row>
    <row r="25" spans="1:29" ht="15" hidden="1">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35"/>
      <c r="Q25" s="1899" t="str">
        <f t="shared" ref="Q25:Q46" si="11">B25</f>
        <v>楼层-1</v>
      </c>
      <c r="R25" s="753" t="s">
        <v>28</v>
      </c>
      <c r="S25" s="754">
        <f>F25</f>
        <v>100</v>
      </c>
      <c r="T25" s="753" t="s">
        <v>28</v>
      </c>
      <c r="U25" s="754">
        <f>H25</f>
        <v>100</v>
      </c>
      <c r="V25" s="753" t="s">
        <v>28</v>
      </c>
      <c r="W25" s="754">
        <f>J25</f>
        <v>100</v>
      </c>
      <c r="X25" s="1900"/>
      <c r="Y25" s="3137"/>
      <c r="Z25" s="1902" t="str">
        <f>Q25</f>
        <v>楼层-1</v>
      </c>
      <c r="AA25" s="1903">
        <f t="shared" si="3"/>
        <v>1</v>
      </c>
      <c r="AB25" s="1903">
        <f t="shared" si="4"/>
        <v>1</v>
      </c>
      <c r="AC25" s="1903">
        <f t="shared" si="5"/>
        <v>1</v>
      </c>
    </row>
    <row r="26" spans="1:29" ht="15">
      <c r="A26" s="408"/>
      <c r="B26" s="402" t="s">
        <v>2369</v>
      </c>
      <c r="C26" s="2773" t="s">
        <v>2951</v>
      </c>
      <c r="D26" s="415">
        <v>100</v>
      </c>
      <c r="E26" s="2742" t="s">
        <v>2850</v>
      </c>
      <c r="F26" s="442">
        <f>SUMIF(88:88,E26,89:89)-SUMIF(88:88,C26,89:89)+100</f>
        <v>95.5</v>
      </c>
      <c r="G26" s="2743" t="s">
        <v>2851</v>
      </c>
      <c r="H26" s="415">
        <f>SUMIF(88:88,G26,89:89)-SUMIF(88:88,C26,89:89)+100</f>
        <v>98.5</v>
      </c>
      <c r="I26" s="2742" t="s">
        <v>2858</v>
      </c>
      <c r="J26" s="415">
        <f>SUMIF(88:88,I26,89:89)-SUMIF(88:88,C26,89:89)+100</f>
        <v>100</v>
      </c>
      <c r="K26" s="406">
        <v>1.5</v>
      </c>
      <c r="L26" s="1253"/>
      <c r="M26" s="1244"/>
      <c r="N26" s="1244"/>
      <c r="O26" s="1244"/>
      <c r="P26" s="3135"/>
      <c r="Q26" s="1899" t="str">
        <f t="shared" si="11"/>
        <v>朝向</v>
      </c>
      <c r="R26" s="753" t="s">
        <v>28</v>
      </c>
      <c r="S26" s="754">
        <f>F26</f>
        <v>95.5</v>
      </c>
      <c r="T26" s="753" t="s">
        <v>28</v>
      </c>
      <c r="U26" s="754">
        <f>H26</f>
        <v>98.5</v>
      </c>
      <c r="V26" s="753" t="s">
        <v>28</v>
      </c>
      <c r="W26" s="754">
        <f>J26</f>
        <v>100</v>
      </c>
      <c r="X26" s="1900"/>
      <c r="Y26" s="3137"/>
      <c r="Z26" s="1902" t="str">
        <f>Q26</f>
        <v>朝向</v>
      </c>
      <c r="AA26" s="1903">
        <f t="shared" si="3"/>
        <v>1.0471204188481675</v>
      </c>
      <c r="AB26" s="1903">
        <f t="shared" si="4"/>
        <v>1.015228426395939</v>
      </c>
      <c r="AC26" s="1903">
        <f t="shared" si="5"/>
        <v>1</v>
      </c>
    </row>
    <row r="27" spans="1:29" s="35" customFormat="1" ht="27">
      <c r="A27" s="411"/>
      <c r="B27" s="2399" t="s">
        <v>2370</v>
      </c>
      <c r="C27" s="2747" t="s">
        <v>2867</v>
      </c>
      <c r="D27" s="443">
        <v>100</v>
      </c>
      <c r="E27" s="2747" t="s">
        <v>2864</v>
      </c>
      <c r="F27" s="445">
        <f>SUMIF(90:90,E27,91:91)-SUMIF(90:90,C27,91:91)+100</f>
        <v>98</v>
      </c>
      <c r="G27" s="2747" t="s">
        <v>2866</v>
      </c>
      <c r="H27" s="443">
        <f>SUMIF(90:90,G27,91:91)-SUMIF(90:90,C27,91:91)+100</f>
        <v>100</v>
      </c>
      <c r="I27" s="2747" t="s">
        <v>2864</v>
      </c>
      <c r="J27" s="443">
        <f>SUMIF(90:90,I27,91:91)-SUMIF(90:90,C27,91:91)+100</f>
        <v>98</v>
      </c>
      <c r="K27" s="2400"/>
      <c r="L27" s="1245"/>
      <c r="M27" s="1246"/>
      <c r="N27" s="1246"/>
      <c r="O27" s="1246"/>
      <c r="P27" s="3135"/>
      <c r="Q27" s="1887" t="str">
        <f t="shared" si="11"/>
        <v>道路级别</v>
      </c>
      <c r="R27" s="749" t="s">
        <v>28</v>
      </c>
      <c r="S27" s="750">
        <f>F27</f>
        <v>98</v>
      </c>
      <c r="T27" s="749" t="s">
        <v>28</v>
      </c>
      <c r="U27" s="750">
        <f>H27</f>
        <v>100</v>
      </c>
      <c r="V27" s="749" t="s">
        <v>28</v>
      </c>
      <c r="W27" s="750">
        <f>J27</f>
        <v>98</v>
      </c>
      <c r="X27" s="751"/>
      <c r="Y27" s="3137"/>
      <c r="Z27" s="23" t="str">
        <f>Q27</f>
        <v>道路级别</v>
      </c>
      <c r="AA27" s="1903">
        <f>D27/F27</f>
        <v>1.0204081632653061</v>
      </c>
      <c r="AB27" s="1903">
        <f>D27/H27</f>
        <v>1</v>
      </c>
      <c r="AC27" s="1903">
        <f>D27/J27</f>
        <v>1.0204081632653061</v>
      </c>
    </row>
    <row r="28" spans="1:29" ht="15.75" thickBot="1">
      <c r="A28" s="408"/>
      <c r="B28" s="2740" t="s">
        <v>2844</v>
      </c>
      <c r="C28" s="414" t="s">
        <v>2868</v>
      </c>
      <c r="D28" s="415">
        <v>100</v>
      </c>
      <c r="E28" s="414" t="s">
        <v>2845</v>
      </c>
      <c r="F28" s="442">
        <f>SUMIF(92:92,E28,93:93)-SUMIF(92:92,C28,93:93)+100</f>
        <v>100</v>
      </c>
      <c r="G28" s="414" t="s">
        <v>2852</v>
      </c>
      <c r="H28" s="415">
        <f>SUMIF(92:92,G28,93:93)-SUMIF(92:92,C28,93:93)+100</f>
        <v>100</v>
      </c>
      <c r="I28" s="414" t="s">
        <v>2857</v>
      </c>
      <c r="J28" s="415">
        <f>SUMIF(92:92,I28,93:93)-SUMIF(92:92,C28,93:93)+100</f>
        <v>98</v>
      </c>
      <c r="K28" s="2400"/>
      <c r="L28" s="1253"/>
      <c r="M28" s="1244"/>
      <c r="N28" s="1244"/>
      <c r="O28" s="1244"/>
      <c r="P28" s="3135"/>
      <c r="Q28" s="1899" t="str">
        <f t="shared" si="11"/>
        <v>楼层</v>
      </c>
      <c r="R28" s="753" t="s">
        <v>28</v>
      </c>
      <c r="S28" s="754">
        <f t="shared" ref="S28:S46" si="12">F28</f>
        <v>100</v>
      </c>
      <c r="T28" s="753" t="s">
        <v>28</v>
      </c>
      <c r="U28" s="754">
        <f t="shared" ref="U28:U46" si="13">H28</f>
        <v>100</v>
      </c>
      <c r="V28" s="753" t="s">
        <v>28</v>
      </c>
      <c r="W28" s="754">
        <f t="shared" ref="W28:W46" si="14">J28</f>
        <v>98</v>
      </c>
      <c r="X28" s="1900"/>
      <c r="Y28" s="3137"/>
      <c r="Z28" s="1902" t="str">
        <f t="shared" ref="Z28:Z46" si="15">Q28</f>
        <v>楼层</v>
      </c>
      <c r="AA28" s="1903">
        <f t="shared" si="3"/>
        <v>1</v>
      </c>
      <c r="AB28" s="1903">
        <f t="shared" si="4"/>
        <v>1</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35"/>
      <c r="Q29" s="1899">
        <f t="shared" si="11"/>
        <v>111</v>
      </c>
      <c r="R29" s="753" t="s">
        <v>28</v>
      </c>
      <c r="S29" s="754">
        <f t="shared" si="12"/>
        <v>100</v>
      </c>
      <c r="T29" s="753" t="s">
        <v>28</v>
      </c>
      <c r="U29" s="754">
        <f t="shared" si="13"/>
        <v>100</v>
      </c>
      <c r="V29" s="753" t="s">
        <v>28</v>
      </c>
      <c r="W29" s="754">
        <f t="shared" si="14"/>
        <v>100</v>
      </c>
      <c r="X29" s="1900"/>
      <c r="Y29" s="313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35"/>
      <c r="Q30" s="1899">
        <f t="shared" si="11"/>
        <v>111</v>
      </c>
      <c r="R30" s="753" t="s">
        <v>28</v>
      </c>
      <c r="S30" s="754">
        <f t="shared" si="12"/>
        <v>100</v>
      </c>
      <c r="T30" s="753" t="s">
        <v>28</v>
      </c>
      <c r="U30" s="754">
        <f t="shared" si="13"/>
        <v>100</v>
      </c>
      <c r="V30" s="753" t="s">
        <v>28</v>
      </c>
      <c r="W30" s="754">
        <f t="shared" si="14"/>
        <v>100</v>
      </c>
      <c r="X30" s="1900"/>
      <c r="Y30" s="313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35"/>
      <c r="Q31" s="1899">
        <f t="shared" si="11"/>
        <v>111</v>
      </c>
      <c r="R31" s="753" t="s">
        <v>28</v>
      </c>
      <c r="S31" s="754">
        <f t="shared" si="12"/>
        <v>100</v>
      </c>
      <c r="T31" s="753" t="s">
        <v>28</v>
      </c>
      <c r="U31" s="754">
        <f t="shared" si="13"/>
        <v>100</v>
      </c>
      <c r="V31" s="753" t="s">
        <v>28</v>
      </c>
      <c r="W31" s="754">
        <f t="shared" si="14"/>
        <v>100</v>
      </c>
      <c r="X31" s="1900"/>
      <c r="Y31" s="3137"/>
      <c r="Z31" s="1902">
        <f t="shared" si="15"/>
        <v>111</v>
      </c>
      <c r="AA31" s="1903">
        <f t="shared" si="3"/>
        <v>1</v>
      </c>
      <c r="AB31" s="1903">
        <f t="shared" si="4"/>
        <v>1</v>
      </c>
      <c r="AC31" s="1903">
        <f t="shared" si="5"/>
        <v>1</v>
      </c>
    </row>
    <row r="32" spans="1:29" ht="15">
      <c r="A32" s="419" t="s">
        <v>2371</v>
      </c>
      <c r="B32" s="28" t="s">
        <v>2372</v>
      </c>
      <c r="C32" s="2744" t="s">
        <v>2870</v>
      </c>
      <c r="D32" s="448">
        <v>100</v>
      </c>
      <c r="E32" s="2741" t="s">
        <v>2846</v>
      </c>
      <c r="F32" s="442">
        <f>SUMIF(100:100,E32,101:101)-SUMIF(100:100,C32,101:101)+100</f>
        <v>98</v>
      </c>
      <c r="G32" s="2744" t="s">
        <v>2854</v>
      </c>
      <c r="H32" s="448">
        <f>SUMIF(100:100,G32,101:101)-SUMIF(100:100,C32,101:101)+100</f>
        <v>99</v>
      </c>
      <c r="I32" s="2744" t="s">
        <v>2856</v>
      </c>
      <c r="J32" s="415">
        <f>SUMIF(100:100,I32,101:101)-SUMIF(100:100,C32,101:101)+100</f>
        <v>100</v>
      </c>
      <c r="K32" s="406">
        <v>1</v>
      </c>
      <c r="L32" s="1253"/>
      <c r="M32" s="1244"/>
      <c r="N32" s="1244"/>
      <c r="O32" s="1244"/>
      <c r="P32" s="3138" t="s">
        <v>2373</v>
      </c>
      <c r="Q32" s="1899" t="str">
        <f t="shared" si="11"/>
        <v>建筑类型</v>
      </c>
      <c r="R32" s="753" t="s">
        <v>28</v>
      </c>
      <c r="S32" s="754">
        <f t="shared" si="12"/>
        <v>98</v>
      </c>
      <c r="T32" s="753" t="s">
        <v>28</v>
      </c>
      <c r="U32" s="754">
        <f t="shared" si="13"/>
        <v>99</v>
      </c>
      <c r="V32" s="753" t="s">
        <v>28</v>
      </c>
      <c r="W32" s="754">
        <f t="shared" si="14"/>
        <v>100</v>
      </c>
      <c r="X32" s="1900"/>
      <c r="Y32" s="3141" t="s">
        <v>2373</v>
      </c>
      <c r="Z32" s="1902" t="str">
        <f t="shared" si="15"/>
        <v>建筑类型</v>
      </c>
      <c r="AA32" s="1903">
        <f t="shared" si="3"/>
        <v>1.0204081632653061</v>
      </c>
      <c r="AB32" s="1903">
        <f t="shared" si="4"/>
        <v>1.0101010101010102</v>
      </c>
      <c r="AC32" s="1903">
        <f t="shared" si="5"/>
        <v>1</v>
      </c>
    </row>
    <row r="33" spans="1:29" s="452" customFormat="1" ht="15">
      <c r="A33" s="449"/>
      <c r="B33" s="402" t="s">
        <v>2374</v>
      </c>
      <c r="C33" s="450">
        <v>189.28</v>
      </c>
      <c r="D33" s="52">
        <v>100</v>
      </c>
      <c r="E33" s="410">
        <v>88.96</v>
      </c>
      <c r="F33" s="405">
        <f>LOOKUP(E33,103:103,104:104)-LOOKUP(C33,103:103,104:104)+100</f>
        <v>103</v>
      </c>
      <c r="G33" s="409">
        <v>81.150000000000006</v>
      </c>
      <c r="H33" s="52">
        <f>LOOKUP(G33,103:103,104:104)-LOOKUP(C33,103:103,104:104)+100</f>
        <v>103</v>
      </c>
      <c r="I33" s="410">
        <v>138.62</v>
      </c>
      <c r="J33" s="52">
        <f>LOOKUP(I33,103:103,104:104)-LOOKUP(C33,103:103,104:104)+100</f>
        <v>101</v>
      </c>
      <c r="K33" s="2400"/>
      <c r="L33" s="1251"/>
      <c r="M33" s="1254"/>
      <c r="N33" s="1254"/>
      <c r="O33" s="1254"/>
      <c r="P33" s="3139"/>
      <c r="Q33" s="755" t="str">
        <f t="shared" si="11"/>
        <v>项目建筑规模</v>
      </c>
      <c r="R33" s="756" t="s">
        <v>28</v>
      </c>
      <c r="S33" s="757">
        <f t="shared" si="12"/>
        <v>103</v>
      </c>
      <c r="T33" s="756" t="s">
        <v>28</v>
      </c>
      <c r="U33" s="757">
        <f t="shared" si="13"/>
        <v>103</v>
      </c>
      <c r="V33" s="756" t="s">
        <v>28</v>
      </c>
      <c r="W33" s="757">
        <f t="shared" si="14"/>
        <v>101</v>
      </c>
      <c r="X33" s="758"/>
      <c r="Y33" s="3141"/>
      <c r="Z33" s="759" t="str">
        <f t="shared" si="15"/>
        <v>项目建筑规模</v>
      </c>
      <c r="AA33" s="1903">
        <f t="shared" si="3"/>
        <v>0.970873786407767</v>
      </c>
      <c r="AB33" s="1903">
        <f t="shared" si="4"/>
        <v>0.970873786407767</v>
      </c>
      <c r="AC33" s="1903">
        <f t="shared" si="5"/>
        <v>0.99009900990099009</v>
      </c>
    </row>
    <row r="34" spans="1:29" ht="15">
      <c r="A34" s="453"/>
      <c r="B34" s="402"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39"/>
      <c r="Q34" s="1899" t="str">
        <f t="shared" si="11"/>
        <v>建筑结构</v>
      </c>
      <c r="R34" s="753" t="s">
        <v>28</v>
      </c>
      <c r="S34" s="754">
        <f t="shared" si="12"/>
        <v>100</v>
      </c>
      <c r="T34" s="753" t="s">
        <v>28</v>
      </c>
      <c r="U34" s="754">
        <f t="shared" si="13"/>
        <v>100</v>
      </c>
      <c r="V34" s="753" t="s">
        <v>28</v>
      </c>
      <c r="W34" s="754">
        <f t="shared" si="14"/>
        <v>100</v>
      </c>
      <c r="X34" s="1900"/>
      <c r="Y34" s="3141"/>
      <c r="Z34" s="1902" t="str">
        <f t="shared" si="15"/>
        <v>建筑结构</v>
      </c>
      <c r="AA34" s="1903">
        <f t="shared" si="3"/>
        <v>1</v>
      </c>
      <c r="AB34" s="1903">
        <f t="shared" si="4"/>
        <v>1</v>
      </c>
      <c r="AC34" s="1903">
        <f t="shared" si="5"/>
        <v>1</v>
      </c>
    </row>
    <row r="35" spans="1:29" ht="15" hidden="1">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39"/>
      <c r="Q35" s="1899" t="str">
        <f t="shared" si="11"/>
        <v>建筑品质</v>
      </c>
      <c r="R35" s="753" t="s">
        <v>28</v>
      </c>
      <c r="S35" s="754">
        <f t="shared" si="12"/>
        <v>100</v>
      </c>
      <c r="T35" s="753" t="s">
        <v>28</v>
      </c>
      <c r="U35" s="754">
        <f t="shared" si="13"/>
        <v>100</v>
      </c>
      <c r="V35" s="753" t="s">
        <v>28</v>
      </c>
      <c r="W35" s="754">
        <f t="shared" si="14"/>
        <v>100</v>
      </c>
      <c r="X35" s="1900"/>
      <c r="Y35" s="3141"/>
      <c r="Z35" s="1902" t="str">
        <f t="shared" si="15"/>
        <v>建筑品质</v>
      </c>
      <c r="AA35" s="1903">
        <f t="shared" si="3"/>
        <v>1</v>
      </c>
      <c r="AB35" s="1903">
        <f t="shared" si="4"/>
        <v>1</v>
      </c>
      <c r="AC35" s="1903">
        <f t="shared" si="5"/>
        <v>1</v>
      </c>
    </row>
    <row r="36" spans="1:29" ht="15" hidden="1">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39"/>
      <c r="Q36" s="1899" t="str">
        <f t="shared" si="11"/>
        <v>公共部分装修</v>
      </c>
      <c r="R36" s="753" t="s">
        <v>28</v>
      </c>
      <c r="S36" s="754">
        <f t="shared" si="12"/>
        <v>100</v>
      </c>
      <c r="T36" s="753" t="s">
        <v>28</v>
      </c>
      <c r="U36" s="754">
        <f t="shared" si="13"/>
        <v>100</v>
      </c>
      <c r="V36" s="753" t="s">
        <v>28</v>
      </c>
      <c r="W36" s="754">
        <f t="shared" si="14"/>
        <v>100</v>
      </c>
      <c r="X36" s="1900"/>
      <c r="Y36" s="3141"/>
      <c r="Z36" s="1902" t="str">
        <f t="shared" si="15"/>
        <v>公共部分装修</v>
      </c>
      <c r="AA36" s="1903">
        <f t="shared" si="3"/>
        <v>1</v>
      </c>
      <c r="AB36" s="1903">
        <f t="shared" si="4"/>
        <v>1</v>
      </c>
      <c r="AC36" s="1903">
        <f t="shared" si="5"/>
        <v>1</v>
      </c>
    </row>
    <row r="37" spans="1:29" s="35" customFormat="1" ht="15" hidden="1">
      <c r="A37" s="454"/>
      <c r="B37" s="402"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39"/>
      <c r="Q37" s="1887" t="str">
        <f t="shared" si="11"/>
        <v>成新度</v>
      </c>
      <c r="R37" s="749" t="s">
        <v>28</v>
      </c>
      <c r="S37" s="750">
        <f t="shared" si="12"/>
        <v>100</v>
      </c>
      <c r="T37" s="749" t="s">
        <v>28</v>
      </c>
      <c r="U37" s="750">
        <f t="shared" si="13"/>
        <v>100</v>
      </c>
      <c r="V37" s="749" t="s">
        <v>28</v>
      </c>
      <c r="W37" s="750">
        <f t="shared" si="14"/>
        <v>100</v>
      </c>
      <c r="X37" s="751"/>
      <c r="Y37" s="3141"/>
      <c r="Z37" s="23" t="str">
        <f t="shared" si="15"/>
        <v>成新度</v>
      </c>
      <c r="AA37" s="752">
        <f t="shared" si="3"/>
        <v>1</v>
      </c>
      <c r="AB37" s="752">
        <f t="shared" si="4"/>
        <v>1</v>
      </c>
      <c r="AC37" s="752">
        <f t="shared" si="5"/>
        <v>1</v>
      </c>
    </row>
    <row r="38" spans="1:29" ht="15">
      <c r="A38" s="453"/>
      <c r="B38" s="402"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39" t="s">
        <v>2373</v>
      </c>
      <c r="Q38" s="1899" t="str">
        <f t="shared" si="11"/>
        <v>物业管理</v>
      </c>
      <c r="R38" s="753" t="s">
        <v>28</v>
      </c>
      <c r="S38" s="754">
        <f t="shared" si="12"/>
        <v>100</v>
      </c>
      <c r="T38" s="753" t="s">
        <v>28</v>
      </c>
      <c r="U38" s="754">
        <f t="shared" si="13"/>
        <v>100</v>
      </c>
      <c r="V38" s="753" t="s">
        <v>28</v>
      </c>
      <c r="W38" s="754">
        <f t="shared" si="14"/>
        <v>100</v>
      </c>
      <c r="X38" s="1900"/>
      <c r="Y38" s="3141" t="s">
        <v>2373</v>
      </c>
      <c r="Z38" s="1902" t="str">
        <f t="shared" si="15"/>
        <v>物业管理</v>
      </c>
      <c r="AA38" s="1903">
        <f t="shared" si="3"/>
        <v>1</v>
      </c>
      <c r="AB38" s="1903">
        <f t="shared" si="4"/>
        <v>1</v>
      </c>
      <c r="AC38" s="1903">
        <f t="shared" si="5"/>
        <v>1</v>
      </c>
    </row>
    <row r="39" spans="1:29" ht="15">
      <c r="A39" s="453"/>
      <c r="B39" s="402"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39"/>
      <c r="Q39" s="1899" t="str">
        <f t="shared" si="11"/>
        <v>市政基础设施</v>
      </c>
      <c r="R39" s="753" t="s">
        <v>28</v>
      </c>
      <c r="S39" s="754">
        <f t="shared" si="12"/>
        <v>100</v>
      </c>
      <c r="T39" s="753" t="s">
        <v>28</v>
      </c>
      <c r="U39" s="754">
        <f t="shared" si="13"/>
        <v>100</v>
      </c>
      <c r="V39" s="753" t="s">
        <v>28</v>
      </c>
      <c r="W39" s="754">
        <f t="shared" si="14"/>
        <v>100</v>
      </c>
      <c r="X39" s="1900"/>
      <c r="Y39" s="3141"/>
      <c r="Z39" s="1902" t="str">
        <f t="shared" si="15"/>
        <v>市政基础设施</v>
      </c>
      <c r="AA39" s="1903">
        <f t="shared" si="3"/>
        <v>1</v>
      </c>
      <c r="AB39" s="1903">
        <f t="shared" si="4"/>
        <v>1</v>
      </c>
      <c r="AC39" s="1903">
        <f t="shared" si="5"/>
        <v>1</v>
      </c>
    </row>
    <row r="40" spans="1:29" ht="15">
      <c r="A40" s="453"/>
      <c r="B40" s="402"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39"/>
      <c r="Q40" s="1899" t="str">
        <f t="shared" si="11"/>
        <v>房型</v>
      </c>
      <c r="R40" s="753" t="s">
        <v>28</v>
      </c>
      <c r="S40" s="754">
        <f t="shared" si="12"/>
        <v>100</v>
      </c>
      <c r="T40" s="753" t="s">
        <v>28</v>
      </c>
      <c r="U40" s="754">
        <f t="shared" si="13"/>
        <v>100</v>
      </c>
      <c r="V40" s="753" t="s">
        <v>28</v>
      </c>
      <c r="W40" s="754">
        <f t="shared" si="14"/>
        <v>100</v>
      </c>
      <c r="X40" s="1900"/>
      <c r="Y40" s="3141"/>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39"/>
      <c r="Q41" s="755" t="str">
        <f t="shared" si="11"/>
        <v>单套/主力户型建筑面积</v>
      </c>
      <c r="R41" s="756" t="s">
        <v>28</v>
      </c>
      <c r="S41" s="757">
        <f t="shared" si="12"/>
        <v>100</v>
      </c>
      <c r="T41" s="756" t="s">
        <v>28</v>
      </c>
      <c r="U41" s="757">
        <f t="shared" si="13"/>
        <v>100</v>
      </c>
      <c r="V41" s="756" t="s">
        <v>28</v>
      </c>
      <c r="W41" s="757">
        <f t="shared" si="14"/>
        <v>100</v>
      </c>
      <c r="X41" s="758"/>
      <c r="Y41" s="3141"/>
      <c r="Z41" s="759" t="str">
        <f t="shared" si="15"/>
        <v>单套/主力户型建筑面积</v>
      </c>
      <c r="AA41" s="1903">
        <f t="shared" si="3"/>
        <v>1</v>
      </c>
      <c r="AB41" s="1903">
        <f t="shared" si="4"/>
        <v>1</v>
      </c>
      <c r="AC41" s="1903">
        <f t="shared" si="5"/>
        <v>1</v>
      </c>
    </row>
    <row r="42" spans="1:29" ht="15">
      <c r="A42" s="453"/>
      <c r="B42" s="402"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39"/>
      <c r="Q42" s="1899" t="str">
        <f t="shared" si="11"/>
        <v>内部装修</v>
      </c>
      <c r="R42" s="753" t="s">
        <v>28</v>
      </c>
      <c r="S42" s="754">
        <f t="shared" si="12"/>
        <v>100</v>
      </c>
      <c r="T42" s="753" t="s">
        <v>28</v>
      </c>
      <c r="U42" s="754">
        <f t="shared" si="13"/>
        <v>100</v>
      </c>
      <c r="V42" s="753" t="s">
        <v>28</v>
      </c>
      <c r="W42" s="754">
        <f t="shared" si="14"/>
        <v>100</v>
      </c>
      <c r="X42" s="1900"/>
      <c r="Y42" s="3141"/>
      <c r="Z42" s="1902" t="str">
        <f t="shared" si="15"/>
        <v>内部装修</v>
      </c>
      <c r="AA42" s="1903">
        <f t="shared" si="3"/>
        <v>1</v>
      </c>
      <c r="AB42" s="1903">
        <f t="shared" si="4"/>
        <v>1</v>
      </c>
      <c r="AC42" s="1903">
        <f t="shared" si="5"/>
        <v>1</v>
      </c>
    </row>
    <row r="43" spans="1:29" ht="15">
      <c r="A43" s="453"/>
      <c r="B43" s="402"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39"/>
      <c r="Q43" s="1899" t="str">
        <f t="shared" si="11"/>
        <v>内部装修维护情况</v>
      </c>
      <c r="R43" s="753" t="s">
        <v>28</v>
      </c>
      <c r="S43" s="754">
        <f t="shared" si="12"/>
        <v>100</v>
      </c>
      <c r="T43" s="753" t="s">
        <v>28</v>
      </c>
      <c r="U43" s="754">
        <f t="shared" si="13"/>
        <v>100</v>
      </c>
      <c r="V43" s="753" t="s">
        <v>28</v>
      </c>
      <c r="W43" s="754">
        <f t="shared" si="14"/>
        <v>100</v>
      </c>
      <c r="X43" s="1900"/>
      <c r="Y43" s="3141"/>
      <c r="Z43" s="1902" t="str">
        <f t="shared" si="15"/>
        <v>内部装修维护情况</v>
      </c>
      <c r="AA43" s="1903">
        <f t="shared" si="3"/>
        <v>1</v>
      </c>
      <c r="AB43" s="1903">
        <f t="shared" si="4"/>
        <v>1</v>
      </c>
      <c r="AC43" s="1903">
        <f t="shared" si="5"/>
        <v>1</v>
      </c>
    </row>
    <row r="44" spans="1:29" s="35" customFormat="1" ht="15.75" thickBot="1">
      <c r="A44" s="454"/>
      <c r="B44" s="2740" t="s">
        <v>2855</v>
      </c>
      <c r="C44" s="450">
        <v>2012</v>
      </c>
      <c r="D44" s="52">
        <v>100</v>
      </c>
      <c r="E44" s="450">
        <v>2015</v>
      </c>
      <c r="F44" s="405">
        <f>SUMIF(126:126,E44,127:127)-SUMIF(126:126,C44,127:127)+100</f>
        <v>100.6</v>
      </c>
      <c r="G44" s="450">
        <v>2015</v>
      </c>
      <c r="H44" s="52">
        <f>SUMIF(126:126,G44,127:127)-SUMIF(126:126,C44,127:127)+100</f>
        <v>100.6</v>
      </c>
      <c r="I44" s="450">
        <v>2015</v>
      </c>
      <c r="J44" s="52">
        <f>SUMIF(126:126,I44,127:127)-SUMIF(126:126,C44,127:127)+100</f>
        <v>100.6</v>
      </c>
      <c r="K44" s="2400"/>
      <c r="L44" s="1245"/>
      <c r="M44" s="1246"/>
      <c r="N44" s="1246"/>
      <c r="O44" s="1246"/>
      <c r="P44" s="3139"/>
      <c r="Q44" s="1887" t="str">
        <f t="shared" si="11"/>
        <v>建成年代</v>
      </c>
      <c r="R44" s="749" t="s">
        <v>28</v>
      </c>
      <c r="S44" s="750">
        <f t="shared" si="12"/>
        <v>100.6</v>
      </c>
      <c r="T44" s="749" t="s">
        <v>28</v>
      </c>
      <c r="U44" s="750">
        <f t="shared" si="13"/>
        <v>100.6</v>
      </c>
      <c r="V44" s="749" t="s">
        <v>28</v>
      </c>
      <c r="W44" s="750">
        <f t="shared" si="14"/>
        <v>100.6</v>
      </c>
      <c r="X44" s="751"/>
      <c r="Y44" s="3141"/>
      <c r="Z44" s="23" t="str">
        <f t="shared" si="15"/>
        <v>建成年代</v>
      </c>
      <c r="AA44" s="752">
        <f t="shared" si="3"/>
        <v>0.99403578528827041</v>
      </c>
      <c r="AB44" s="752">
        <f t="shared" si="4"/>
        <v>0.99403578528827041</v>
      </c>
      <c r="AC44" s="752">
        <f t="shared" si="5"/>
        <v>0.99403578528827041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39"/>
      <c r="Q45" s="1899">
        <f t="shared" si="11"/>
        <v>111</v>
      </c>
      <c r="R45" s="753" t="s">
        <v>28</v>
      </c>
      <c r="S45" s="754">
        <f t="shared" si="12"/>
        <v>100</v>
      </c>
      <c r="T45" s="753" t="s">
        <v>28</v>
      </c>
      <c r="U45" s="754">
        <f t="shared" si="13"/>
        <v>100</v>
      </c>
      <c r="V45" s="753" t="s">
        <v>28</v>
      </c>
      <c r="W45" s="754">
        <f t="shared" si="14"/>
        <v>100</v>
      </c>
      <c r="X45" s="1900"/>
      <c r="Y45" s="314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0"/>
      <c r="Q46" s="1899">
        <f t="shared" si="11"/>
        <v>111</v>
      </c>
      <c r="R46" s="753" t="s">
        <v>27</v>
      </c>
      <c r="S46" s="754">
        <f t="shared" si="12"/>
        <v>100</v>
      </c>
      <c r="T46" s="753" t="s">
        <v>27</v>
      </c>
      <c r="U46" s="754">
        <f t="shared" si="13"/>
        <v>100</v>
      </c>
      <c r="V46" s="753" t="s">
        <v>27</v>
      </c>
      <c r="W46" s="754">
        <f t="shared" si="14"/>
        <v>100</v>
      </c>
      <c r="X46" s="1900"/>
      <c r="Y46" s="3142"/>
      <c r="Z46" s="1902">
        <f t="shared" si="15"/>
        <v>111</v>
      </c>
      <c r="AA46" s="1903">
        <f t="shared" si="3"/>
        <v>1</v>
      </c>
      <c r="AB46" s="1903">
        <f t="shared" si="4"/>
        <v>1</v>
      </c>
      <c r="AC46" s="1903">
        <f t="shared" si="5"/>
        <v>1</v>
      </c>
    </row>
    <row r="47" spans="1:29" ht="15">
      <c r="A47" s="460" t="s">
        <v>2385</v>
      </c>
      <c r="B47" s="461"/>
      <c r="C47" s="1502" t="s">
        <v>26</v>
      </c>
      <c r="D47" s="1503"/>
      <c r="E47" s="1504">
        <v>30643</v>
      </c>
      <c r="F47" s="1505"/>
      <c r="G47" s="1506">
        <v>27850</v>
      </c>
      <c r="H47" s="1507"/>
      <c r="I47" s="1504">
        <v>30443</v>
      </c>
      <c r="J47" s="1507"/>
      <c r="K47" s="2416"/>
      <c r="L47" s="1256"/>
      <c r="M47" s="1257"/>
      <c r="N47" s="1244"/>
      <c r="O47" s="1257"/>
      <c r="P47" s="3133" t="str">
        <f>A47</f>
        <v>成交单价（元/平方米）</v>
      </c>
      <c r="Q47" s="3133"/>
      <c r="R47" s="3129">
        <f>E47</f>
        <v>30643</v>
      </c>
      <c r="S47" s="3129"/>
      <c r="T47" s="3129">
        <f>G47</f>
        <v>27850</v>
      </c>
      <c r="U47" s="3129"/>
      <c r="V47" s="3129">
        <f>I47</f>
        <v>30443</v>
      </c>
      <c r="W47" s="3129"/>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7"/>
      <c r="L48" s="1256"/>
      <c r="M48" s="1257"/>
      <c r="N48" s="1257"/>
      <c r="O48" s="1257"/>
      <c r="P48" s="3133" t="str">
        <f>A48</f>
        <v>比较价值（元/平方米）</v>
      </c>
      <c r="Q48" s="3133"/>
      <c r="R48" s="3129" t="e">
        <f>IF(E1="售价",ROUND(PRODUCT(R47,AA7:AA46),0),ROUND(PRODUCT(R47,AA7:AA46),1))</f>
        <v>#DIV/0!</v>
      </c>
      <c r="S48" s="3129"/>
      <c r="T48" s="3127" t="e">
        <f>IF(E1="售价",ROUND(PRODUCT(T47,AB7:AB46),0),ROUND(PRODUCT(T47,AB7:AB46),1))</f>
        <v>#DIV/0!</v>
      </c>
      <c r="U48" s="3128"/>
      <c r="V48" s="3129" t="e">
        <f>IF(E1="售价",ROUND(PRODUCT(V47,AC7:AC46),0),ROUND(PRODUCT(V47,AC7:AC46),1))</f>
        <v>#DIV/0!</v>
      </c>
      <c r="W48" s="3129"/>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18"/>
      <c r="L49" s="1256"/>
      <c r="M49" s="1257"/>
      <c r="N49" s="1257"/>
      <c r="O49" s="1257"/>
      <c r="P49" s="3130" t="str">
        <f>A49</f>
        <v>估价对象XX用房的比较价值（楼面单价，元/平方米）</v>
      </c>
      <c r="Q49" s="3131"/>
      <c r="R49" s="3132" t="e">
        <f>IF(E1="售价",ROUND(AVERAGE(R48:V48),0),ROUND(AVERAGE(R48:V48),1))</f>
        <v>#DIV/0!</v>
      </c>
      <c r="S49" s="3132"/>
      <c r="T49" s="3132"/>
      <c r="U49" s="3132"/>
      <c r="V49" s="3132"/>
      <c r="W49" s="31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f>IF(E47&lt;G47,G47/E47-1,E47/G47-1)</f>
        <v>0.10028725314183129</v>
      </c>
      <c r="F54" s="481" t="str">
        <f>IF(OR(E54&gt;=0.3,E54&lt;=-0.3),"超过30%","")</f>
        <v/>
      </c>
      <c r="G54" s="480">
        <f>IF(G47&lt;I47,I47/G47-1,G47/I47-1)</f>
        <v>9.310592459605016E-2</v>
      </c>
      <c r="H54" s="481" t="str">
        <f>IF(OR(G54&gt;=0.3,G54&lt;=-0.3),"超过30%","")</f>
        <v/>
      </c>
      <c r="I54" s="480">
        <f>IF(I47&lt;E47,E47/I47-1,I47/E47-1)</f>
        <v>6.5696547646421077E-3</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5"/>
      <c r="Q89" s="485"/>
    </row>
    <row r="90" spans="1:17" s="452" customFormat="1" ht="27.75" thickTop="1">
      <c r="A90" s="536"/>
      <c r="B90" s="521" t="str">
        <f>B27</f>
        <v>道路级别</v>
      </c>
      <c r="C90" s="2747" t="s">
        <v>2867</v>
      </c>
      <c r="D90" s="2747" t="s">
        <v>2864</v>
      </c>
      <c r="E90" s="2747" t="s">
        <v>2866</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100</v>
      </c>
      <c r="F91" s="544"/>
      <c r="G91" s="544"/>
      <c r="H91" s="546"/>
      <c r="I91" s="546"/>
      <c r="J91" s="546"/>
      <c r="K91" s="546"/>
      <c r="L91" s="546"/>
      <c r="M91" s="547"/>
      <c r="N91" s="1269"/>
      <c r="O91" s="1269"/>
      <c r="P91" s="2426"/>
      <c r="Q91" s="543"/>
    </row>
    <row r="92" spans="1:17" ht="15.75" thickTop="1">
      <c r="A92" s="516"/>
      <c r="B92" s="521" t="str">
        <f>B28</f>
        <v>楼层</v>
      </c>
      <c r="C92" s="414" t="s">
        <v>2868</v>
      </c>
      <c r="D92" s="414" t="s">
        <v>2869</v>
      </c>
      <c r="E92" s="414" t="s">
        <v>2852</v>
      </c>
      <c r="F92" s="414" t="s">
        <v>2857</v>
      </c>
      <c r="G92" s="567"/>
      <c r="H92" s="567"/>
      <c r="I92" s="567"/>
      <c r="J92" s="567"/>
      <c r="K92" s="568"/>
      <c r="L92" s="569"/>
      <c r="M92" s="570"/>
      <c r="N92" s="1267"/>
      <c r="O92" s="1267"/>
      <c r="P92" s="2425"/>
      <c r="Q92" s="485"/>
    </row>
    <row r="93" spans="1:17" ht="15.75" thickBot="1">
      <c r="A93" s="516"/>
      <c r="B93" s="526"/>
      <c r="C93" s="544">
        <v>100</v>
      </c>
      <c r="D93" s="518">
        <v>100</v>
      </c>
      <c r="E93" s="518">
        <v>100</v>
      </c>
      <c r="F93" s="518">
        <v>98</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60(含)-90</v>
      </c>
      <c r="D102" s="562" t="str">
        <f t="shared" ref="D102:L102" si="23">D103&amp;"(含)"&amp;"-"&amp;E103</f>
        <v>90(含)-120</v>
      </c>
      <c r="E102" s="562" t="str">
        <f t="shared" si="23"/>
        <v>120(含)-160</v>
      </c>
      <c r="F102" s="562" t="str">
        <f t="shared" si="23"/>
        <v>160(含)-200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60</v>
      </c>
      <c r="D103" s="579">
        <v>90</v>
      </c>
      <c r="E103" s="579">
        <v>120</v>
      </c>
      <c r="F103" s="579">
        <v>160</v>
      </c>
      <c r="G103" s="579">
        <v>200</v>
      </c>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2013</v>
      </c>
      <c r="E126" s="537">
        <v>2014</v>
      </c>
      <c r="F126" s="537">
        <v>2015</v>
      </c>
      <c r="G126" s="537"/>
      <c r="H126" s="538"/>
      <c r="I126" s="538"/>
      <c r="J126" s="538"/>
      <c r="K126" s="538"/>
      <c r="L126" s="539"/>
      <c r="M126" s="540"/>
      <c r="N126" s="1269"/>
      <c r="O126" s="1269"/>
      <c r="P126" s="2426"/>
      <c r="Q126" s="543"/>
    </row>
    <row r="127" spans="1:17" s="452" customFormat="1" ht="15.75" thickBot="1">
      <c r="A127" s="536"/>
      <c r="B127" s="526"/>
      <c r="C127" s="544">
        <v>100</v>
      </c>
      <c r="D127" s="518">
        <v>100.2</v>
      </c>
      <c r="E127" s="518">
        <v>100.4</v>
      </c>
      <c r="F127" s="518">
        <v>100.6</v>
      </c>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tabColor rgb="FF92D050"/>
    <pageSetUpPr fitToPage="1"/>
  </sheetPr>
  <dimension ref="A1:AC148"/>
  <sheetViews>
    <sheetView topLeftCell="A24" zoomScale="85" zoomScaleNormal="85" workbookViewId="0">
      <selection activeCell="F63" sqref="F6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2839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7503627</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2010</v>
      </c>
      <c r="B3" s="378">
        <f>ROUND(IF(D2="——",C49,IF(C2="万元",B2*10000/D3,B2/D3)),0)</f>
        <v>39643</v>
      </c>
      <c r="C3" s="379" t="s">
        <v>2341</v>
      </c>
      <c r="D3" s="378">
        <f>IF(C1="仅计算典型户型",'数据-取费表'!E5,'数据-取费表'!B5)</f>
        <v>189.28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160" t="s">
        <v>2343</v>
      </c>
      <c r="D4" s="3161"/>
      <c r="E4" s="3162" t="s">
        <v>2344</v>
      </c>
      <c r="F4" s="3163"/>
      <c r="G4" s="3160" t="s">
        <v>2345</v>
      </c>
      <c r="H4" s="3161"/>
      <c r="I4" s="3160" t="s">
        <v>2346</v>
      </c>
      <c r="J4" s="3161"/>
      <c r="K4" s="2396" t="s">
        <v>2347</v>
      </c>
      <c r="L4" s="1243"/>
      <c r="M4" s="1244"/>
      <c r="N4" s="1244"/>
      <c r="O4" s="1244"/>
      <c r="P4" s="3164" t="s">
        <v>2348</v>
      </c>
      <c r="Q4" s="3165"/>
      <c r="R4" s="3149" t="s">
        <v>2344</v>
      </c>
      <c r="S4" s="3150"/>
      <c r="T4" s="3149" t="s">
        <v>2345</v>
      </c>
      <c r="U4" s="3150"/>
      <c r="V4" s="3170" t="s">
        <v>2346</v>
      </c>
      <c r="W4" s="3170"/>
      <c r="X4" s="2736"/>
      <c r="Y4" s="3149" t="s">
        <v>2348</v>
      </c>
      <c r="Z4" s="3150"/>
      <c r="AA4" s="3157" t="s">
        <v>2344</v>
      </c>
      <c r="AB4" s="3157" t="s">
        <v>2345</v>
      </c>
      <c r="AC4" s="3157" t="s">
        <v>2346</v>
      </c>
    </row>
    <row r="5" spans="1:29" ht="15">
      <c r="A5" s="383"/>
      <c r="B5" s="384"/>
      <c r="C5" s="3145" t="s">
        <v>2840</v>
      </c>
      <c r="D5" s="3146"/>
      <c r="E5" s="3171" t="s">
        <v>3117</v>
      </c>
      <c r="F5" s="3172"/>
      <c r="G5" s="3145" t="s">
        <v>3118</v>
      </c>
      <c r="H5" s="3146"/>
      <c r="I5" s="3171" t="s">
        <v>3119</v>
      </c>
      <c r="J5" s="3172"/>
      <c r="K5" s="2397"/>
      <c r="L5" s="1243"/>
      <c r="M5" s="1244"/>
      <c r="N5" s="1244"/>
      <c r="O5" s="1244"/>
      <c r="P5" s="3166"/>
      <c r="Q5" s="3167"/>
      <c r="R5" s="3151"/>
      <c r="S5" s="3152"/>
      <c r="T5" s="3151"/>
      <c r="U5" s="3152"/>
      <c r="V5" s="3170"/>
      <c r="W5" s="3170"/>
      <c r="X5" s="2736"/>
      <c r="Y5" s="3151"/>
      <c r="Z5" s="3152"/>
      <c r="AA5" s="3158"/>
      <c r="AB5" s="3158"/>
      <c r="AC5" s="3158"/>
    </row>
    <row r="6" spans="1:29" ht="15.75" thickBot="1">
      <c r="A6" s="385"/>
      <c r="B6" s="386"/>
      <c r="C6" s="3143" t="s">
        <v>2353</v>
      </c>
      <c r="D6" s="3144"/>
      <c r="E6" s="3173" t="s">
        <v>2353</v>
      </c>
      <c r="F6" s="3174"/>
      <c r="G6" s="3143" t="s">
        <v>2353</v>
      </c>
      <c r="H6" s="3144"/>
      <c r="I6" s="3143" t="s">
        <v>2353</v>
      </c>
      <c r="J6" s="3144"/>
      <c r="K6" s="2397" t="s">
        <v>2354</v>
      </c>
      <c r="L6" s="1243"/>
      <c r="M6" s="1244"/>
      <c r="N6" s="1244"/>
      <c r="O6" s="1244"/>
      <c r="P6" s="3168"/>
      <c r="Q6" s="3169"/>
      <c r="R6" s="3151"/>
      <c r="S6" s="3152"/>
      <c r="T6" s="3153"/>
      <c r="U6" s="3154"/>
      <c r="V6" s="3170"/>
      <c r="W6" s="3170"/>
      <c r="X6" s="2736"/>
      <c r="Y6" s="3153"/>
      <c r="Z6" s="3154"/>
      <c r="AA6" s="3159"/>
      <c r="AB6" s="3159"/>
      <c r="AC6" s="3159"/>
    </row>
    <row r="7" spans="1:29" s="35" customFormat="1" ht="15.75" thickBot="1">
      <c r="A7" s="387" t="s">
        <v>2355</v>
      </c>
      <c r="B7" s="388"/>
      <c r="C7" s="389">
        <f>'数据-取费表'!B2</f>
        <v>42510</v>
      </c>
      <c r="D7" s="390">
        <v>100</v>
      </c>
      <c r="E7" s="391">
        <v>42457</v>
      </c>
      <c r="F7" s="392">
        <f>SUMIF(58:58,YEAR(E7)&amp;"-"&amp;MONTH(E7),59:59)</f>
        <v>99</v>
      </c>
      <c r="G7" s="391">
        <v>42449</v>
      </c>
      <c r="H7" s="390">
        <f>SUMIF(58:58,YEAR(G7)&amp;"-"&amp;MONTH(G7),59:59)</f>
        <v>99</v>
      </c>
      <c r="I7" s="391">
        <v>42488</v>
      </c>
      <c r="J7" s="390">
        <f>SUMIF(58:58,YEAR(I7)&amp;"-"&amp;MONTH(I7),59:59)</f>
        <v>99.5</v>
      </c>
      <c r="K7" s="2398"/>
      <c r="L7" s="1245"/>
      <c r="M7" s="1246"/>
      <c r="N7" s="1246"/>
      <c r="O7" s="1246"/>
      <c r="P7" s="3147" t="s">
        <v>2356</v>
      </c>
      <c r="Q7" s="3155"/>
      <c r="R7" s="749" t="s">
        <v>34</v>
      </c>
      <c r="S7" s="750">
        <f t="shared" ref="S7:S15" si="0">F7</f>
        <v>99</v>
      </c>
      <c r="T7" s="749" t="s">
        <v>34</v>
      </c>
      <c r="U7" s="750">
        <f t="shared" ref="U7:U15" si="1">H7</f>
        <v>99</v>
      </c>
      <c r="V7" s="749" t="s">
        <v>34</v>
      </c>
      <c r="W7" s="750">
        <f t="shared" ref="W7:W15" si="2">J7</f>
        <v>99.5</v>
      </c>
      <c r="X7" s="751"/>
      <c r="Y7" s="3147" t="s">
        <v>2356</v>
      </c>
      <c r="Z7" s="3148"/>
      <c r="AA7" s="752">
        <f>D7/F7</f>
        <v>1.0101010101010102</v>
      </c>
      <c r="AB7" s="752">
        <f>D7/H7</f>
        <v>1.0101010101010102</v>
      </c>
      <c r="AC7" s="752">
        <f>D7/J7</f>
        <v>1.0050251256281406</v>
      </c>
    </row>
    <row r="8" spans="1:29" s="35" customFormat="1" ht="15.75" thickBot="1">
      <c r="A8" s="387" t="s">
        <v>2357</v>
      </c>
      <c r="B8" s="388"/>
      <c r="C8" s="394" t="s">
        <v>2358</v>
      </c>
      <c r="D8" s="390">
        <v>100</v>
      </c>
      <c r="E8" s="394" t="s">
        <v>2358</v>
      </c>
      <c r="F8" s="392">
        <f>SUMIF(61:61,E8,62:62)-SUMIF(61:61,C8,62:62)+100</f>
        <v>100</v>
      </c>
      <c r="G8" s="394" t="s">
        <v>2358</v>
      </c>
      <c r="H8" s="390">
        <f>SUMIF(61:61,G8,62:62)-SUMIF(61:61,C8,62:62)+100</f>
        <v>100</v>
      </c>
      <c r="I8" s="394" t="s">
        <v>2358</v>
      </c>
      <c r="J8" s="390">
        <f>SUMIF(61:61,I8,62:62)-SUMIF(61:61,C8,62:62)+100</f>
        <v>100</v>
      </c>
      <c r="K8" s="2398"/>
      <c r="L8" s="1245"/>
      <c r="M8" s="1246"/>
      <c r="N8" s="1246"/>
      <c r="O8" s="1246"/>
      <c r="P8" s="3147" t="s">
        <v>2359</v>
      </c>
      <c r="Q8" s="3148"/>
      <c r="R8" s="749" t="s">
        <v>34</v>
      </c>
      <c r="S8" s="750">
        <f t="shared" si="0"/>
        <v>100</v>
      </c>
      <c r="T8" s="749" t="s">
        <v>34</v>
      </c>
      <c r="U8" s="750">
        <f t="shared" si="1"/>
        <v>100</v>
      </c>
      <c r="V8" s="749" t="s">
        <v>34</v>
      </c>
      <c r="W8" s="750">
        <f t="shared" si="2"/>
        <v>100</v>
      </c>
      <c r="X8" s="751"/>
      <c r="Y8" s="3147" t="s">
        <v>2359</v>
      </c>
      <c r="Z8" s="3148"/>
      <c r="AA8" s="752">
        <f t="shared" ref="AA8:AA46" si="3">D8/F8</f>
        <v>1</v>
      </c>
      <c r="AB8" s="752">
        <f t="shared" ref="AB8:AB46" si="4">D8/H8</f>
        <v>1</v>
      </c>
      <c r="AC8" s="752">
        <f t="shared" ref="AC8:AC46" si="5">D8/J8</f>
        <v>1</v>
      </c>
    </row>
    <row r="9" spans="1:29" s="35" customFormat="1">
      <c r="A9" s="395" t="s">
        <v>2360</v>
      </c>
      <c r="B9" s="28" t="s">
        <v>2361</v>
      </c>
      <c r="C9" s="2745" t="s">
        <v>2859</v>
      </c>
      <c r="D9" s="51">
        <v>100</v>
      </c>
      <c r="E9" s="2746" t="s">
        <v>2859</v>
      </c>
      <c r="F9" s="398">
        <f>SUMIF(63:63,E9,64:64)-SUMIF(63:63,C9,64:64)+100</f>
        <v>100</v>
      </c>
      <c r="G9" s="2746" t="s">
        <v>2859</v>
      </c>
      <c r="H9" s="51">
        <f>SUMIF(63:63,G9,64:64)-SUMIF(63:63,C9,64:64)+100</f>
        <v>100</v>
      </c>
      <c r="I9" s="2746" t="s">
        <v>2859</v>
      </c>
      <c r="J9" s="51">
        <f>SUMIF(63:63,I9,64:64)-SUMIF(63:63,C9,64:64)+100</f>
        <v>100</v>
      </c>
      <c r="K9" s="2398"/>
      <c r="L9" s="1245"/>
      <c r="M9" s="1246"/>
      <c r="N9" s="1246"/>
      <c r="O9" s="1246"/>
      <c r="P9" s="3156" t="s">
        <v>2362</v>
      </c>
      <c r="Q9" s="2732"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75" thickBot="1">
      <c r="A10" s="401"/>
      <c r="B10" s="2733" t="s">
        <v>2364</v>
      </c>
      <c r="C10" s="403" t="s">
        <v>2860</v>
      </c>
      <c r="D10" s="52">
        <v>100</v>
      </c>
      <c r="E10" s="404" t="s">
        <v>2865</v>
      </c>
      <c r="F10" s="405">
        <f>SUMIF(65:65,E10,66:66)-SUMIF(65:65,C10,66:66)+100</f>
        <v>101</v>
      </c>
      <c r="G10" s="403" t="s">
        <v>2860</v>
      </c>
      <c r="H10" s="52">
        <f>SUMIF(65:65,G10,66:66)-SUMIF(65:65,C10,66:66)+100</f>
        <v>100</v>
      </c>
      <c r="I10" s="403" t="s">
        <v>2860</v>
      </c>
      <c r="J10" s="52">
        <f>SUMIF(65:65,I10,66:66)-SUMIF(65:65,C10,66:66)+100</f>
        <v>100</v>
      </c>
      <c r="K10" s="406">
        <v>1</v>
      </c>
      <c r="L10" s="1248"/>
      <c r="M10" s="1249"/>
      <c r="N10" s="1249"/>
      <c r="O10" s="1249"/>
      <c r="P10" s="3156"/>
      <c r="Q10" s="2732" t="str">
        <f t="shared" si="6"/>
        <v>土地使用年限（年）</v>
      </c>
      <c r="R10" s="749" t="s">
        <v>25</v>
      </c>
      <c r="S10" s="750">
        <f t="shared" si="0"/>
        <v>101</v>
      </c>
      <c r="T10" s="749" t="s">
        <v>25</v>
      </c>
      <c r="U10" s="750">
        <f t="shared" si="1"/>
        <v>100</v>
      </c>
      <c r="V10" s="749" t="s">
        <v>25</v>
      </c>
      <c r="W10" s="750">
        <f t="shared" si="2"/>
        <v>100</v>
      </c>
      <c r="X10" s="751"/>
      <c r="Y10" s="2971"/>
      <c r="Z10" s="23" t="str">
        <f t="shared" si="7"/>
        <v>土地使用年限（年）</v>
      </c>
      <c r="AA10" s="752">
        <f t="shared" si="3"/>
        <v>0.99009900990099009</v>
      </c>
      <c r="AB10" s="752">
        <f t="shared" si="4"/>
        <v>1</v>
      </c>
      <c r="AC10" s="752">
        <f t="shared" si="5"/>
        <v>1</v>
      </c>
    </row>
    <row r="11" spans="1:29" ht="15.75" hidden="1" thickBot="1">
      <c r="A11" s="408"/>
      <c r="B11" s="2733" t="s">
        <v>2365</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156"/>
      <c r="Q11" s="2732" t="str">
        <f t="shared" si="6"/>
        <v>容积率</v>
      </c>
      <c r="R11" s="749" t="s">
        <v>28</v>
      </c>
      <c r="S11" s="750">
        <f t="shared" si="0"/>
        <v>100</v>
      </c>
      <c r="T11" s="749" t="s">
        <v>28</v>
      </c>
      <c r="U11" s="750">
        <f t="shared" si="1"/>
        <v>100</v>
      </c>
      <c r="V11" s="749" t="s">
        <v>28</v>
      </c>
      <c r="W11" s="750">
        <f t="shared" si="2"/>
        <v>100</v>
      </c>
      <c r="X11" s="751"/>
      <c r="Y11" s="2971"/>
      <c r="Z11" s="23" t="str">
        <f t="shared" si="7"/>
        <v>容积率</v>
      </c>
      <c r="AA11" s="752">
        <f t="shared" si="3"/>
        <v>1</v>
      </c>
      <c r="AB11" s="752">
        <f t="shared" si="4"/>
        <v>1</v>
      </c>
      <c r="AC11" s="752">
        <f t="shared" si="5"/>
        <v>1</v>
      </c>
    </row>
    <row r="12" spans="1:29" s="35" customFormat="1" ht="15.75" hidden="1" thickBo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156"/>
      <c r="Q12" s="2732">
        <f t="shared" si="6"/>
        <v>111</v>
      </c>
      <c r="R12" s="749" t="s">
        <v>28</v>
      </c>
      <c r="S12" s="750">
        <f t="shared" si="0"/>
        <v>100</v>
      </c>
      <c r="T12" s="749" t="s">
        <v>28</v>
      </c>
      <c r="U12" s="750">
        <f t="shared" si="1"/>
        <v>100</v>
      </c>
      <c r="V12" s="749" t="s">
        <v>28</v>
      </c>
      <c r="W12" s="750">
        <f t="shared" si="2"/>
        <v>100</v>
      </c>
      <c r="X12" s="751"/>
      <c r="Y12" s="2971"/>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156"/>
      <c r="Q13" s="2732">
        <f t="shared" si="6"/>
        <v>111</v>
      </c>
      <c r="R13" s="749" t="s">
        <v>28</v>
      </c>
      <c r="S13" s="750">
        <f t="shared" si="0"/>
        <v>100</v>
      </c>
      <c r="T13" s="749" t="s">
        <v>28</v>
      </c>
      <c r="U13" s="750">
        <f t="shared" si="1"/>
        <v>100</v>
      </c>
      <c r="V13" s="749" t="s">
        <v>28</v>
      </c>
      <c r="W13" s="750">
        <f t="shared" si="2"/>
        <v>100</v>
      </c>
      <c r="X13" s="751"/>
      <c r="Y13" s="297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156"/>
      <c r="Q14" s="2732">
        <f t="shared" si="6"/>
        <v>111</v>
      </c>
      <c r="R14" s="749" t="s">
        <v>28</v>
      </c>
      <c r="S14" s="750">
        <f t="shared" si="0"/>
        <v>100</v>
      </c>
      <c r="T14" s="749" t="s">
        <v>28</v>
      </c>
      <c r="U14" s="750">
        <f t="shared" si="1"/>
        <v>100</v>
      </c>
      <c r="V14" s="749" t="s">
        <v>28</v>
      </c>
      <c r="W14" s="750">
        <f t="shared" si="2"/>
        <v>100</v>
      </c>
      <c r="X14" s="751"/>
      <c r="Y14" s="2971"/>
      <c r="Z14" s="23">
        <f t="shared" si="7"/>
        <v>111</v>
      </c>
      <c r="AA14" s="752">
        <f t="shared" si="3"/>
        <v>1</v>
      </c>
      <c r="AB14" s="752">
        <f t="shared" si="4"/>
        <v>1</v>
      </c>
      <c r="AC14" s="752">
        <f t="shared" si="5"/>
        <v>1</v>
      </c>
    </row>
    <row r="15" spans="1:29" ht="99.75">
      <c r="A15" s="419" t="s">
        <v>2366</v>
      </c>
      <c r="B15" s="26" t="s">
        <v>1741</v>
      </c>
      <c r="C15" s="2403" t="str">
        <f>估价对象房地状况!C3</f>
        <v>估价对象周边有富力金禧花园、怡佳家园、摩卡空间、帅府园等住宅小区，综合评价居住社区成熟度较好。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134" t="s">
        <v>2367</v>
      </c>
      <c r="Q15" s="2735" t="str">
        <f t="shared" si="6"/>
        <v>居住社区成熟度</v>
      </c>
      <c r="R15" s="753" t="s">
        <v>28</v>
      </c>
      <c r="S15" s="754">
        <f t="shared" si="0"/>
        <v>100</v>
      </c>
      <c r="T15" s="753" t="s">
        <v>28</v>
      </c>
      <c r="U15" s="754">
        <f t="shared" si="1"/>
        <v>100</v>
      </c>
      <c r="V15" s="753" t="s">
        <v>28</v>
      </c>
      <c r="W15" s="754">
        <f t="shared" si="2"/>
        <v>100</v>
      </c>
      <c r="X15" s="2736"/>
      <c r="Y15" s="3136" t="s">
        <v>2367</v>
      </c>
      <c r="Z15" s="2737" t="str">
        <f t="shared" si="7"/>
        <v>居住社区成熟度</v>
      </c>
      <c r="AA15" s="2734">
        <f t="shared" si="3"/>
        <v>1</v>
      </c>
      <c r="AB15" s="2734">
        <f t="shared" si="4"/>
        <v>1</v>
      </c>
      <c r="AC15" s="273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135"/>
      <c r="Q16" s="2735"/>
      <c r="R16" s="753"/>
      <c r="S16" s="754"/>
      <c r="T16" s="753"/>
      <c r="U16" s="754"/>
      <c r="V16" s="753"/>
      <c r="W16" s="754"/>
      <c r="X16" s="2736"/>
      <c r="Y16" s="3137"/>
      <c r="Z16" s="2737"/>
      <c r="AA16" s="2734">
        <v>1</v>
      </c>
      <c r="AB16" s="2734">
        <v>1</v>
      </c>
      <c r="AC16" s="2734">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1</v>
      </c>
      <c r="L17" s="1253"/>
      <c r="M17" s="1244"/>
      <c r="N17" s="1244"/>
      <c r="O17" s="1244"/>
      <c r="P17" s="3135"/>
      <c r="Q17" s="2735" t="str">
        <f>B17</f>
        <v>交通便捷度</v>
      </c>
      <c r="R17" s="753" t="s">
        <v>28</v>
      </c>
      <c r="S17" s="754">
        <f>F17</f>
        <v>100</v>
      </c>
      <c r="T17" s="753" t="s">
        <v>28</v>
      </c>
      <c r="U17" s="754">
        <f>H17</f>
        <v>100</v>
      </c>
      <c r="V17" s="753" t="s">
        <v>28</v>
      </c>
      <c r="W17" s="754">
        <f>J17</f>
        <v>100</v>
      </c>
      <c r="X17" s="2736"/>
      <c r="Y17" s="3137"/>
      <c r="Z17" s="2737" t="str">
        <f>Q17</f>
        <v>交通便捷度</v>
      </c>
      <c r="AA17" s="2734">
        <f t="shared" si="3"/>
        <v>1</v>
      </c>
      <c r="AB17" s="2734">
        <f t="shared" si="4"/>
        <v>1</v>
      </c>
      <c r="AC17" s="2734">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135"/>
      <c r="Q18" s="2735"/>
      <c r="R18" s="753"/>
      <c r="S18" s="754"/>
      <c r="T18" s="753"/>
      <c r="U18" s="754"/>
      <c r="V18" s="753"/>
      <c r="W18" s="754"/>
      <c r="X18" s="2736"/>
      <c r="Y18" s="3137"/>
      <c r="Z18" s="2737"/>
      <c r="AA18" s="2734">
        <v>1</v>
      </c>
      <c r="AB18" s="2734">
        <v>1</v>
      </c>
      <c r="AC18" s="2734">
        <v>1</v>
      </c>
    </row>
    <row r="19" spans="1:29" ht="42.75">
      <c r="A19" s="408"/>
      <c r="B19" s="431" t="s">
        <v>1750</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424">
        <v>3</v>
      </c>
      <c r="L19" s="1253"/>
      <c r="M19" s="1244"/>
      <c r="N19" s="1244"/>
      <c r="O19" s="1244"/>
      <c r="P19" s="3135"/>
      <c r="Q19" s="2735" t="str">
        <f>B19</f>
        <v>公共配套设施</v>
      </c>
      <c r="R19" s="753" t="s">
        <v>28</v>
      </c>
      <c r="S19" s="754">
        <f>F19</f>
        <v>100</v>
      </c>
      <c r="T19" s="753" t="s">
        <v>28</v>
      </c>
      <c r="U19" s="754">
        <f>H19</f>
        <v>100</v>
      </c>
      <c r="V19" s="753" t="s">
        <v>28</v>
      </c>
      <c r="W19" s="754">
        <f>J19</f>
        <v>100</v>
      </c>
      <c r="X19" s="2736"/>
      <c r="Y19" s="3137"/>
      <c r="Z19" s="2737" t="str">
        <f>Q19</f>
        <v>公共配套设施</v>
      </c>
      <c r="AA19" s="2734">
        <f t="shared" si="3"/>
        <v>1</v>
      </c>
      <c r="AB19" s="2734">
        <f t="shared" si="4"/>
        <v>1</v>
      </c>
      <c r="AC19" s="2734">
        <f t="shared" si="5"/>
        <v>1</v>
      </c>
    </row>
    <row r="20" spans="1:29" ht="15">
      <c r="A20" s="408"/>
      <c r="B20" s="436"/>
      <c r="C20" s="426" t="s">
        <v>29</v>
      </c>
      <c r="D20" s="427"/>
      <c r="E20" s="428" t="s">
        <v>29</v>
      </c>
      <c r="F20" s="429"/>
      <c r="G20" s="2404" t="s">
        <v>29</v>
      </c>
      <c r="H20" s="427"/>
      <c r="I20" s="428" t="s">
        <v>29</v>
      </c>
      <c r="J20" s="427"/>
      <c r="K20" s="2405"/>
      <c r="L20" s="1253"/>
      <c r="M20" s="1244"/>
      <c r="N20" s="1244"/>
      <c r="O20" s="1244"/>
      <c r="P20" s="3135"/>
      <c r="Q20" s="2735"/>
      <c r="R20" s="753"/>
      <c r="S20" s="754"/>
      <c r="T20" s="753"/>
      <c r="U20" s="754"/>
      <c r="V20" s="753"/>
      <c r="W20" s="754"/>
      <c r="X20" s="2736"/>
      <c r="Y20" s="3137"/>
      <c r="Z20" s="2737"/>
      <c r="AA20" s="2734">
        <v>1</v>
      </c>
      <c r="AB20" s="2734">
        <v>1</v>
      </c>
      <c r="AC20" s="2734">
        <v>1</v>
      </c>
    </row>
    <row r="21" spans="1:29" ht="42.75">
      <c r="A21" s="408"/>
      <c r="B21" s="2408" t="s">
        <v>1753</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135"/>
      <c r="Q21" s="2735" t="str">
        <f>B21</f>
        <v>基础设施水平</v>
      </c>
      <c r="R21" s="753" t="s">
        <v>28</v>
      </c>
      <c r="S21" s="754">
        <f>F21</f>
        <v>100</v>
      </c>
      <c r="T21" s="753" t="s">
        <v>28</v>
      </c>
      <c r="U21" s="754">
        <f>H21</f>
        <v>100</v>
      </c>
      <c r="V21" s="753" t="s">
        <v>28</v>
      </c>
      <c r="W21" s="754">
        <f>J21</f>
        <v>100</v>
      </c>
      <c r="X21" s="2736"/>
      <c r="Y21" s="3137"/>
      <c r="Z21" s="2737" t="str">
        <f>Q21</f>
        <v>基础设施水平</v>
      </c>
      <c r="AA21" s="2734">
        <f t="shared" ref="AA21" si="8">D21/F21</f>
        <v>1</v>
      </c>
      <c r="AB21" s="2734">
        <f t="shared" ref="AB21" si="9">D21/H21</f>
        <v>1</v>
      </c>
      <c r="AC21" s="2734">
        <f t="shared" ref="AC21" si="10">D21/J21</f>
        <v>1</v>
      </c>
    </row>
    <row r="22" spans="1:29" ht="15">
      <c r="A22" s="408"/>
      <c r="B22" s="2408"/>
      <c r="C22" s="437" t="s">
        <v>2863</v>
      </c>
      <c r="D22" s="427"/>
      <c r="E22" s="426" t="s">
        <v>2863</v>
      </c>
      <c r="F22" s="429"/>
      <c r="G22" s="426" t="s">
        <v>2863</v>
      </c>
      <c r="H22" s="427"/>
      <c r="I22" s="426" t="s">
        <v>2863</v>
      </c>
      <c r="J22" s="427"/>
      <c r="K22" s="2409"/>
      <c r="L22" s="1253"/>
      <c r="M22" s="1244"/>
      <c r="N22" s="1244"/>
      <c r="O22" s="1244"/>
      <c r="P22" s="3135"/>
      <c r="Q22" s="2735"/>
      <c r="R22" s="753"/>
      <c r="S22" s="754"/>
      <c r="T22" s="753"/>
      <c r="U22" s="754"/>
      <c r="V22" s="753"/>
      <c r="W22" s="754"/>
      <c r="X22" s="2736"/>
      <c r="Y22" s="3137"/>
      <c r="Z22" s="2737"/>
      <c r="AA22" s="2734">
        <v>1</v>
      </c>
      <c r="AB22" s="2734">
        <v>1</v>
      </c>
      <c r="AC22" s="2734">
        <v>1</v>
      </c>
    </row>
    <row r="23" spans="1:29" ht="99.75">
      <c r="A23" s="408"/>
      <c r="B23" s="431" t="s">
        <v>1757</v>
      </c>
      <c r="C23" s="240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424">
        <v>1</v>
      </c>
      <c r="L23" s="1253"/>
      <c r="M23" s="1244"/>
      <c r="N23" s="1244"/>
      <c r="O23" s="1244"/>
      <c r="P23" s="3135"/>
      <c r="Q23" s="2735" t="str">
        <f>B23</f>
        <v>自然及人文环境</v>
      </c>
      <c r="R23" s="753" t="s">
        <v>28</v>
      </c>
      <c r="S23" s="754">
        <f>F23</f>
        <v>100</v>
      </c>
      <c r="T23" s="753" t="s">
        <v>28</v>
      </c>
      <c r="U23" s="754">
        <f>H23</f>
        <v>100</v>
      </c>
      <c r="V23" s="753" t="s">
        <v>28</v>
      </c>
      <c r="W23" s="754">
        <f>J23</f>
        <v>100</v>
      </c>
      <c r="X23" s="2736"/>
      <c r="Y23" s="3137"/>
      <c r="Z23" s="2737" t="str">
        <f>Q23</f>
        <v>自然及人文环境</v>
      </c>
      <c r="AA23" s="2734">
        <f t="shared" si="3"/>
        <v>1</v>
      </c>
      <c r="AB23" s="2734">
        <f t="shared" si="4"/>
        <v>1</v>
      </c>
      <c r="AC23" s="273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135"/>
      <c r="Q24" s="2735"/>
      <c r="R24" s="753"/>
      <c r="S24" s="754"/>
      <c r="T24" s="753"/>
      <c r="U24" s="754"/>
      <c r="V24" s="753"/>
      <c r="W24" s="754"/>
      <c r="X24" s="2736"/>
      <c r="Y24" s="3137"/>
      <c r="Z24" s="2737"/>
      <c r="AA24" s="2734">
        <v>1</v>
      </c>
      <c r="AB24" s="2734">
        <v>1</v>
      </c>
      <c r="AC24" s="2734">
        <v>1</v>
      </c>
    </row>
    <row r="25" spans="1:29" ht="15" hidden="1">
      <c r="A25" s="408"/>
      <c r="B25" s="2733"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135"/>
      <c r="Q25" s="2735" t="str">
        <f t="shared" ref="Q25:Q46" si="11">B25</f>
        <v>楼层-1</v>
      </c>
      <c r="R25" s="753" t="s">
        <v>28</v>
      </c>
      <c r="S25" s="754">
        <f>F25</f>
        <v>100</v>
      </c>
      <c r="T25" s="753" t="s">
        <v>28</v>
      </c>
      <c r="U25" s="754">
        <f>H25</f>
        <v>100</v>
      </c>
      <c r="V25" s="753" t="s">
        <v>28</v>
      </c>
      <c r="W25" s="754">
        <f>J25</f>
        <v>100</v>
      </c>
      <c r="X25" s="2736"/>
      <c r="Y25" s="3137"/>
      <c r="Z25" s="2737" t="str">
        <f>Q25</f>
        <v>楼层-1</v>
      </c>
      <c r="AA25" s="2734">
        <f t="shared" si="3"/>
        <v>1</v>
      </c>
      <c r="AB25" s="2734">
        <f t="shared" si="4"/>
        <v>1</v>
      </c>
      <c r="AC25" s="2734">
        <f t="shared" si="5"/>
        <v>1</v>
      </c>
    </row>
    <row r="26" spans="1:29" ht="15">
      <c r="A26" s="408"/>
      <c r="B26" s="2733" t="s">
        <v>2369</v>
      </c>
      <c r="C26" s="2773" t="s">
        <v>2951</v>
      </c>
      <c r="D26" s="415">
        <v>100</v>
      </c>
      <c r="E26" s="2742" t="s">
        <v>3120</v>
      </c>
      <c r="F26" s="442">
        <f>SUMIF(88:88,E26,89:89)-SUMIF(88:88,C26,89:89)+100</f>
        <v>98</v>
      </c>
      <c r="G26" s="2743" t="s">
        <v>2849</v>
      </c>
      <c r="H26" s="415">
        <f>SUMIF(88:88,G26,89:89)-SUMIF(88:88,C26,89:89)+100</f>
        <v>97</v>
      </c>
      <c r="I26" s="2742" t="s">
        <v>2849</v>
      </c>
      <c r="J26" s="415">
        <f>SUMIF(88:88,I26,89:89)-SUMIF(88:88,C26,89:89)+100</f>
        <v>97</v>
      </c>
      <c r="K26" s="406">
        <v>1</v>
      </c>
      <c r="L26" s="1253"/>
      <c r="M26" s="1244"/>
      <c r="N26" s="1244"/>
      <c r="O26" s="1244"/>
      <c r="P26" s="3135"/>
      <c r="Q26" s="2735" t="str">
        <f t="shared" si="11"/>
        <v>朝向</v>
      </c>
      <c r="R26" s="753" t="s">
        <v>28</v>
      </c>
      <c r="S26" s="754">
        <f>F26</f>
        <v>98</v>
      </c>
      <c r="T26" s="753" t="s">
        <v>28</v>
      </c>
      <c r="U26" s="754">
        <f>H26</f>
        <v>97</v>
      </c>
      <c r="V26" s="753" t="s">
        <v>28</v>
      </c>
      <c r="W26" s="754">
        <f>J26</f>
        <v>97</v>
      </c>
      <c r="X26" s="2736"/>
      <c r="Y26" s="3137"/>
      <c r="Z26" s="2737" t="str">
        <f>Q26</f>
        <v>朝向</v>
      </c>
      <c r="AA26" s="2734">
        <f t="shared" si="3"/>
        <v>1.0204081632653061</v>
      </c>
      <c r="AB26" s="2734">
        <f t="shared" si="4"/>
        <v>1.0309278350515463</v>
      </c>
      <c r="AC26" s="2734">
        <f t="shared" si="5"/>
        <v>1.0309278350515463</v>
      </c>
    </row>
    <row r="27" spans="1:29" s="35" customFormat="1" ht="27">
      <c r="A27" s="411"/>
      <c r="B27" s="2399" t="s">
        <v>2370</v>
      </c>
      <c r="C27" s="2747" t="s">
        <v>2867</v>
      </c>
      <c r="D27" s="443">
        <v>100</v>
      </c>
      <c r="E27" s="2747" t="s">
        <v>3121</v>
      </c>
      <c r="F27" s="445">
        <f>SUMIF(90:90,E27,91:91)-SUMIF(90:90,C27,91:91)+100</f>
        <v>100</v>
      </c>
      <c r="G27" s="2747" t="s">
        <v>2866</v>
      </c>
      <c r="H27" s="443">
        <f>SUMIF(90:90,G27,91:91)-SUMIF(90:90,C27,91:91)+100</f>
        <v>100</v>
      </c>
      <c r="I27" s="2747" t="s">
        <v>3122</v>
      </c>
      <c r="J27" s="443">
        <f>SUMIF(90:90,I27,91:91)-SUMIF(90:90,C27,91:91)+100</f>
        <v>99</v>
      </c>
      <c r="K27" s="2400"/>
      <c r="L27" s="1245"/>
      <c r="M27" s="1246"/>
      <c r="N27" s="1246"/>
      <c r="O27" s="1246"/>
      <c r="P27" s="3135"/>
      <c r="Q27" s="2732" t="str">
        <f t="shared" si="11"/>
        <v>道路级别</v>
      </c>
      <c r="R27" s="749" t="s">
        <v>28</v>
      </c>
      <c r="S27" s="750">
        <f>F27</f>
        <v>100</v>
      </c>
      <c r="T27" s="749" t="s">
        <v>28</v>
      </c>
      <c r="U27" s="750">
        <f>H27</f>
        <v>100</v>
      </c>
      <c r="V27" s="749" t="s">
        <v>28</v>
      </c>
      <c r="W27" s="750">
        <f>J27</f>
        <v>99</v>
      </c>
      <c r="X27" s="751"/>
      <c r="Y27" s="3137"/>
      <c r="Z27" s="23" t="str">
        <f>Q27</f>
        <v>道路级别</v>
      </c>
      <c r="AA27" s="2734">
        <f>D27/F27</f>
        <v>1</v>
      </c>
      <c r="AB27" s="2734">
        <f>D27/H27</f>
        <v>1</v>
      </c>
      <c r="AC27" s="2734">
        <f>D27/J27</f>
        <v>1.0101010101010102</v>
      </c>
    </row>
    <row r="28" spans="1:29" ht="15.75" thickBot="1">
      <c r="A28" s="408"/>
      <c r="B28" s="2740" t="s">
        <v>2844</v>
      </c>
      <c r="C28" s="414" t="s">
        <v>2868</v>
      </c>
      <c r="D28" s="415">
        <v>100</v>
      </c>
      <c r="E28" s="414" t="s">
        <v>3123</v>
      </c>
      <c r="F28" s="442">
        <f>SUMIF(92:92,E28,93:93)-SUMIF(92:92,C28,93:93)+100</f>
        <v>102</v>
      </c>
      <c r="G28" s="414" t="s">
        <v>3124</v>
      </c>
      <c r="H28" s="415">
        <f>SUMIF(92:92,G28,93:93)-SUMIF(92:92,C28,93:93)+100</f>
        <v>100</v>
      </c>
      <c r="I28" s="414" t="s">
        <v>3125</v>
      </c>
      <c r="J28" s="415">
        <f>SUMIF(92:92,I28,93:93)-SUMIF(92:92,C28,93:93)+100</f>
        <v>100</v>
      </c>
      <c r="K28" s="2400"/>
      <c r="L28" s="1253"/>
      <c r="M28" s="1244"/>
      <c r="N28" s="1244"/>
      <c r="O28" s="1244"/>
      <c r="P28" s="3135"/>
      <c r="Q28" s="2735" t="str">
        <f t="shared" si="11"/>
        <v>楼层</v>
      </c>
      <c r="R28" s="753" t="s">
        <v>28</v>
      </c>
      <c r="S28" s="754">
        <f t="shared" ref="S28:S46" si="12">F28</f>
        <v>102</v>
      </c>
      <c r="T28" s="753" t="s">
        <v>28</v>
      </c>
      <c r="U28" s="754">
        <f t="shared" ref="U28:U46" si="13">H28</f>
        <v>100</v>
      </c>
      <c r="V28" s="753" t="s">
        <v>28</v>
      </c>
      <c r="W28" s="754">
        <f t="shared" ref="W28:W46" si="14">J28</f>
        <v>100</v>
      </c>
      <c r="X28" s="2736"/>
      <c r="Y28" s="3137"/>
      <c r="Z28" s="2737" t="str">
        <f t="shared" ref="Z28:Z46" si="15">Q28</f>
        <v>楼层</v>
      </c>
      <c r="AA28" s="2734">
        <f t="shared" si="3"/>
        <v>0.98039215686274506</v>
      </c>
      <c r="AB28" s="2734">
        <f t="shared" si="4"/>
        <v>1</v>
      </c>
      <c r="AC28" s="2734">
        <f t="shared" si="5"/>
        <v>1</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135"/>
      <c r="Q29" s="2735">
        <f t="shared" si="11"/>
        <v>111</v>
      </c>
      <c r="R29" s="753" t="s">
        <v>28</v>
      </c>
      <c r="S29" s="754">
        <f t="shared" si="12"/>
        <v>100</v>
      </c>
      <c r="T29" s="753" t="s">
        <v>28</v>
      </c>
      <c r="U29" s="754">
        <f t="shared" si="13"/>
        <v>100</v>
      </c>
      <c r="V29" s="753" t="s">
        <v>28</v>
      </c>
      <c r="W29" s="754">
        <f t="shared" si="14"/>
        <v>100</v>
      </c>
      <c r="X29" s="2736"/>
      <c r="Y29" s="3137"/>
      <c r="Z29" s="2737">
        <f t="shared" si="15"/>
        <v>111</v>
      </c>
      <c r="AA29" s="2734">
        <f t="shared" si="3"/>
        <v>1</v>
      </c>
      <c r="AB29" s="2734">
        <f t="shared" si="4"/>
        <v>1</v>
      </c>
      <c r="AC29" s="273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135"/>
      <c r="Q30" s="2735">
        <f t="shared" si="11"/>
        <v>111</v>
      </c>
      <c r="R30" s="753" t="s">
        <v>28</v>
      </c>
      <c r="S30" s="754">
        <f t="shared" si="12"/>
        <v>100</v>
      </c>
      <c r="T30" s="753" t="s">
        <v>28</v>
      </c>
      <c r="U30" s="754">
        <f t="shared" si="13"/>
        <v>100</v>
      </c>
      <c r="V30" s="753" t="s">
        <v>28</v>
      </c>
      <c r="W30" s="754">
        <f t="shared" si="14"/>
        <v>100</v>
      </c>
      <c r="X30" s="2736"/>
      <c r="Y30" s="3137"/>
      <c r="Z30" s="2737">
        <f t="shared" si="15"/>
        <v>111</v>
      </c>
      <c r="AA30" s="2734">
        <f t="shared" si="3"/>
        <v>1</v>
      </c>
      <c r="AB30" s="2734">
        <f t="shared" si="4"/>
        <v>1</v>
      </c>
      <c r="AC30" s="273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135"/>
      <c r="Q31" s="2735">
        <f t="shared" si="11"/>
        <v>111</v>
      </c>
      <c r="R31" s="753" t="s">
        <v>28</v>
      </c>
      <c r="S31" s="754">
        <f t="shared" si="12"/>
        <v>100</v>
      </c>
      <c r="T31" s="753" t="s">
        <v>28</v>
      </c>
      <c r="U31" s="754">
        <f t="shared" si="13"/>
        <v>100</v>
      </c>
      <c r="V31" s="753" t="s">
        <v>28</v>
      </c>
      <c r="W31" s="754">
        <f t="shared" si="14"/>
        <v>100</v>
      </c>
      <c r="X31" s="2736"/>
      <c r="Y31" s="3137"/>
      <c r="Z31" s="2737">
        <f t="shared" si="15"/>
        <v>111</v>
      </c>
      <c r="AA31" s="2734">
        <f t="shared" si="3"/>
        <v>1</v>
      </c>
      <c r="AB31" s="2734">
        <f t="shared" si="4"/>
        <v>1</v>
      </c>
      <c r="AC31" s="2734">
        <f t="shared" si="5"/>
        <v>1</v>
      </c>
    </row>
    <row r="32" spans="1:29" ht="15">
      <c r="A32" s="419" t="s">
        <v>2371</v>
      </c>
      <c r="B32" s="28" t="s">
        <v>2372</v>
      </c>
      <c r="C32" s="2744" t="s">
        <v>2870</v>
      </c>
      <c r="D32" s="448">
        <v>100</v>
      </c>
      <c r="E32" s="2741" t="s">
        <v>2853</v>
      </c>
      <c r="F32" s="442">
        <f>SUMIF(100:100,E32,101:101)-SUMIF(100:100,C32,101:101)+100</f>
        <v>99</v>
      </c>
      <c r="G32" s="2744" t="s">
        <v>2853</v>
      </c>
      <c r="H32" s="448">
        <f>SUMIF(100:100,G32,101:101)-SUMIF(100:100,C32,101:101)+100</f>
        <v>99</v>
      </c>
      <c r="I32" s="2744" t="s">
        <v>2856</v>
      </c>
      <c r="J32" s="415">
        <f>SUMIF(100:100,I32,101:101)-SUMIF(100:100,C32,101:101)+100</f>
        <v>100</v>
      </c>
      <c r="K32" s="406">
        <v>1</v>
      </c>
      <c r="L32" s="1253"/>
      <c r="M32" s="1244"/>
      <c r="N32" s="1244"/>
      <c r="O32" s="1244"/>
      <c r="P32" s="3138" t="s">
        <v>2373</v>
      </c>
      <c r="Q32" s="2735" t="str">
        <f t="shared" si="11"/>
        <v>建筑类型</v>
      </c>
      <c r="R32" s="753" t="s">
        <v>28</v>
      </c>
      <c r="S32" s="754">
        <f t="shared" si="12"/>
        <v>99</v>
      </c>
      <c r="T32" s="753" t="s">
        <v>28</v>
      </c>
      <c r="U32" s="754">
        <f t="shared" si="13"/>
        <v>99</v>
      </c>
      <c r="V32" s="753" t="s">
        <v>28</v>
      </c>
      <c r="W32" s="754">
        <f t="shared" si="14"/>
        <v>100</v>
      </c>
      <c r="X32" s="2736"/>
      <c r="Y32" s="3141" t="s">
        <v>2373</v>
      </c>
      <c r="Z32" s="2737" t="str">
        <f t="shared" si="15"/>
        <v>建筑类型</v>
      </c>
      <c r="AA32" s="2734">
        <f t="shared" si="3"/>
        <v>1.0101010101010102</v>
      </c>
      <c r="AB32" s="2734">
        <f t="shared" si="4"/>
        <v>1.0101010101010102</v>
      </c>
      <c r="AC32" s="2734">
        <f t="shared" si="5"/>
        <v>1</v>
      </c>
    </row>
    <row r="33" spans="1:29" s="452" customFormat="1" ht="15">
      <c r="A33" s="449"/>
      <c r="B33" s="2733" t="s">
        <v>2374</v>
      </c>
      <c r="C33" s="450">
        <v>189.28</v>
      </c>
      <c r="D33" s="52">
        <v>100</v>
      </c>
      <c r="E33" s="410">
        <v>96.74</v>
      </c>
      <c r="F33" s="405">
        <f>LOOKUP(E33,103:103,104:104)-LOOKUP(C33,103:103,104:104)+100</f>
        <v>102</v>
      </c>
      <c r="G33" s="409">
        <v>53.82</v>
      </c>
      <c r="H33" s="52">
        <f>LOOKUP(G33,103:103,104:104)-LOOKUP(C33,103:103,104:104)+100</f>
        <v>103</v>
      </c>
      <c r="I33" s="410">
        <v>56.62</v>
      </c>
      <c r="J33" s="52">
        <f>LOOKUP(I33,103:103,104:104)-LOOKUP(C33,103:103,104:104)+100</f>
        <v>103</v>
      </c>
      <c r="K33" s="2400"/>
      <c r="L33" s="1251"/>
      <c r="M33" s="1254"/>
      <c r="N33" s="1254"/>
      <c r="O33" s="1254"/>
      <c r="P33" s="3139"/>
      <c r="Q33" s="755" t="str">
        <f t="shared" si="11"/>
        <v>项目建筑规模</v>
      </c>
      <c r="R33" s="756" t="s">
        <v>28</v>
      </c>
      <c r="S33" s="757">
        <f t="shared" si="12"/>
        <v>102</v>
      </c>
      <c r="T33" s="756" t="s">
        <v>28</v>
      </c>
      <c r="U33" s="757">
        <f t="shared" si="13"/>
        <v>103</v>
      </c>
      <c r="V33" s="756" t="s">
        <v>28</v>
      </c>
      <c r="W33" s="757">
        <f t="shared" si="14"/>
        <v>103</v>
      </c>
      <c r="X33" s="758"/>
      <c r="Y33" s="3141"/>
      <c r="Z33" s="759" t="str">
        <f t="shared" si="15"/>
        <v>项目建筑规模</v>
      </c>
      <c r="AA33" s="2734">
        <f t="shared" si="3"/>
        <v>0.98039215686274506</v>
      </c>
      <c r="AB33" s="2734">
        <f t="shared" si="4"/>
        <v>0.970873786407767</v>
      </c>
      <c r="AC33" s="2734">
        <f t="shared" si="5"/>
        <v>0.970873786407767</v>
      </c>
    </row>
    <row r="34" spans="1:29" ht="15">
      <c r="A34" s="453"/>
      <c r="B34" s="2733" t="s">
        <v>2375</v>
      </c>
      <c r="C34" s="2749" t="s">
        <v>2872</v>
      </c>
      <c r="D34" s="415">
        <v>100</v>
      </c>
      <c r="E34" s="2749" t="s">
        <v>2872</v>
      </c>
      <c r="F34" s="442">
        <f>SUMIF(105:105,E34,106:106)-SUMIF(105:105,C34,106:106)+100</f>
        <v>100</v>
      </c>
      <c r="G34" s="2749" t="s">
        <v>2872</v>
      </c>
      <c r="H34" s="415">
        <f>SUMIF(105:105,G34,106:106)-SUMIF(105:105,C34,106:106)+100</f>
        <v>100</v>
      </c>
      <c r="I34" s="2749" t="s">
        <v>2872</v>
      </c>
      <c r="J34" s="415">
        <f>SUMIF(105:105,I34,106:106)-SUMIF(105:105,C34,106:106)+100</f>
        <v>100</v>
      </c>
      <c r="K34" s="406"/>
      <c r="L34" s="1253"/>
      <c r="M34" s="1244"/>
      <c r="N34" s="1244"/>
      <c r="O34" s="1244"/>
      <c r="P34" s="3139"/>
      <c r="Q34" s="2735" t="str">
        <f t="shared" si="11"/>
        <v>建筑结构</v>
      </c>
      <c r="R34" s="753" t="s">
        <v>28</v>
      </c>
      <c r="S34" s="754">
        <f t="shared" si="12"/>
        <v>100</v>
      </c>
      <c r="T34" s="753" t="s">
        <v>28</v>
      </c>
      <c r="U34" s="754">
        <f t="shared" si="13"/>
        <v>100</v>
      </c>
      <c r="V34" s="753" t="s">
        <v>28</v>
      </c>
      <c r="W34" s="754">
        <f t="shared" si="14"/>
        <v>100</v>
      </c>
      <c r="X34" s="2736"/>
      <c r="Y34" s="3141"/>
      <c r="Z34" s="2737" t="str">
        <f t="shared" si="15"/>
        <v>建筑结构</v>
      </c>
      <c r="AA34" s="2734">
        <f t="shared" si="3"/>
        <v>1</v>
      </c>
      <c r="AB34" s="2734">
        <f t="shared" si="4"/>
        <v>1</v>
      </c>
      <c r="AC34" s="2734">
        <f t="shared" si="5"/>
        <v>1</v>
      </c>
    </row>
    <row r="35" spans="1:29" ht="15" hidden="1">
      <c r="A35" s="453"/>
      <c r="B35" s="2733"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139"/>
      <c r="Q35" s="2735" t="str">
        <f t="shared" si="11"/>
        <v>建筑品质</v>
      </c>
      <c r="R35" s="753" t="s">
        <v>28</v>
      </c>
      <c r="S35" s="754">
        <f t="shared" si="12"/>
        <v>100</v>
      </c>
      <c r="T35" s="753" t="s">
        <v>28</v>
      </c>
      <c r="U35" s="754">
        <f t="shared" si="13"/>
        <v>100</v>
      </c>
      <c r="V35" s="753" t="s">
        <v>28</v>
      </c>
      <c r="W35" s="754">
        <f t="shared" si="14"/>
        <v>100</v>
      </c>
      <c r="X35" s="2736"/>
      <c r="Y35" s="3141"/>
      <c r="Z35" s="2737" t="str">
        <f t="shared" si="15"/>
        <v>建筑品质</v>
      </c>
      <c r="AA35" s="2734">
        <f t="shared" si="3"/>
        <v>1</v>
      </c>
      <c r="AB35" s="2734">
        <f t="shared" si="4"/>
        <v>1</v>
      </c>
      <c r="AC35" s="2734">
        <f t="shared" si="5"/>
        <v>1</v>
      </c>
    </row>
    <row r="36" spans="1:29" ht="15" hidden="1">
      <c r="A36" s="453"/>
      <c r="B36" s="2733"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139"/>
      <c r="Q36" s="2735" t="str">
        <f t="shared" si="11"/>
        <v>公共部分装修</v>
      </c>
      <c r="R36" s="753" t="s">
        <v>28</v>
      </c>
      <c r="S36" s="754">
        <f t="shared" si="12"/>
        <v>100</v>
      </c>
      <c r="T36" s="753" t="s">
        <v>28</v>
      </c>
      <c r="U36" s="754">
        <f t="shared" si="13"/>
        <v>100</v>
      </c>
      <c r="V36" s="753" t="s">
        <v>28</v>
      </c>
      <c r="W36" s="754">
        <f t="shared" si="14"/>
        <v>100</v>
      </c>
      <c r="X36" s="2736"/>
      <c r="Y36" s="3141"/>
      <c r="Z36" s="2737" t="str">
        <f t="shared" si="15"/>
        <v>公共部分装修</v>
      </c>
      <c r="AA36" s="2734">
        <f t="shared" si="3"/>
        <v>1</v>
      </c>
      <c r="AB36" s="2734">
        <f t="shared" si="4"/>
        <v>1</v>
      </c>
      <c r="AC36" s="2734">
        <f t="shared" si="5"/>
        <v>1</v>
      </c>
    </row>
    <row r="37" spans="1:29" s="35" customFormat="1" ht="15" hidden="1">
      <c r="A37" s="454"/>
      <c r="B37" s="2733" t="s">
        <v>2378</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139"/>
      <c r="Q37" s="2732" t="str">
        <f t="shared" si="11"/>
        <v>成新度</v>
      </c>
      <c r="R37" s="749" t="s">
        <v>28</v>
      </c>
      <c r="S37" s="750">
        <f t="shared" si="12"/>
        <v>100</v>
      </c>
      <c r="T37" s="749" t="s">
        <v>28</v>
      </c>
      <c r="U37" s="750">
        <f t="shared" si="13"/>
        <v>100</v>
      </c>
      <c r="V37" s="749" t="s">
        <v>28</v>
      </c>
      <c r="W37" s="750">
        <f t="shared" si="14"/>
        <v>100</v>
      </c>
      <c r="X37" s="751"/>
      <c r="Y37" s="3141"/>
      <c r="Z37" s="23" t="str">
        <f t="shared" si="15"/>
        <v>成新度</v>
      </c>
      <c r="AA37" s="752">
        <f t="shared" si="3"/>
        <v>1</v>
      </c>
      <c r="AB37" s="752">
        <f t="shared" si="4"/>
        <v>1</v>
      </c>
      <c r="AC37" s="752">
        <f t="shared" si="5"/>
        <v>1</v>
      </c>
    </row>
    <row r="38" spans="1:29" ht="15">
      <c r="A38" s="453"/>
      <c r="B38" s="2733" t="s">
        <v>2379</v>
      </c>
      <c r="C38" s="2743" t="s">
        <v>3101</v>
      </c>
      <c r="D38" s="415">
        <v>100</v>
      </c>
      <c r="E38" s="2743" t="s">
        <v>3101</v>
      </c>
      <c r="F38" s="442">
        <f>SUMIF(114:114,E38,115:115)-SUMIF(114:114,C38,115:115)+100</f>
        <v>100</v>
      </c>
      <c r="G38" s="2743" t="s">
        <v>3101</v>
      </c>
      <c r="H38" s="415">
        <f>SUMIF(114:114,G38,115:115)-SUMIF(114:114,C38,115:115)+100</f>
        <v>100</v>
      </c>
      <c r="I38" s="2743" t="s">
        <v>3101</v>
      </c>
      <c r="J38" s="415">
        <f>SUMIF(114:114,I38,115:115)-SUMIF(114:114,C38,115:115)+100</f>
        <v>100</v>
      </c>
      <c r="K38" s="406"/>
      <c r="L38" s="1253"/>
      <c r="M38" s="1244"/>
      <c r="N38" s="1244"/>
      <c r="O38" s="1244"/>
      <c r="P38" s="3139" t="s">
        <v>2373</v>
      </c>
      <c r="Q38" s="2735" t="str">
        <f t="shared" si="11"/>
        <v>物业管理</v>
      </c>
      <c r="R38" s="753" t="s">
        <v>28</v>
      </c>
      <c r="S38" s="754">
        <f t="shared" si="12"/>
        <v>100</v>
      </c>
      <c r="T38" s="753" t="s">
        <v>28</v>
      </c>
      <c r="U38" s="754">
        <f t="shared" si="13"/>
        <v>100</v>
      </c>
      <c r="V38" s="753" t="s">
        <v>28</v>
      </c>
      <c r="W38" s="754">
        <f t="shared" si="14"/>
        <v>100</v>
      </c>
      <c r="X38" s="2736"/>
      <c r="Y38" s="3141" t="s">
        <v>2373</v>
      </c>
      <c r="Z38" s="2737" t="str">
        <f t="shared" si="15"/>
        <v>物业管理</v>
      </c>
      <c r="AA38" s="2734">
        <f t="shared" si="3"/>
        <v>1</v>
      </c>
      <c r="AB38" s="2734">
        <f t="shared" si="4"/>
        <v>1</v>
      </c>
      <c r="AC38" s="2734">
        <f t="shared" si="5"/>
        <v>1</v>
      </c>
    </row>
    <row r="39" spans="1:29" ht="15">
      <c r="A39" s="453"/>
      <c r="B39" s="2733" t="s">
        <v>2380</v>
      </c>
      <c r="C39" s="2743" t="s">
        <v>3099</v>
      </c>
      <c r="D39" s="415">
        <v>100</v>
      </c>
      <c r="E39" s="2743" t="s">
        <v>3099</v>
      </c>
      <c r="F39" s="442">
        <f>SUMIF(116:116,E39,117:117)-SUMIF(116:116,C39,117:117)+100</f>
        <v>100</v>
      </c>
      <c r="G39" s="2743" t="s">
        <v>3099</v>
      </c>
      <c r="H39" s="415">
        <f>SUMIF(116:116,G39,117:117)-SUMIF(116:116,C39,117:117)+100</f>
        <v>100</v>
      </c>
      <c r="I39" s="2743" t="s">
        <v>3099</v>
      </c>
      <c r="J39" s="415">
        <f>SUMIF(116:116,I39,117:117)-SUMIF(116:116,C39,117:117)+100</f>
        <v>100</v>
      </c>
      <c r="K39" s="406"/>
      <c r="L39" s="1253"/>
      <c r="M39" s="1244"/>
      <c r="N39" s="1244"/>
      <c r="O39" s="1244"/>
      <c r="P39" s="3139"/>
      <c r="Q39" s="2735" t="str">
        <f t="shared" si="11"/>
        <v>市政基础设施</v>
      </c>
      <c r="R39" s="753" t="s">
        <v>28</v>
      </c>
      <c r="S39" s="754">
        <f t="shared" si="12"/>
        <v>100</v>
      </c>
      <c r="T39" s="753" t="s">
        <v>28</v>
      </c>
      <c r="U39" s="754">
        <f t="shared" si="13"/>
        <v>100</v>
      </c>
      <c r="V39" s="753" t="s">
        <v>28</v>
      </c>
      <c r="W39" s="754">
        <f t="shared" si="14"/>
        <v>100</v>
      </c>
      <c r="X39" s="2736"/>
      <c r="Y39" s="3141"/>
      <c r="Z39" s="2737" t="str">
        <f t="shared" si="15"/>
        <v>市政基础设施</v>
      </c>
      <c r="AA39" s="2734">
        <f t="shared" si="3"/>
        <v>1</v>
      </c>
      <c r="AB39" s="2734">
        <f t="shared" si="4"/>
        <v>1</v>
      </c>
      <c r="AC39" s="2734">
        <f t="shared" si="5"/>
        <v>1</v>
      </c>
    </row>
    <row r="40" spans="1:29" ht="15">
      <c r="A40" s="453"/>
      <c r="B40" s="2733" t="s">
        <v>2381</v>
      </c>
      <c r="C40" s="2743" t="s">
        <v>3100</v>
      </c>
      <c r="D40" s="415">
        <v>100</v>
      </c>
      <c r="E40" s="2743" t="s">
        <v>3100</v>
      </c>
      <c r="F40" s="442">
        <f>SUMIF(118:118,E40,119:119)-SUMIF(118:118,C40,119:119)+100</f>
        <v>100</v>
      </c>
      <c r="G40" s="2743" t="s">
        <v>3100</v>
      </c>
      <c r="H40" s="415">
        <f>SUMIF(118:118,G40,119:119)-SUMIF(118:118,C40,119:119)+100</f>
        <v>100</v>
      </c>
      <c r="I40" s="2743" t="s">
        <v>3100</v>
      </c>
      <c r="J40" s="415">
        <f>SUMIF(118:118,I40,119:119)-SUMIF(118:118,C40,119:119)+100</f>
        <v>100</v>
      </c>
      <c r="K40" s="406"/>
      <c r="L40" s="1253"/>
      <c r="M40" s="1244"/>
      <c r="N40" s="1244"/>
      <c r="O40" s="1244"/>
      <c r="P40" s="3139"/>
      <c r="Q40" s="2735" t="str">
        <f t="shared" si="11"/>
        <v>房型</v>
      </c>
      <c r="R40" s="753" t="s">
        <v>28</v>
      </c>
      <c r="S40" s="754">
        <f t="shared" si="12"/>
        <v>100</v>
      </c>
      <c r="T40" s="753" t="s">
        <v>28</v>
      </c>
      <c r="U40" s="754">
        <f t="shared" si="13"/>
        <v>100</v>
      </c>
      <c r="V40" s="753" t="s">
        <v>28</v>
      </c>
      <c r="W40" s="754">
        <f t="shared" si="14"/>
        <v>100</v>
      </c>
      <c r="X40" s="2736"/>
      <c r="Y40" s="3141"/>
      <c r="Z40" s="2737" t="str">
        <f t="shared" si="15"/>
        <v>房型</v>
      </c>
      <c r="AA40" s="2734">
        <f t="shared" si="3"/>
        <v>1</v>
      </c>
      <c r="AB40" s="2734">
        <f t="shared" si="4"/>
        <v>1</v>
      </c>
      <c r="AC40" s="2734">
        <f t="shared" si="5"/>
        <v>1</v>
      </c>
    </row>
    <row r="41" spans="1:29" s="452" customFormat="1" ht="28.5" hidden="1">
      <c r="A41" s="449"/>
      <c r="B41" s="2733"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139"/>
      <c r="Q41" s="755" t="str">
        <f t="shared" si="11"/>
        <v>单套/主力户型建筑面积</v>
      </c>
      <c r="R41" s="756" t="s">
        <v>28</v>
      </c>
      <c r="S41" s="757">
        <f t="shared" si="12"/>
        <v>100</v>
      </c>
      <c r="T41" s="756" t="s">
        <v>28</v>
      </c>
      <c r="U41" s="757">
        <f t="shared" si="13"/>
        <v>100</v>
      </c>
      <c r="V41" s="756" t="s">
        <v>28</v>
      </c>
      <c r="W41" s="757">
        <f t="shared" si="14"/>
        <v>100</v>
      </c>
      <c r="X41" s="758"/>
      <c r="Y41" s="3141"/>
      <c r="Z41" s="759" t="str">
        <f t="shared" si="15"/>
        <v>单套/主力户型建筑面积</v>
      </c>
      <c r="AA41" s="2734">
        <f t="shared" si="3"/>
        <v>1</v>
      </c>
      <c r="AB41" s="2734">
        <f t="shared" si="4"/>
        <v>1</v>
      </c>
      <c r="AC41" s="2734">
        <f t="shared" si="5"/>
        <v>1</v>
      </c>
    </row>
    <row r="42" spans="1:29" ht="15">
      <c r="A42" s="453"/>
      <c r="B42" s="2733" t="s">
        <v>2383</v>
      </c>
      <c r="C42" s="2411" t="s">
        <v>2847</v>
      </c>
      <c r="D42" s="415">
        <v>100</v>
      </c>
      <c r="E42" s="2742" t="s">
        <v>2848</v>
      </c>
      <c r="F42" s="442">
        <f>SUMIF(122:122,E42,123:123)-SUMIF(122:122,C42,123:123)+100</f>
        <v>100</v>
      </c>
      <c r="G42" s="2742" t="s">
        <v>2848</v>
      </c>
      <c r="H42" s="415">
        <f>SUMIF(122:122,G42,123:123)-SUMIF(122:122,C42,123:123)+100</f>
        <v>100</v>
      </c>
      <c r="I42" s="2410" t="s">
        <v>2847</v>
      </c>
      <c r="J42" s="415">
        <f>SUMIF(122:122,I42,123:123)-SUMIF(122:122,C42,123:123)+100</f>
        <v>100</v>
      </c>
      <c r="K42" s="406"/>
      <c r="L42" s="1253"/>
      <c r="M42" s="1244"/>
      <c r="N42" s="1244"/>
      <c r="O42" s="1244"/>
      <c r="P42" s="3139"/>
      <c r="Q42" s="2735" t="str">
        <f t="shared" si="11"/>
        <v>内部装修</v>
      </c>
      <c r="R42" s="753" t="s">
        <v>28</v>
      </c>
      <c r="S42" s="754">
        <f t="shared" si="12"/>
        <v>100</v>
      </c>
      <c r="T42" s="753" t="s">
        <v>28</v>
      </c>
      <c r="U42" s="754">
        <f t="shared" si="13"/>
        <v>100</v>
      </c>
      <c r="V42" s="753" t="s">
        <v>28</v>
      </c>
      <c r="W42" s="754">
        <f t="shared" si="14"/>
        <v>100</v>
      </c>
      <c r="X42" s="2736"/>
      <c r="Y42" s="3141"/>
      <c r="Z42" s="2737" t="str">
        <f t="shared" si="15"/>
        <v>内部装修</v>
      </c>
      <c r="AA42" s="2734">
        <f t="shared" si="3"/>
        <v>1</v>
      </c>
      <c r="AB42" s="2734">
        <f t="shared" si="4"/>
        <v>1</v>
      </c>
      <c r="AC42" s="2734">
        <f t="shared" si="5"/>
        <v>1</v>
      </c>
    </row>
    <row r="43" spans="1:29" ht="15">
      <c r="A43" s="453"/>
      <c r="B43" s="2733" t="s">
        <v>2384</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139"/>
      <c r="Q43" s="2735" t="str">
        <f t="shared" si="11"/>
        <v>内部装修维护情况</v>
      </c>
      <c r="R43" s="753" t="s">
        <v>28</v>
      </c>
      <c r="S43" s="754">
        <f t="shared" si="12"/>
        <v>100</v>
      </c>
      <c r="T43" s="753" t="s">
        <v>28</v>
      </c>
      <c r="U43" s="754">
        <f t="shared" si="13"/>
        <v>100</v>
      </c>
      <c r="V43" s="753" t="s">
        <v>28</v>
      </c>
      <c r="W43" s="754">
        <f t="shared" si="14"/>
        <v>100</v>
      </c>
      <c r="X43" s="2736"/>
      <c r="Y43" s="3141"/>
      <c r="Z43" s="2737" t="str">
        <f t="shared" si="15"/>
        <v>内部装修维护情况</v>
      </c>
      <c r="AA43" s="2734">
        <f t="shared" si="3"/>
        <v>1</v>
      </c>
      <c r="AB43" s="2734">
        <f t="shared" si="4"/>
        <v>1</v>
      </c>
      <c r="AC43" s="2734">
        <f t="shared" si="5"/>
        <v>1</v>
      </c>
    </row>
    <row r="44" spans="1:29" s="35" customFormat="1" ht="15.75" thickBot="1">
      <c r="A44" s="454"/>
      <c r="B44" s="2740" t="s">
        <v>2855</v>
      </c>
      <c r="C44" s="450">
        <v>2012</v>
      </c>
      <c r="D44" s="52">
        <v>100</v>
      </c>
      <c r="E44" s="450">
        <v>2009</v>
      </c>
      <c r="F44" s="405">
        <f>SUMIF(126:126,E44,127:127)-SUMIF(126:126,C44,127:127)+100</f>
        <v>99.4</v>
      </c>
      <c r="G44" s="450">
        <v>2005</v>
      </c>
      <c r="H44" s="52">
        <f>SUMIF(126:126,G44,127:127)-SUMIF(126:126,C44,127:127)+100</f>
        <v>98.600000000000009</v>
      </c>
      <c r="I44" s="450">
        <v>2003</v>
      </c>
      <c r="J44" s="52">
        <f>SUMIF(126:126,I44,127:127)-SUMIF(126:126,C44,127:127)+100</f>
        <v>98.2</v>
      </c>
      <c r="K44" s="2400"/>
      <c r="L44" s="1245"/>
      <c r="M44" s="1246"/>
      <c r="N44" s="1246"/>
      <c r="O44" s="1246"/>
      <c r="P44" s="3139"/>
      <c r="Q44" s="2732" t="str">
        <f t="shared" si="11"/>
        <v>建成年代</v>
      </c>
      <c r="R44" s="749" t="s">
        <v>28</v>
      </c>
      <c r="S44" s="750">
        <f t="shared" si="12"/>
        <v>99.4</v>
      </c>
      <c r="T44" s="749" t="s">
        <v>28</v>
      </c>
      <c r="U44" s="750">
        <f t="shared" si="13"/>
        <v>98.600000000000009</v>
      </c>
      <c r="V44" s="749" t="s">
        <v>28</v>
      </c>
      <c r="W44" s="750">
        <f t="shared" si="14"/>
        <v>98.2</v>
      </c>
      <c r="X44" s="751"/>
      <c r="Y44" s="3141"/>
      <c r="Z44" s="23" t="str">
        <f t="shared" si="15"/>
        <v>建成年代</v>
      </c>
      <c r="AA44" s="752">
        <f t="shared" si="3"/>
        <v>1.0060362173038229</v>
      </c>
      <c r="AB44" s="752">
        <f t="shared" si="4"/>
        <v>1.0141987829614603</v>
      </c>
      <c r="AC44" s="752">
        <f t="shared" si="5"/>
        <v>1.0183299389002036</v>
      </c>
    </row>
    <row r="45" spans="1:29" ht="15.75" hidden="1" thickBot="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139"/>
      <c r="Q45" s="2735">
        <f t="shared" si="11"/>
        <v>111</v>
      </c>
      <c r="R45" s="753" t="s">
        <v>28</v>
      </c>
      <c r="S45" s="754">
        <f t="shared" si="12"/>
        <v>100</v>
      </c>
      <c r="T45" s="753" t="s">
        <v>28</v>
      </c>
      <c r="U45" s="754">
        <f t="shared" si="13"/>
        <v>100</v>
      </c>
      <c r="V45" s="753" t="s">
        <v>28</v>
      </c>
      <c r="W45" s="754">
        <f t="shared" si="14"/>
        <v>100</v>
      </c>
      <c r="X45" s="2736"/>
      <c r="Y45" s="3141"/>
      <c r="Z45" s="2737">
        <f t="shared" si="15"/>
        <v>111</v>
      </c>
      <c r="AA45" s="2734">
        <f t="shared" si="3"/>
        <v>1</v>
      </c>
      <c r="AB45" s="2734">
        <f t="shared" si="4"/>
        <v>1</v>
      </c>
      <c r="AC45" s="273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140"/>
      <c r="Q46" s="2735">
        <f t="shared" si="11"/>
        <v>111</v>
      </c>
      <c r="R46" s="753" t="s">
        <v>27</v>
      </c>
      <c r="S46" s="754">
        <f t="shared" si="12"/>
        <v>100</v>
      </c>
      <c r="T46" s="753" t="s">
        <v>27</v>
      </c>
      <c r="U46" s="754">
        <f t="shared" si="13"/>
        <v>100</v>
      </c>
      <c r="V46" s="753" t="s">
        <v>27</v>
      </c>
      <c r="W46" s="754">
        <f t="shared" si="14"/>
        <v>100</v>
      </c>
      <c r="X46" s="2736"/>
      <c r="Y46" s="3142"/>
      <c r="Z46" s="2737">
        <f t="shared" si="15"/>
        <v>111</v>
      </c>
      <c r="AA46" s="2734">
        <f t="shared" si="3"/>
        <v>1</v>
      </c>
      <c r="AB46" s="2734">
        <f t="shared" si="4"/>
        <v>1</v>
      </c>
      <c r="AC46" s="2734">
        <f t="shared" si="5"/>
        <v>1</v>
      </c>
    </row>
    <row r="47" spans="1:29" ht="15">
      <c r="A47" s="460" t="s">
        <v>2385</v>
      </c>
      <c r="B47" s="461"/>
      <c r="C47" s="1502" t="s">
        <v>26</v>
      </c>
      <c r="D47" s="1503"/>
      <c r="E47" s="1504">
        <v>39901</v>
      </c>
      <c r="F47" s="1505"/>
      <c r="G47" s="1506">
        <v>39019</v>
      </c>
      <c r="H47" s="1507"/>
      <c r="I47" s="1504">
        <v>37443</v>
      </c>
      <c r="J47" s="1507"/>
      <c r="K47" s="2416"/>
      <c r="L47" s="1256"/>
      <c r="M47" s="1257"/>
      <c r="N47" s="1244"/>
      <c r="O47" s="1257"/>
      <c r="P47" s="3133" t="str">
        <f>A47</f>
        <v>成交单价（元/平方米）</v>
      </c>
      <c r="Q47" s="3133"/>
      <c r="R47" s="3129">
        <f>E47</f>
        <v>39901</v>
      </c>
      <c r="S47" s="3129"/>
      <c r="T47" s="3129">
        <f>G47</f>
        <v>39019</v>
      </c>
      <c r="U47" s="3129"/>
      <c r="V47" s="3129">
        <f>I47</f>
        <v>37443</v>
      </c>
      <c r="W47" s="3129"/>
      <c r="X47" s="738"/>
      <c r="Y47" s="760"/>
      <c r="Z47" s="738"/>
      <c r="AA47" s="738"/>
      <c r="AB47" s="738"/>
      <c r="AC47" s="738"/>
    </row>
    <row r="48" spans="1:29" ht="15.75" thickBot="1">
      <c r="A48" s="467" t="s">
        <v>2386</v>
      </c>
      <c r="B48" s="468"/>
      <c r="C48" s="1508">
        <f>R49</f>
        <v>39643</v>
      </c>
      <c r="D48" s="1509"/>
      <c r="E48" s="1510">
        <f>R48</f>
        <v>39772</v>
      </c>
      <c r="F48" s="1510"/>
      <c r="G48" s="1508">
        <f>T48</f>
        <v>40413</v>
      </c>
      <c r="H48" s="1509"/>
      <c r="I48" s="1510">
        <f>V48</f>
        <v>38743</v>
      </c>
      <c r="J48" s="1509"/>
      <c r="K48" s="2417"/>
      <c r="L48" s="1256"/>
      <c r="M48" s="1257"/>
      <c r="N48" s="1257"/>
      <c r="O48" s="1257"/>
      <c r="P48" s="3133" t="str">
        <f>A48</f>
        <v>比较价值（元/平方米）</v>
      </c>
      <c r="Q48" s="3133"/>
      <c r="R48" s="3129">
        <f>IF(E1="售价",ROUND(PRODUCT(R47,AA7:AA46),0),ROUND(PRODUCT(R47,AA7:AA46),1))</f>
        <v>39772</v>
      </c>
      <c r="S48" s="3129"/>
      <c r="T48" s="3127">
        <f>IF(E1="售价",ROUND(PRODUCT(T47,AB7:AB46),0),ROUND(PRODUCT(T47,AB7:AB46),1))</f>
        <v>40413</v>
      </c>
      <c r="U48" s="3128"/>
      <c r="V48" s="3129">
        <f>IF(E1="售价",ROUND(PRODUCT(V47,AC7:AC46),0),ROUND(PRODUCT(V47,AC7:AC46),1))</f>
        <v>38743</v>
      </c>
      <c r="W48" s="3129"/>
      <c r="X48" s="738"/>
      <c r="Y48" s="738"/>
      <c r="Z48" s="738"/>
      <c r="AA48" s="738"/>
      <c r="AB48" s="738"/>
      <c r="AC48" s="738"/>
    </row>
    <row r="49" spans="1:29" ht="15.75" thickBot="1">
      <c r="A49" s="473" t="s">
        <v>2387</v>
      </c>
      <c r="B49" s="474"/>
      <c r="C49" s="1511">
        <f>R49</f>
        <v>39643</v>
      </c>
      <c r="D49" s="1512"/>
      <c r="E49" s="1512"/>
      <c r="F49" s="1512"/>
      <c r="G49" s="1512"/>
      <c r="H49" s="1512"/>
      <c r="I49" s="1512"/>
      <c r="J49" s="1512"/>
      <c r="K49" s="2418"/>
      <c r="L49" s="1256"/>
      <c r="M49" s="1257"/>
      <c r="N49" s="1257"/>
      <c r="O49" s="1257"/>
      <c r="P49" s="3130" t="str">
        <f>A49</f>
        <v>估价对象XX用房的比较价值（楼面单价，元/平方米）</v>
      </c>
      <c r="Q49" s="3131"/>
      <c r="R49" s="3132">
        <f>IF(E1="售价",ROUND(AVERAGE(R48:V48),0),ROUND(AVERAGE(R48:V48),1))</f>
        <v>39643</v>
      </c>
      <c r="S49" s="3132"/>
      <c r="T49" s="3132"/>
      <c r="U49" s="3132"/>
      <c r="V49" s="3132"/>
      <c r="W49" s="31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3.2434878809213252E-3</v>
      </c>
      <c r="F52" s="481" t="str">
        <f>IF(OR(E52&gt;=0.3,E52&lt;=-0.3),"超过30%","")</f>
        <v/>
      </c>
      <c r="G52" s="480">
        <f>IF(G47&lt;G48,G48/G47-1,G47/G48-1)</f>
        <v>3.5726184679258921E-2</v>
      </c>
      <c r="H52" s="481" t="str">
        <f>IF(OR(G52&gt;=0.3,G52&lt;=-0.3),"超过30%","")</f>
        <v/>
      </c>
      <c r="I52" s="480">
        <f>IF(I47&lt;I48,I48/I47-1,I47/I48-1)</f>
        <v>3.471944021579465E-2</v>
      </c>
      <c r="J52" s="481" t="str">
        <f>IF(OR(I52&gt;=0.3,I52&lt;=-0.3),"超过30%","")</f>
        <v/>
      </c>
      <c r="K52" s="1262"/>
      <c r="L52" s="1258"/>
      <c r="M52" s="1257"/>
      <c r="N52" s="1257"/>
      <c r="O52" s="1257"/>
    </row>
    <row r="53" spans="1:29" ht="13.5" customHeight="1">
      <c r="A53" s="1257"/>
      <c r="B53" s="1257"/>
      <c r="C53" s="478" t="s">
        <v>2389</v>
      </c>
      <c r="D53" s="482"/>
      <c r="E53" s="480">
        <f>IF(E48&lt;G48,G48/E48-1,E48/G48-1)</f>
        <v>1.6116866136980823E-2</v>
      </c>
      <c r="F53" s="481" t="str">
        <f>IF(OR(E53&gt;=0.2,E53&lt;=-0.2),"超过20%","")</f>
        <v/>
      </c>
      <c r="G53" s="480">
        <f>IF(G48&lt;I48,I48/G48-1,G48/I48-1)</f>
        <v>4.3104560823890692E-2</v>
      </c>
      <c r="H53" s="481" t="str">
        <f>IF(OR(G53&gt;=0.2,G53&lt;=-0.2),"超过20%","")</f>
        <v/>
      </c>
      <c r="I53" s="480">
        <f>IF(I48&lt;E48,E48/I48-1,I48/E48-1)</f>
        <v>2.6559636579511103E-2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2.2604372228914205E-2</v>
      </c>
      <c r="F54" s="481" t="str">
        <f>IF(OR(E54&gt;=0.3,E54&lt;=-0.3),"超过30%","")</f>
        <v/>
      </c>
      <c r="G54" s="480">
        <f>IF(G47&lt;I47,I47/G47-1,G47/I47-1)</f>
        <v>4.2090644446225012E-2</v>
      </c>
      <c r="H54" s="481" t="str">
        <f>IF(OR(G54&gt;=0.3,G54&lt;=-0.3),"超过30%","")</f>
        <v/>
      </c>
      <c r="I54" s="480">
        <f>IF(I47&lt;E47,E47/I47-1,I47/E47-1)</f>
        <v>6.5646449269556317E-2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v>99.5</v>
      </c>
      <c r="E59" s="493">
        <v>99</v>
      </c>
      <c r="F59" s="493">
        <v>98.5</v>
      </c>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2395</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5"/>
      <c r="Q66" s="485"/>
    </row>
    <row r="67" spans="1:17" ht="15.75" thickTop="1">
      <c r="A67" s="516"/>
      <c r="B67" s="529" t="s">
        <v>2365</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8"/>
      <c r="O81" s="1268"/>
      <c r="P81" s="2425"/>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5"/>
      <c r="Q85" s="485"/>
    </row>
    <row r="86" spans="1:17" s="35" customFormat="1" ht="15.75" thickTop="1">
      <c r="A86" s="563"/>
      <c r="B86" s="521" t="s">
        <v>2418</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2419</v>
      </c>
      <c r="C88" s="2750" t="s">
        <v>2873</v>
      </c>
      <c r="D88" s="2751" t="s">
        <v>2874</v>
      </c>
      <c r="E88" s="2751" t="s">
        <v>2875</v>
      </c>
      <c r="F88" s="2750" t="s">
        <v>2876</v>
      </c>
      <c r="G88" s="2750" t="s">
        <v>2877</v>
      </c>
      <c r="H88" s="2750" t="s">
        <v>2878</v>
      </c>
      <c r="I88" s="2750" t="s">
        <v>2879</v>
      </c>
      <c r="J88" s="2750" t="s">
        <v>2880</v>
      </c>
      <c r="K88" s="2750" t="s">
        <v>2881</v>
      </c>
      <c r="L88" s="2752" t="s">
        <v>2882</v>
      </c>
      <c r="M88" s="565"/>
      <c r="N88" s="1266"/>
      <c r="O88" s="1266"/>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5"/>
      <c r="Q89" s="485"/>
    </row>
    <row r="90" spans="1:17" s="452" customFormat="1" ht="27.75" thickTop="1">
      <c r="A90" s="536"/>
      <c r="B90" s="521" t="str">
        <f>B27</f>
        <v>道路级别</v>
      </c>
      <c r="C90" s="2747" t="s">
        <v>2867</v>
      </c>
      <c r="D90" s="2747" t="s">
        <v>2864</v>
      </c>
      <c r="E90" s="2747" t="s">
        <v>2866</v>
      </c>
      <c r="F90" s="2747" t="s">
        <v>3121</v>
      </c>
      <c r="G90" s="2747" t="s">
        <v>3122</v>
      </c>
      <c r="H90" s="538"/>
      <c r="I90" s="538"/>
      <c r="J90" s="538"/>
      <c r="K90" s="538"/>
      <c r="L90" s="539"/>
      <c r="M90" s="540"/>
      <c r="N90" s="1269"/>
      <c r="O90" s="1269"/>
      <c r="P90" s="2426"/>
      <c r="Q90" s="543"/>
    </row>
    <row r="91" spans="1:17" s="452" customFormat="1" ht="15.75" thickBot="1">
      <c r="A91" s="536"/>
      <c r="B91" s="526"/>
      <c r="C91" s="544">
        <v>100</v>
      </c>
      <c r="D91" s="544">
        <v>98</v>
      </c>
      <c r="E91" s="544">
        <v>100</v>
      </c>
      <c r="F91" s="544">
        <v>100</v>
      </c>
      <c r="G91" s="544">
        <v>99</v>
      </c>
      <c r="H91" s="546"/>
      <c r="I91" s="546"/>
      <c r="J91" s="546"/>
      <c r="K91" s="546"/>
      <c r="L91" s="546"/>
      <c r="M91" s="547"/>
      <c r="N91" s="1269"/>
      <c r="O91" s="1269"/>
      <c r="P91" s="2426"/>
      <c r="Q91" s="543"/>
    </row>
    <row r="92" spans="1:17" ht="15.75" thickTop="1">
      <c r="A92" s="516"/>
      <c r="B92" s="521" t="str">
        <f>B28</f>
        <v>楼层</v>
      </c>
      <c r="C92" s="414" t="s">
        <v>2868</v>
      </c>
      <c r="D92" s="414" t="s">
        <v>3123</v>
      </c>
      <c r="E92" s="414" t="s">
        <v>3124</v>
      </c>
      <c r="F92" s="414" t="s">
        <v>3125</v>
      </c>
      <c r="G92" s="567"/>
      <c r="H92" s="567"/>
      <c r="I92" s="567"/>
      <c r="J92" s="567"/>
      <c r="K92" s="568"/>
      <c r="L92" s="569"/>
      <c r="M92" s="570"/>
      <c r="N92" s="1267"/>
      <c r="O92" s="1267"/>
      <c r="P92" s="2425"/>
      <c r="Q92" s="485"/>
    </row>
    <row r="93" spans="1:17" ht="15.75" thickBot="1">
      <c r="A93" s="516"/>
      <c r="B93" s="526"/>
      <c r="C93" s="544">
        <v>100</v>
      </c>
      <c r="D93" s="518">
        <v>102</v>
      </c>
      <c r="E93" s="518">
        <v>100</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2371</v>
      </c>
      <c r="B100" s="509" t="s">
        <v>2420</v>
      </c>
      <c r="C100" s="2748" t="s">
        <v>2870</v>
      </c>
      <c r="D100" s="2748" t="s">
        <v>2854</v>
      </c>
      <c r="E100" s="2748" t="s">
        <v>2871</v>
      </c>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5"/>
      <c r="Q101" s="485"/>
    </row>
    <row r="102" spans="1:17" ht="15.75" thickTop="1">
      <c r="A102" s="516"/>
      <c r="B102" s="521" t="s">
        <v>2421</v>
      </c>
      <c r="C102" s="562" t="str">
        <f>C103&amp;"(含)"&amp;"-"&amp;D103</f>
        <v>1(含)-60</v>
      </c>
      <c r="D102" s="562" t="str">
        <f t="shared" ref="D102:L102" si="23">D103&amp;"(含)"&amp;"-"&amp;E103</f>
        <v>60(含)-100</v>
      </c>
      <c r="E102" s="562" t="str">
        <f t="shared" si="23"/>
        <v>100(含)-150</v>
      </c>
      <c r="F102" s="562" t="str">
        <f t="shared" si="23"/>
        <v>150(含)-200</v>
      </c>
      <c r="G102" s="562" t="str">
        <f t="shared" si="23"/>
        <v>200(含)-200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60</v>
      </c>
      <c r="E103" s="579">
        <v>100</v>
      </c>
      <c r="F103" s="579">
        <v>150</v>
      </c>
      <c r="G103" s="579">
        <v>200</v>
      </c>
      <c r="H103" s="579">
        <v>200</v>
      </c>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6"/>
      <c r="Q104" s="543"/>
    </row>
    <row r="105" spans="1:17" ht="15" thickTop="1">
      <c r="A105" s="583"/>
      <c r="B105" s="521" t="s">
        <v>2422</v>
      </c>
      <c r="C105" s="2750" t="s">
        <v>2883</v>
      </c>
      <c r="D105" s="2750" t="s">
        <v>2884</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2423</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2424</v>
      </c>
      <c r="C109" s="2750" t="s">
        <v>2885</v>
      </c>
      <c r="D109" s="2750" t="s">
        <v>2886</v>
      </c>
      <c r="E109" s="2750" t="s">
        <v>2887</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2426</v>
      </c>
      <c r="C114" s="2753" t="s">
        <v>2888</v>
      </c>
      <c r="D114" s="2750" t="s">
        <v>2889</v>
      </c>
      <c r="E114" s="2750" t="s">
        <v>2890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2428</v>
      </c>
      <c r="C118" s="2754" t="s">
        <v>2891</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2429</v>
      </c>
      <c r="C122" s="2750" t="s">
        <v>2885</v>
      </c>
      <c r="D122" s="2750" t="s">
        <v>2886</v>
      </c>
      <c r="E122" s="2750" t="s">
        <v>2887</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2003</v>
      </c>
      <c r="D126" s="537">
        <v>2004</v>
      </c>
      <c r="E126" s="537">
        <v>2005</v>
      </c>
      <c r="F126" s="537">
        <v>2006</v>
      </c>
      <c r="G126" s="537">
        <v>2007</v>
      </c>
      <c r="H126" s="537">
        <v>2008</v>
      </c>
      <c r="I126" s="537">
        <v>2009</v>
      </c>
      <c r="J126" s="537">
        <v>2010</v>
      </c>
      <c r="K126" s="538">
        <v>2011</v>
      </c>
      <c r="L126" s="539">
        <v>2012</v>
      </c>
      <c r="M126" s="540">
        <v>2013</v>
      </c>
      <c r="N126" s="1269"/>
      <c r="O126" s="1269"/>
      <c r="P126" s="2426"/>
      <c r="Q126" s="543"/>
    </row>
    <row r="127" spans="1:17" s="452" customFormat="1" ht="15.75" thickBot="1">
      <c r="A127" s="536"/>
      <c r="B127" s="526"/>
      <c r="C127" s="544">
        <v>100</v>
      </c>
      <c r="D127" s="518">
        <v>100.2</v>
      </c>
      <c r="E127" s="518">
        <v>100.4</v>
      </c>
      <c r="F127" s="518">
        <v>100.6</v>
      </c>
      <c r="G127" s="544">
        <v>100.8</v>
      </c>
      <c r="H127" s="518">
        <v>101</v>
      </c>
      <c r="I127" s="518">
        <v>101.2</v>
      </c>
      <c r="J127" s="518">
        <v>101.4</v>
      </c>
      <c r="K127" s="544">
        <v>101.6</v>
      </c>
      <c r="L127" s="518">
        <v>101.8</v>
      </c>
      <c r="M127" s="518">
        <v>102</v>
      </c>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5">
        <v>6</v>
      </c>
      <c r="C139" s="1133">
        <v>96</v>
      </c>
      <c r="D139" s="2443" t="s">
        <v>2440</v>
      </c>
      <c r="E139" s="1134">
        <v>100</v>
      </c>
      <c r="F139" s="1135">
        <v>102.5</v>
      </c>
      <c r="G139" s="2443" t="s">
        <v>2440</v>
      </c>
      <c r="H139" s="1136">
        <v>105</v>
      </c>
      <c r="I139" s="2444" t="s">
        <v>2441</v>
      </c>
      <c r="J139" s="1133">
        <v>20</v>
      </c>
      <c r="K139" s="1127">
        <f>C145/(J139-2)</f>
        <v>4.0555555555555553E-3</v>
      </c>
    </row>
    <row r="140" spans="1:17" ht="15">
      <c r="B140" s="1126">
        <v>5</v>
      </c>
      <c r="C140" s="1137">
        <v>100</v>
      </c>
      <c r="D140" s="1137"/>
      <c r="E140" s="1138"/>
      <c r="F140" s="1139">
        <v>102</v>
      </c>
      <c r="G140" s="1137"/>
      <c r="H140" s="1140"/>
      <c r="I140" s="2445" t="s">
        <v>2442</v>
      </c>
      <c r="J140" s="217">
        <f>ROUNDUP((J139-1)/2,0)</f>
        <v>10</v>
      </c>
      <c r="K140" s="1128">
        <v>100</v>
      </c>
    </row>
    <row r="141" spans="1:17" ht="15">
      <c r="B141" s="1126">
        <v>4</v>
      </c>
      <c r="C141" s="1137">
        <v>102</v>
      </c>
      <c r="D141" s="1137"/>
      <c r="E141" s="1138"/>
      <c r="F141" s="1139">
        <v>101.5</v>
      </c>
      <c r="G141" s="1137"/>
      <c r="H141" s="1140"/>
      <c r="I141" s="2445" t="s">
        <v>2443</v>
      </c>
      <c r="J141" s="217">
        <v>1</v>
      </c>
      <c r="K141" s="1129">
        <f>ROUND(100+(J141-J140)*K139*100,1)</f>
        <v>96.4</v>
      </c>
    </row>
    <row r="142" spans="1:17" ht="15">
      <c r="B142" s="1126">
        <v>3</v>
      </c>
      <c r="C142" s="1137">
        <v>103</v>
      </c>
      <c r="D142" s="1137"/>
      <c r="E142" s="1138"/>
      <c r="F142" s="1139">
        <v>101</v>
      </c>
      <c r="G142" s="1137"/>
      <c r="H142" s="1140"/>
      <c r="I142" s="2445" t="s">
        <v>2444</v>
      </c>
      <c r="J142" s="217">
        <f>J139</f>
        <v>20</v>
      </c>
      <c r="K142" s="1142">
        <v>95</v>
      </c>
    </row>
    <row r="143" spans="1:17" ht="15">
      <c r="B143" s="1126">
        <v>2</v>
      </c>
      <c r="C143" s="1137">
        <v>100</v>
      </c>
      <c r="D143" s="1137"/>
      <c r="E143" s="1138"/>
      <c r="F143" s="1139">
        <v>100.5</v>
      </c>
      <c r="G143" s="1137"/>
      <c r="H143" s="1140"/>
      <c r="I143" s="2445" t="s">
        <v>2445</v>
      </c>
      <c r="J143" s="1137">
        <v>15</v>
      </c>
      <c r="K143" s="1129">
        <f>ROUND(100+(J143-J140)*K139*100,1)</f>
        <v>102</v>
      </c>
    </row>
    <row r="144" spans="1:17" ht="15">
      <c r="B144" s="1126">
        <v>1</v>
      </c>
      <c r="C144" s="1137">
        <v>98</v>
      </c>
      <c r="D144" s="2446" t="s">
        <v>2446</v>
      </c>
      <c r="E144" s="1138">
        <v>102</v>
      </c>
      <c r="F144" s="1141">
        <v>100</v>
      </c>
      <c r="G144" s="2446" t="s">
        <v>2446</v>
      </c>
      <c r="H144" s="1140">
        <v>105</v>
      </c>
      <c r="I144" s="2445" t="s">
        <v>2445</v>
      </c>
      <c r="J144" s="1137">
        <v>18</v>
      </c>
      <c r="K144" s="1129">
        <f>ROUND(100+(J144-J140)*K139*100,1)</f>
        <v>103.2</v>
      </c>
    </row>
    <row r="145" spans="2:11" ht="15.75" thickBot="1">
      <c r="B145" s="2447" t="s">
        <v>2447</v>
      </c>
      <c r="C145" s="1131">
        <f>ROUND(MAX(C139:C144)/MIN(C139:C144)-1,3)</f>
        <v>7.2999999999999995E-2</v>
      </c>
      <c r="D145" s="1132"/>
      <c r="E145" s="1132"/>
      <c r="F145" s="2448" t="s">
        <v>2448</v>
      </c>
      <c r="G145" s="2449"/>
      <c r="H145" s="2450"/>
      <c r="I145" s="2451" t="s">
        <v>2445</v>
      </c>
      <c r="J145" s="1143">
        <v>8</v>
      </c>
      <c r="K145" s="1130">
        <f>ROUND(100+(J145-J140)*K139*100,1)</f>
        <v>99.2</v>
      </c>
    </row>
    <row r="147" spans="2:11">
      <c r="B147" s="2432" t="s">
        <v>2449</v>
      </c>
    </row>
    <row r="148" spans="2:11">
      <c r="B148" s="2432" t="s">
        <v>2450</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dimension ref="A1:P45"/>
  <sheetViews>
    <sheetView view="pageBreakPreview" topLeftCell="A25" zoomScale="130" zoomScaleNormal="100" zoomScaleSheetLayoutView="130" workbookViewId="0">
      <selection activeCell="D41" sqref="D41:E41"/>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08" t="s">
        <v>3081</v>
      </c>
      <c r="B1" s="3208"/>
      <c r="C1" s="3208"/>
      <c r="D1" s="3208"/>
      <c r="E1" s="3208"/>
      <c r="F1" s="3208"/>
      <c r="G1" s="3208"/>
      <c r="H1" s="3208"/>
      <c r="I1" s="3208"/>
      <c r="K1" s="3220" t="s">
        <v>3080</v>
      </c>
      <c r="L1" s="2835" t="s">
        <v>3079</v>
      </c>
      <c r="M1" s="2845">
        <v>0</v>
      </c>
      <c r="N1" s="2844"/>
      <c r="O1" s="2844"/>
    </row>
    <row r="2" spans="1:16" ht="15.75" customHeight="1">
      <c r="A2" s="2807" t="s">
        <v>3078</v>
      </c>
      <c r="B2" s="2843" t="s">
        <v>3077</v>
      </c>
      <c r="C2" s="3181" t="s">
        <v>3076</v>
      </c>
      <c r="D2" s="3182"/>
      <c r="E2" s="3182"/>
      <c r="F2" s="3183"/>
      <c r="G2" s="2803" t="s">
        <v>3075</v>
      </c>
      <c r="H2" s="3210" t="s">
        <v>3074</v>
      </c>
      <c r="I2" s="3210"/>
      <c r="K2" s="3220"/>
      <c r="L2" s="2835" t="s">
        <v>3073</v>
      </c>
      <c r="M2" s="2840" t="s">
        <v>3072</v>
      </c>
      <c r="N2" s="2833"/>
      <c r="O2" s="2833"/>
    </row>
    <row r="3" spans="1:16">
      <c r="A3" s="2805" t="s">
        <v>3071</v>
      </c>
      <c r="B3" s="2801" t="s">
        <v>3070</v>
      </c>
      <c r="C3" s="3181">
        <f ca="1">估算结果一览表!G12</f>
        <v>53209405.800000012</v>
      </c>
      <c r="D3" s="3182"/>
      <c r="E3" s="3182"/>
      <c r="F3" s="3183"/>
      <c r="G3" s="2805" t="s">
        <v>3069</v>
      </c>
      <c r="H3" s="2842" t="s">
        <v>3068</v>
      </c>
      <c r="I3" s="2841">
        <f>估算结果一览表!D12</f>
        <v>1703.52</v>
      </c>
      <c r="K3" s="3220"/>
      <c r="L3" s="2835" t="s">
        <v>3067</v>
      </c>
      <c r="M3" s="2840" t="s">
        <v>3066</v>
      </c>
      <c r="N3" s="2833"/>
      <c r="O3" s="2839"/>
    </row>
    <row r="4" spans="1:16">
      <c r="A4" s="3207" t="s">
        <v>3065</v>
      </c>
      <c r="B4" s="3211" t="s">
        <v>3064</v>
      </c>
      <c r="C4" s="3184">
        <f ca="1">ROUND(C3*(I4-I6)/(1-((1+I6)/(1+I4))^I5),0)</f>
        <v>1296059</v>
      </c>
      <c r="D4" s="3185"/>
      <c r="E4" s="3185"/>
      <c r="F4" s="3186"/>
      <c r="G4" s="3207" t="s">
        <v>3063</v>
      </c>
      <c r="H4" s="2838" t="s">
        <v>3062</v>
      </c>
      <c r="I4" s="2832">
        <f>'数据-取费表'!B17</f>
        <v>4.4999999999999998E-2</v>
      </c>
      <c r="K4" s="3220"/>
      <c r="L4" s="2835" t="s">
        <v>3037</v>
      </c>
      <c r="M4" s="2837">
        <f>ROUND(1-(1-M1)*M2/M3,2)</f>
        <v>0.55000000000000004</v>
      </c>
      <c r="N4" s="2833"/>
      <c r="O4" s="2833"/>
    </row>
    <row r="5" spans="1:16" s="2790" customFormat="1" ht="18" customHeight="1">
      <c r="A5" s="3207"/>
      <c r="B5" s="3211"/>
      <c r="C5" s="3187"/>
      <c r="D5" s="3188"/>
      <c r="E5" s="3188"/>
      <c r="F5" s="3189"/>
      <c r="G5" s="3207"/>
      <c r="H5" s="2801" t="s">
        <v>3061</v>
      </c>
      <c r="I5" s="2836">
        <f>'数据-取费表'!B13</f>
        <v>54.97</v>
      </c>
      <c r="J5" s="2793"/>
      <c r="K5" s="3220"/>
      <c r="L5" s="2835" t="s">
        <v>3038</v>
      </c>
      <c r="M5" s="2834">
        <v>0.5</v>
      </c>
      <c r="N5" s="2833"/>
      <c r="O5" s="2833"/>
    </row>
    <row r="6" spans="1:16" s="2790" customFormat="1" ht="18" customHeight="1">
      <c r="A6" s="3207"/>
      <c r="B6" s="3211"/>
      <c r="C6" s="3190"/>
      <c r="D6" s="3191"/>
      <c r="E6" s="3191"/>
      <c r="F6" s="3192"/>
      <c r="G6" s="3207"/>
      <c r="H6" s="2801" t="s">
        <v>3060</v>
      </c>
      <c r="I6" s="2832">
        <v>3.5000000000000003E-2</v>
      </c>
      <c r="J6" s="2831"/>
      <c r="K6" s="3222" t="s">
        <v>3059</v>
      </c>
      <c r="L6" s="2829" t="s">
        <v>3058</v>
      </c>
      <c r="M6" s="2824" t="s">
        <v>3057</v>
      </c>
      <c r="N6" s="2824" t="s">
        <v>3056</v>
      </c>
      <c r="O6" s="2824" t="s">
        <v>3055</v>
      </c>
      <c r="P6" s="2824" t="s">
        <v>2964</v>
      </c>
    </row>
    <row r="7" spans="1:16" s="2790" customFormat="1" ht="18" customHeight="1">
      <c r="A7" s="2805" t="s">
        <v>3054</v>
      </c>
      <c r="B7" s="2801" t="s">
        <v>3053</v>
      </c>
      <c r="C7" s="3181">
        <f>ROUND(C23*I7,0)</f>
        <v>6670716</v>
      </c>
      <c r="D7" s="3182"/>
      <c r="E7" s="3182"/>
      <c r="F7" s="3183"/>
      <c r="G7" s="2803" t="s">
        <v>3052</v>
      </c>
      <c r="H7" s="2801" t="s">
        <v>3051</v>
      </c>
      <c r="I7" s="2830">
        <f>'数据-取费表'!E20</f>
        <v>0.93</v>
      </c>
      <c r="K7" s="3222"/>
      <c r="L7" s="2829" t="s">
        <v>3050</v>
      </c>
      <c r="M7" s="2824">
        <v>100</v>
      </c>
      <c r="N7" s="2824" t="s">
        <v>3041</v>
      </c>
      <c r="O7" s="2824">
        <v>80</v>
      </c>
      <c r="P7" s="2828">
        <v>0.3</v>
      </c>
    </row>
    <row r="8" spans="1:16" s="2790" customFormat="1" ht="18" customHeight="1">
      <c r="A8" s="2807" t="s">
        <v>3049</v>
      </c>
      <c r="B8" s="2801" t="s">
        <v>3048</v>
      </c>
      <c r="C8" s="3181">
        <f>ROUND(I8*I3,0)</f>
        <v>4429152</v>
      </c>
      <c r="D8" s="3182"/>
      <c r="E8" s="3182"/>
      <c r="F8" s="3183"/>
      <c r="G8" s="2803" t="s">
        <v>3047</v>
      </c>
      <c r="H8" s="2801" t="s">
        <v>3046</v>
      </c>
      <c r="I8" s="2803">
        <f>'数据-取费表'!E17</f>
        <v>2600</v>
      </c>
      <c r="J8" s="2827" t="e">
        <f>D35</f>
        <v>#DIV/0!</v>
      </c>
      <c r="K8" s="3222"/>
      <c r="L8" s="2829" t="s">
        <v>3045</v>
      </c>
      <c r="M8" s="2824">
        <v>100</v>
      </c>
      <c r="N8" s="2824" t="s">
        <v>3041</v>
      </c>
      <c r="O8" s="2824">
        <v>80</v>
      </c>
      <c r="P8" s="2828">
        <v>0.5</v>
      </c>
    </row>
    <row r="9" spans="1:16" s="2790" customFormat="1" ht="18" customHeight="1">
      <c r="A9" s="2807" t="s">
        <v>3044</v>
      </c>
      <c r="B9" s="2801" t="s">
        <v>3043</v>
      </c>
      <c r="C9" s="3181">
        <f>ROUND(C8*H9,0)</f>
        <v>132875</v>
      </c>
      <c r="D9" s="3182"/>
      <c r="E9" s="3182"/>
      <c r="F9" s="3183"/>
      <c r="G9" s="2803" t="s">
        <v>3030</v>
      </c>
      <c r="H9" s="3209">
        <f>'数据-取费表'!E21</f>
        <v>0.03</v>
      </c>
      <c r="I9" s="3209"/>
      <c r="J9" s="2827">
        <f ca="1">D36</f>
        <v>2.7</v>
      </c>
      <c r="K9" s="3222"/>
      <c r="L9" s="2829" t="s">
        <v>3042</v>
      </c>
      <c r="M9" s="2824">
        <v>100</v>
      </c>
      <c r="N9" s="2824" t="s">
        <v>3041</v>
      </c>
      <c r="O9" s="2824">
        <v>80</v>
      </c>
      <c r="P9" s="2828">
        <f>1-P7-P8</f>
        <v>0.19999999999999996</v>
      </c>
    </row>
    <row r="10" spans="1:16" s="2790" customFormat="1" ht="18" customHeight="1">
      <c r="A10" s="2807" t="s">
        <v>3040</v>
      </c>
      <c r="B10" s="2801" t="s">
        <v>3039</v>
      </c>
      <c r="C10" s="3181">
        <f>ROUND(C8*H10,0)</f>
        <v>354332</v>
      </c>
      <c r="D10" s="3182"/>
      <c r="E10" s="3182"/>
      <c r="F10" s="3183"/>
      <c r="G10" s="2803" t="s">
        <v>3030</v>
      </c>
      <c r="H10" s="3209">
        <f>'数据-取费表'!E22</f>
        <v>0.08</v>
      </c>
      <c r="I10" s="3209"/>
      <c r="J10" s="2827" t="e">
        <f ca="1">D37</f>
        <v>#DIV/0!</v>
      </c>
      <c r="K10" s="3222"/>
      <c r="L10" s="2826" t="s">
        <v>3038</v>
      </c>
      <c r="M10" s="2825">
        <f>1-M5</f>
        <v>0.5</v>
      </c>
      <c r="N10" s="2824" t="s">
        <v>3037</v>
      </c>
      <c r="O10" s="2823">
        <f>ROUND((O7*P7+O8*P8+O9*P9)/100,2)</f>
        <v>0.8</v>
      </c>
      <c r="P10" s="2822"/>
    </row>
    <row r="11" spans="1:16" s="2790" customFormat="1" ht="29.25" customHeight="1">
      <c r="A11" s="2807" t="s">
        <v>3036</v>
      </c>
      <c r="B11" s="2801" t="s">
        <v>3035</v>
      </c>
      <c r="C11" s="3181">
        <f>ROUND(I11*I3,0)</f>
        <v>340704</v>
      </c>
      <c r="D11" s="3182"/>
      <c r="E11" s="3182"/>
      <c r="F11" s="3183"/>
      <c r="G11" s="2803" t="s">
        <v>3034</v>
      </c>
      <c r="H11" s="2801" t="s">
        <v>3033</v>
      </c>
      <c r="I11" s="2803">
        <f>'数据-取费表'!E23</f>
        <v>200</v>
      </c>
      <c r="J11" s="2793"/>
      <c r="K11" s="2775"/>
      <c r="L11" s="2775"/>
    </row>
    <row r="12" spans="1:16" s="2790" customFormat="1" ht="18" customHeight="1">
      <c r="A12" s="2807" t="s">
        <v>3032</v>
      </c>
      <c r="B12" s="2801" t="s">
        <v>3031</v>
      </c>
      <c r="C12" s="3181">
        <f>ROUND(C8*H12,0)</f>
        <v>66437</v>
      </c>
      <c r="D12" s="3182"/>
      <c r="E12" s="3182"/>
      <c r="F12" s="3183"/>
      <c r="G12" s="2803" t="s">
        <v>3030</v>
      </c>
      <c r="H12" s="3209">
        <f>'数据-取费表'!E24</f>
        <v>1.4999999999999999E-2</v>
      </c>
      <c r="I12" s="3209"/>
      <c r="J12" s="2811" t="s">
        <v>3029</v>
      </c>
      <c r="L12" s="2821"/>
    </row>
    <row r="13" spans="1:16" s="2790" customFormat="1" ht="18" customHeight="1">
      <c r="A13" s="2807" t="s">
        <v>2987</v>
      </c>
      <c r="B13" s="2801" t="s">
        <v>3028</v>
      </c>
      <c r="C13" s="3181">
        <f>SUM(C8:F12)</f>
        <v>5323500</v>
      </c>
      <c r="D13" s="3182"/>
      <c r="E13" s="3182"/>
      <c r="F13" s="3183"/>
      <c r="G13" s="3210" t="s">
        <v>3027</v>
      </c>
      <c r="H13" s="3210"/>
      <c r="I13" s="3210"/>
      <c r="J13" s="2811" t="s">
        <v>3026</v>
      </c>
      <c r="L13" s="2821"/>
    </row>
    <row r="14" spans="1:16" s="2790" customFormat="1" ht="18" customHeight="1">
      <c r="A14" s="2807" t="s">
        <v>2984</v>
      </c>
      <c r="B14" s="2801" t="s">
        <v>3025</v>
      </c>
      <c r="C14" s="3181">
        <f>ROUND(C13*H14,0)</f>
        <v>53235</v>
      </c>
      <c r="D14" s="3182"/>
      <c r="E14" s="3182"/>
      <c r="F14" s="3183"/>
      <c r="G14" s="2803" t="s">
        <v>3024</v>
      </c>
      <c r="H14" s="3209">
        <f>'数据-取费表'!E25</f>
        <v>0.01</v>
      </c>
      <c r="I14" s="3209"/>
      <c r="J14" s="2793"/>
      <c r="L14" s="2821"/>
    </row>
    <row r="15" spans="1:16" s="2790" customFormat="1" ht="18" customHeight="1">
      <c r="A15" s="2807" t="s">
        <v>2981</v>
      </c>
      <c r="B15" s="2801" t="s">
        <v>3023</v>
      </c>
      <c r="C15" s="3193">
        <f>H15</f>
        <v>0.01</v>
      </c>
      <c r="D15" s="3194"/>
      <c r="E15" s="3214" t="str">
        <f>E18</f>
        <v>V</v>
      </c>
      <c r="F15" s="3215"/>
      <c r="G15" s="2803" t="s">
        <v>3022</v>
      </c>
      <c r="H15" s="3209">
        <f>'数据-取费表'!E26</f>
        <v>0.01</v>
      </c>
      <c r="I15" s="3209"/>
      <c r="J15" s="2808"/>
      <c r="K15" s="2820"/>
    </row>
    <row r="16" spans="1:16" s="2790" customFormat="1" ht="18" customHeight="1">
      <c r="A16" s="2819" t="s">
        <v>2978</v>
      </c>
      <c r="B16" s="2818" t="s">
        <v>3021</v>
      </c>
      <c r="C16" s="2814">
        <f>C17</f>
        <v>255395</v>
      </c>
      <c r="D16" s="2813" t="s">
        <v>3007</v>
      </c>
      <c r="E16" s="2817">
        <f>C18</f>
        <v>4.75E-4</v>
      </c>
      <c r="F16" s="2812" t="str">
        <f>E18</f>
        <v>V</v>
      </c>
      <c r="G16" s="3181" t="s">
        <v>3020</v>
      </c>
      <c r="H16" s="3182"/>
      <c r="I16" s="3183"/>
      <c r="J16" s="2793"/>
      <c r="K16" s="2775"/>
    </row>
    <row r="17" spans="1:12" s="2790" customFormat="1" ht="18" customHeight="1">
      <c r="A17" s="2807" t="s">
        <v>3019</v>
      </c>
      <c r="B17" s="2801" t="s">
        <v>3018</v>
      </c>
      <c r="C17" s="3181">
        <f>ROUND((C13+C14)*I18*(I17/2),0)</f>
        <v>255395</v>
      </c>
      <c r="D17" s="3182"/>
      <c r="E17" s="3182"/>
      <c r="F17" s="3183"/>
      <c r="G17" s="2814" t="s">
        <v>3017</v>
      </c>
      <c r="H17" s="2801" t="s">
        <v>3016</v>
      </c>
      <c r="I17" s="2816">
        <f>'数据-取费表'!B21</f>
        <v>2</v>
      </c>
      <c r="J17" s="2811" t="s">
        <v>3015</v>
      </c>
      <c r="K17" s="2775"/>
      <c r="L17" s="2775"/>
    </row>
    <row r="18" spans="1:12" s="2790" customFormat="1" ht="18" customHeight="1">
      <c r="A18" s="2807" t="s">
        <v>3014</v>
      </c>
      <c r="B18" s="2801" t="s">
        <v>3013</v>
      </c>
      <c r="C18" s="3205">
        <f>H15*I18*I17/2</f>
        <v>4.75E-4</v>
      </c>
      <c r="D18" s="3206"/>
      <c r="E18" s="3214" t="s">
        <v>2996</v>
      </c>
      <c r="F18" s="3215"/>
      <c r="G18" s="2814" t="s">
        <v>3012</v>
      </c>
      <c r="H18" s="2801" t="s">
        <v>3011</v>
      </c>
      <c r="I18" s="2815">
        <v>4.7500000000000001E-2</v>
      </c>
      <c r="J18" s="2811" t="s">
        <v>3010</v>
      </c>
      <c r="K18" s="2775"/>
      <c r="L18" s="2775"/>
    </row>
    <row r="19" spans="1:12" s="2790" customFormat="1" ht="27" customHeight="1">
      <c r="A19" s="2807" t="s">
        <v>3009</v>
      </c>
      <c r="B19" s="2801" t="s">
        <v>3008</v>
      </c>
      <c r="C19" s="2814">
        <f>C20</f>
        <v>1075347</v>
      </c>
      <c r="D19" s="2813" t="s">
        <v>3007</v>
      </c>
      <c r="E19" s="2813">
        <f>C21</f>
        <v>2E-3</v>
      </c>
      <c r="F19" s="2812" t="str">
        <f>E21</f>
        <v>V</v>
      </c>
      <c r="G19" s="3181" t="s">
        <v>3006</v>
      </c>
      <c r="H19" s="3182"/>
      <c r="I19" s="3183"/>
      <c r="J19" s="2793"/>
      <c r="K19" s="2775"/>
      <c r="L19" s="2775"/>
    </row>
    <row r="20" spans="1:12" s="2790" customFormat="1" ht="26.25" customHeight="1">
      <c r="A20" s="2807" t="s">
        <v>3001</v>
      </c>
      <c r="B20" s="2801" t="s">
        <v>3005</v>
      </c>
      <c r="C20" s="3181">
        <f>ROUND((C13+C14)*I20,0)</f>
        <v>1075347</v>
      </c>
      <c r="D20" s="3182"/>
      <c r="E20" s="3182"/>
      <c r="F20" s="3183"/>
      <c r="G20" s="2803" t="s">
        <v>3004</v>
      </c>
      <c r="H20" s="3212" t="s">
        <v>3003</v>
      </c>
      <c r="I20" s="3216">
        <f>'数据-取费表'!E28</f>
        <v>0.2</v>
      </c>
      <c r="J20" s="2811" t="s">
        <v>3002</v>
      </c>
      <c r="K20" s="2775"/>
      <c r="L20" s="2775"/>
    </row>
    <row r="21" spans="1:12" s="2790" customFormat="1" ht="27" customHeight="1">
      <c r="A21" s="2807" t="s">
        <v>3001</v>
      </c>
      <c r="B21" s="2801" t="s">
        <v>3000</v>
      </c>
      <c r="C21" s="3195">
        <f>H15*I20</f>
        <v>2E-3</v>
      </c>
      <c r="D21" s="3196"/>
      <c r="E21" s="3214" t="s">
        <v>2996</v>
      </c>
      <c r="F21" s="3215"/>
      <c r="G21" s="2803" t="s">
        <v>2999</v>
      </c>
      <c r="H21" s="3213"/>
      <c r="I21" s="3216"/>
      <c r="J21" s="2793"/>
      <c r="K21" s="2775"/>
      <c r="L21" s="2775"/>
    </row>
    <row r="22" spans="1:12" s="2790" customFormat="1" ht="18" customHeight="1">
      <c r="A22" s="2807" t="s">
        <v>2998</v>
      </c>
      <c r="B22" s="2801" t="s">
        <v>2997</v>
      </c>
      <c r="C22" s="3195">
        <f>ROUND(H22/1.05,4)</f>
        <v>5.2400000000000002E-2</v>
      </c>
      <c r="D22" s="3196"/>
      <c r="E22" s="3214" t="s">
        <v>2996</v>
      </c>
      <c r="F22" s="3215"/>
      <c r="G22" s="2803" t="s">
        <v>2995</v>
      </c>
      <c r="H22" s="3209">
        <f>'数据-取费表'!E29</f>
        <v>5.5000000000000007E-2</v>
      </c>
      <c r="I22" s="3209"/>
      <c r="J22" s="2791"/>
      <c r="K22" s="2775"/>
      <c r="L22" s="2775"/>
    </row>
    <row r="23" spans="1:12" s="2790" customFormat="1" ht="18" customHeight="1">
      <c r="A23" s="2807" t="s">
        <v>2994</v>
      </c>
      <c r="B23" s="2801" t="s">
        <v>2993</v>
      </c>
      <c r="C23" s="3181">
        <f>ROUND((C13+C14+C17+C20)/(1-H15-C18-C21-C22),0)</f>
        <v>7172813</v>
      </c>
      <c r="D23" s="3182"/>
      <c r="E23" s="3182"/>
      <c r="F23" s="3183"/>
      <c r="G23" s="3181" t="s">
        <v>2992</v>
      </c>
      <c r="H23" s="3182"/>
      <c r="I23" s="3183"/>
      <c r="J23" s="2791"/>
      <c r="K23" s="2775"/>
      <c r="L23" s="2775"/>
    </row>
    <row r="24" spans="1:12" s="2790" customFormat="1" ht="18" customHeight="1">
      <c r="A24" s="2807" t="s">
        <v>2991</v>
      </c>
      <c r="B24" s="2801" t="s">
        <v>2990</v>
      </c>
      <c r="C24" s="2810">
        <f>C26+C27</f>
        <v>117598</v>
      </c>
      <c r="D24" s="2809" t="s">
        <v>2989</v>
      </c>
      <c r="E24" s="3217">
        <f>H25+H28</f>
        <v>6.5000000000000002E-2</v>
      </c>
      <c r="F24" s="3218"/>
      <c r="G24" s="3210" t="s">
        <v>2988</v>
      </c>
      <c r="H24" s="3210"/>
      <c r="I24" s="3210"/>
      <c r="J24" s="2791"/>
      <c r="K24" s="2775"/>
      <c r="L24" s="2775"/>
    </row>
    <row r="25" spans="1:12" s="2790" customFormat="1" ht="18" customHeight="1">
      <c r="A25" s="2807" t="s">
        <v>2987</v>
      </c>
      <c r="B25" s="2801" t="s">
        <v>2986</v>
      </c>
      <c r="C25" s="3193" t="s">
        <v>2976</v>
      </c>
      <c r="D25" s="3194"/>
      <c r="E25" s="3217">
        <f>H25/1.05</f>
        <v>5.2380952380952382E-2</v>
      </c>
      <c r="F25" s="3218"/>
      <c r="G25" s="2803" t="s">
        <v>2985</v>
      </c>
      <c r="H25" s="3221">
        <f>'数据-取费表'!E29</f>
        <v>5.5000000000000007E-2</v>
      </c>
      <c r="I25" s="3221"/>
      <c r="J25" s="2808"/>
      <c r="K25" s="2775"/>
      <c r="L25" s="2775"/>
    </row>
    <row r="26" spans="1:12" s="2790" customFormat="1" ht="18" customHeight="1">
      <c r="A26" s="2807" t="s">
        <v>2984</v>
      </c>
      <c r="B26" s="2801" t="s">
        <v>2983</v>
      </c>
      <c r="C26" s="3181">
        <f>ROUND(C23*H26,0)</f>
        <v>107592</v>
      </c>
      <c r="D26" s="3182"/>
      <c r="E26" s="3182"/>
      <c r="F26" s="3183"/>
      <c r="G26" s="2803" t="s">
        <v>2982</v>
      </c>
      <c r="H26" s="3221">
        <f>'数据-取费表'!B44</f>
        <v>1.4999999999999999E-2</v>
      </c>
      <c r="I26" s="3221"/>
      <c r="J26" s="2808"/>
      <c r="K26" s="2775"/>
      <c r="L26" s="2775"/>
    </row>
    <row r="27" spans="1:12" s="2790" customFormat="1" ht="18" customHeight="1">
      <c r="A27" s="2807" t="s">
        <v>2981</v>
      </c>
      <c r="B27" s="2801" t="s">
        <v>2980</v>
      </c>
      <c r="C27" s="3181">
        <f>ROUND(C7*H27,0)</f>
        <v>10006</v>
      </c>
      <c r="D27" s="3182"/>
      <c r="E27" s="3182"/>
      <c r="F27" s="3183"/>
      <c r="G27" s="2803" t="s">
        <v>2979</v>
      </c>
      <c r="H27" s="3219">
        <f>'数据-取费表'!B45</f>
        <v>1.5E-3</v>
      </c>
      <c r="I27" s="3219"/>
      <c r="J27" s="2793"/>
      <c r="K27" s="2775"/>
      <c r="L27" s="2775"/>
    </row>
    <row r="28" spans="1:12" s="2790" customFormat="1" ht="18" customHeight="1">
      <c r="A28" s="2807" t="s">
        <v>2978</v>
      </c>
      <c r="B28" s="2801" t="s">
        <v>2977</v>
      </c>
      <c r="C28" s="3193" t="s">
        <v>2976</v>
      </c>
      <c r="D28" s="3194"/>
      <c r="E28" s="3217">
        <f>H28</f>
        <v>0.01</v>
      </c>
      <c r="F28" s="3218"/>
      <c r="G28" s="2803" t="s">
        <v>2975</v>
      </c>
      <c r="H28" s="3221">
        <f>'数据-取费表'!B46</f>
        <v>0.01</v>
      </c>
      <c r="I28" s="3221"/>
      <c r="J28" s="2806"/>
      <c r="K28" s="2775"/>
      <c r="L28" s="2775"/>
    </row>
    <row r="29" spans="1:12" s="2790" customFormat="1" ht="18" customHeight="1">
      <c r="A29" s="2805" t="s">
        <v>2974</v>
      </c>
      <c r="B29" s="2801" t="s">
        <v>2973</v>
      </c>
      <c r="C29" s="3181">
        <f ca="1">ROUND((C4+C24)/(1-E24),0)</f>
        <v>1511933</v>
      </c>
      <c r="D29" s="3182"/>
      <c r="E29" s="3182"/>
      <c r="F29" s="3183"/>
      <c r="G29" s="3207" t="s">
        <v>2972</v>
      </c>
      <c r="H29" s="3207"/>
      <c r="I29" s="3207"/>
      <c r="J29" s="2804" t="s">
        <v>2971</v>
      </c>
      <c r="K29" s="2775"/>
      <c r="L29" s="2775"/>
    </row>
    <row r="30" spans="1:12" s="2790" customFormat="1" ht="18" customHeight="1">
      <c r="A30" s="3207" t="s">
        <v>2970</v>
      </c>
      <c r="B30" s="3211" t="s">
        <v>2969</v>
      </c>
      <c r="C30" s="3199">
        <f ca="1">ROUND(C29/I30/I31/I3,2)</f>
        <v>2.7</v>
      </c>
      <c r="D30" s="3200"/>
      <c r="E30" s="3200"/>
      <c r="F30" s="3201"/>
      <c r="G30" s="3210" t="s">
        <v>2968</v>
      </c>
      <c r="H30" s="2801" t="s">
        <v>2967</v>
      </c>
      <c r="I30" s="2803">
        <v>365</v>
      </c>
      <c r="J30" s="2802"/>
      <c r="K30" s="2775"/>
      <c r="L30" s="2775"/>
    </row>
    <row r="31" spans="1:12" s="2790" customFormat="1" ht="18" customHeight="1">
      <c r="A31" s="3207"/>
      <c r="B31" s="3211"/>
      <c r="C31" s="3202"/>
      <c r="D31" s="3203"/>
      <c r="E31" s="3203"/>
      <c r="F31" s="3204"/>
      <c r="G31" s="3210"/>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97" t="s">
        <v>3126</v>
      </c>
      <c r="C33" s="3197"/>
      <c r="D33" s="3197"/>
      <c r="E33" s="3197"/>
      <c r="F33" s="3197"/>
      <c r="G33" s="3197" t="s">
        <v>3130</v>
      </c>
      <c r="H33" s="3197"/>
      <c r="I33" s="3197"/>
      <c r="J33" s="3197"/>
      <c r="K33" s="3197"/>
      <c r="L33" s="2775"/>
      <c r="M33" s="2774"/>
    </row>
    <row r="34" spans="1:13" s="2790" customFormat="1" ht="18" hidden="1" customHeight="1">
      <c r="A34" s="2774"/>
      <c r="B34" s="2787" t="s">
        <v>2965</v>
      </c>
      <c r="C34" s="2792" t="s">
        <v>2964</v>
      </c>
      <c r="D34" s="3198" t="s">
        <v>2963</v>
      </c>
      <c r="E34" s="3198"/>
      <c r="F34" s="3198"/>
      <c r="G34" s="2868" t="s">
        <v>2965</v>
      </c>
      <c r="H34" s="2867" t="s">
        <v>2964</v>
      </c>
      <c r="I34" s="3198" t="s">
        <v>3131</v>
      </c>
      <c r="J34" s="3198"/>
      <c r="K34" s="3198"/>
      <c r="L34" s="2774"/>
      <c r="M34" s="2774"/>
    </row>
    <row r="35" spans="1:13" hidden="1">
      <c r="B35" s="2787" t="s">
        <v>2962</v>
      </c>
      <c r="C35" s="2789">
        <v>0.5</v>
      </c>
      <c r="D35" s="3179" t="e">
        <f>[2]比较法—租金!N39</f>
        <v>#DIV/0!</v>
      </c>
      <c r="E35" s="3179"/>
      <c r="F35" s="3179"/>
      <c r="G35" s="2868" t="s">
        <v>3132</v>
      </c>
      <c r="H35" s="2789">
        <v>0.5</v>
      </c>
      <c r="I35" s="3179" t="e">
        <f>[2]比较法—租金!S39</f>
        <v>#REF!</v>
      </c>
      <c r="J35" s="3179"/>
      <c r="K35" s="3179"/>
      <c r="L35" s="2774"/>
    </row>
    <row r="36" spans="1:13" ht="20.100000000000001" hidden="1" customHeight="1">
      <c r="B36" s="2787" t="s">
        <v>2961</v>
      </c>
      <c r="C36" s="2789">
        <f>1-C35</f>
        <v>0.5</v>
      </c>
      <c r="D36" s="3179">
        <f ca="1">C30</f>
        <v>2.7</v>
      </c>
      <c r="E36" s="3179"/>
      <c r="F36" s="3179"/>
      <c r="G36" s="2868" t="s">
        <v>2961</v>
      </c>
      <c r="H36" s="2789">
        <f>1-H35</f>
        <v>0.5</v>
      </c>
      <c r="I36" s="3179" t="str">
        <f>H30</f>
        <v>天数（天）</v>
      </c>
      <c r="J36" s="3179"/>
      <c r="K36" s="3179"/>
      <c r="L36" s="2774"/>
    </row>
    <row r="37" spans="1:13" ht="22.5" hidden="1" customHeight="1">
      <c r="B37" s="3180" t="s">
        <v>2960</v>
      </c>
      <c r="C37" s="3180"/>
      <c r="D37" s="3178" t="e">
        <f ca="1">ROUND(C35*D35+C36*D36,1)</f>
        <v>#DIV/0!</v>
      </c>
      <c r="E37" s="3178"/>
      <c r="F37" s="3178"/>
      <c r="G37" s="3180" t="s">
        <v>3133</v>
      </c>
      <c r="H37" s="3180"/>
      <c r="I37" s="3178" t="e">
        <f>ROUND(H35*I35+H36*I36,1)</f>
        <v>#REF!</v>
      </c>
      <c r="J37" s="3178"/>
      <c r="K37" s="3178"/>
      <c r="L37" s="2774"/>
    </row>
    <row r="38" spans="1:13" ht="22.5" hidden="1" customHeight="1">
      <c r="B38" s="2787" t="s">
        <v>2959</v>
      </c>
      <c r="C38" s="2787" t="e">
        <f ca="1">ROUND(D37*0.9,1)</f>
        <v>#DIV/0!</v>
      </c>
      <c r="D38" s="2786" t="s">
        <v>2956</v>
      </c>
      <c r="E38" s="3178" t="e">
        <f ca="1">ROUND(D37*1.1,1)</f>
        <v>#DIV/0!</v>
      </c>
      <c r="F38" s="3178"/>
      <c r="G38" s="2868" t="s">
        <v>3134</v>
      </c>
      <c r="H38" s="2868" t="e">
        <f>ROUND(I37*0.9,1)</f>
        <v>#REF!</v>
      </c>
      <c r="I38" s="2869" t="s">
        <v>3135</v>
      </c>
      <c r="J38" s="3178" t="e">
        <f>ROUND(I37*1.1,1)</f>
        <v>#REF!</v>
      </c>
      <c r="K38" s="3178"/>
      <c r="L38" s="2774"/>
    </row>
    <row r="39" spans="1:13" ht="18" hidden="1" customHeight="1">
      <c r="B39" s="2787" t="s">
        <v>2957</v>
      </c>
      <c r="C39" s="2787" t="e">
        <f ca="1">ROUND(C38+H39,1)</f>
        <v>#DIV/0!</v>
      </c>
      <c r="D39" s="2786" t="s">
        <v>2956</v>
      </c>
      <c r="E39" s="3178" t="e">
        <f ca="1">ROUND(E38+H39,1)</f>
        <v>#DIV/0!</v>
      </c>
      <c r="F39" s="3178"/>
      <c r="G39" s="2868" t="s">
        <v>3136</v>
      </c>
      <c r="H39" s="2868" t="e">
        <f>ROUND(H38+M39,1)</f>
        <v>#REF!</v>
      </c>
      <c r="I39" s="2869" t="s">
        <v>3135</v>
      </c>
      <c r="J39" s="3178" t="e">
        <f>ROUND(J38+M39,1)</f>
        <v>#REF!</v>
      </c>
      <c r="K39" s="3178"/>
      <c r="L39" s="2774"/>
    </row>
    <row r="40" spans="1:13" ht="18" customHeight="1">
      <c r="B40" s="2787" t="s">
        <v>3127</v>
      </c>
      <c r="C40" s="2862" t="s">
        <v>3128</v>
      </c>
      <c r="D40" s="3175" t="s">
        <v>3129</v>
      </c>
      <c r="E40" s="3176"/>
      <c r="F40" s="2847"/>
      <c r="G40" s="2868" t="s">
        <v>3137</v>
      </c>
      <c r="H40" s="2862" t="s">
        <v>3138</v>
      </c>
      <c r="I40" s="3175" t="s">
        <v>3139</v>
      </c>
      <c r="J40" s="3176"/>
      <c r="K40" s="2847"/>
      <c r="L40" s="2774"/>
    </row>
    <row r="41" spans="1:13" ht="18" customHeight="1">
      <c r="B41" s="2871">
        <f>I3</f>
        <v>1703.52</v>
      </c>
      <c r="C41" s="2871">
        <f ca="1">C30</f>
        <v>2.7</v>
      </c>
      <c r="D41" s="3175">
        <f ca="1">C41*B41*365</f>
        <v>1678818.96</v>
      </c>
      <c r="E41" s="3177"/>
      <c r="F41" s="2847"/>
      <c r="G41" s="2871">
        <f>B41</f>
        <v>1703.52</v>
      </c>
      <c r="H41" s="2871">
        <f ca="1">'[3]收益法（反推）'!$C$41</f>
        <v>2.35</v>
      </c>
      <c r="I41" s="3175">
        <f ca="1">G41*H41*366</f>
        <v>1465197.5519999999</v>
      </c>
      <c r="J41" s="3177"/>
      <c r="K41" s="2847"/>
      <c r="L41" s="2774"/>
    </row>
    <row r="42" spans="1:13" ht="18" customHeight="1">
      <c r="B42" s="2787"/>
      <c r="C42" s="2862"/>
      <c r="D42" s="3175"/>
      <c r="E42" s="3177"/>
      <c r="F42" s="2847"/>
      <c r="G42" s="2868"/>
      <c r="H42" s="2862"/>
      <c r="I42" s="3175"/>
      <c r="J42" s="3177"/>
      <c r="K42" s="2847"/>
      <c r="L42" s="2774"/>
    </row>
    <row r="43" spans="1:13" ht="18" customHeight="1">
      <c r="B43" s="2784"/>
      <c r="C43" s="2783"/>
      <c r="D43" s="2781"/>
      <c r="E43" s="2781"/>
      <c r="F43" s="2781"/>
      <c r="G43" s="2780"/>
      <c r="H43" s="2782"/>
      <c r="J43" s="2774"/>
    </row>
    <row r="44" spans="1:13" ht="18" customHeight="1">
      <c r="B44" s="2780" t="s">
        <v>2954</v>
      </c>
      <c r="C44" s="2781"/>
      <c r="D44" s="2781"/>
      <c r="E44" s="2780" t="s">
        <v>2953</v>
      </c>
      <c r="F44" s="2781"/>
      <c r="G44" s="2780"/>
      <c r="H44" s="2780" t="s">
        <v>2952</v>
      </c>
      <c r="J44" s="2774"/>
    </row>
    <row r="45" spans="1:13" ht="29.25" customHeight="1"/>
  </sheetData>
  <mergeCells count="81">
    <mergeCell ref="J38:K38"/>
    <mergeCell ref="J39:K39"/>
    <mergeCell ref="I40:J40"/>
    <mergeCell ref="I41:J41"/>
    <mergeCell ref="I42:J42"/>
    <mergeCell ref="G33:K33"/>
    <mergeCell ref="I34:K34"/>
    <mergeCell ref="I35:K35"/>
    <mergeCell ref="I36:K36"/>
    <mergeCell ref="G37:H37"/>
    <mergeCell ref="I37:K37"/>
    <mergeCell ref="K1:K5"/>
    <mergeCell ref="H26:I26"/>
    <mergeCell ref="E28:F28"/>
    <mergeCell ref="H25:I25"/>
    <mergeCell ref="C10:F10"/>
    <mergeCell ref="C20:F20"/>
    <mergeCell ref="G23:I23"/>
    <mergeCell ref="C13:F13"/>
    <mergeCell ref="H28:I28"/>
    <mergeCell ref="C23:F23"/>
    <mergeCell ref="K6:K10"/>
    <mergeCell ref="H22:I22"/>
    <mergeCell ref="H14:I14"/>
    <mergeCell ref="G19:I19"/>
    <mergeCell ref="E15:F15"/>
    <mergeCell ref="H15:I15"/>
    <mergeCell ref="G29:I29"/>
    <mergeCell ref="B30:B31"/>
    <mergeCell ref="G30:G31"/>
    <mergeCell ref="C25:D25"/>
    <mergeCell ref="E24:F24"/>
    <mergeCell ref="C29:F29"/>
    <mergeCell ref="C26:F26"/>
    <mergeCell ref="C27:F27"/>
    <mergeCell ref="E25:F25"/>
    <mergeCell ref="C28:D28"/>
    <mergeCell ref="H27:I27"/>
    <mergeCell ref="G24:I24"/>
    <mergeCell ref="H20:H21"/>
    <mergeCell ref="G16:I16"/>
    <mergeCell ref="E18:F18"/>
    <mergeCell ref="E21:F21"/>
    <mergeCell ref="E22:F22"/>
    <mergeCell ref="C17:F17"/>
    <mergeCell ref="I20:I21"/>
    <mergeCell ref="A30:A31"/>
    <mergeCell ref="A1:I1"/>
    <mergeCell ref="H9:I9"/>
    <mergeCell ref="H2:I2"/>
    <mergeCell ref="H10:I10"/>
    <mergeCell ref="G13:I13"/>
    <mergeCell ref="B4:B6"/>
    <mergeCell ref="A4:A6"/>
    <mergeCell ref="H12:I12"/>
    <mergeCell ref="C2:F2"/>
    <mergeCell ref="C7:F7"/>
    <mergeCell ref="C8:F8"/>
    <mergeCell ref="G4:G6"/>
    <mergeCell ref="C11:F11"/>
    <mergeCell ref="C12:F12"/>
    <mergeCell ref="C9:F9"/>
    <mergeCell ref="D36:F36"/>
    <mergeCell ref="B37:C37"/>
    <mergeCell ref="D37:F37"/>
    <mergeCell ref="C3:F3"/>
    <mergeCell ref="C4:F6"/>
    <mergeCell ref="C15:D15"/>
    <mergeCell ref="C21:D21"/>
    <mergeCell ref="C14:F14"/>
    <mergeCell ref="B33:F33"/>
    <mergeCell ref="D34:F34"/>
    <mergeCell ref="D35:F35"/>
    <mergeCell ref="C30:F31"/>
    <mergeCell ref="C18:D18"/>
    <mergeCell ref="C22:D22"/>
    <mergeCell ref="D40:E40"/>
    <mergeCell ref="D41:E41"/>
    <mergeCell ref="D42:E42"/>
    <mergeCell ref="E38:F38"/>
    <mergeCell ref="E39:F39"/>
  </mergeCells>
  <phoneticPr fontId="146" type="noConversion"/>
  <pageMargins left="0.7" right="0.7" top="0.75" bottom="0.75" header="0.3" footer="0.3"/>
  <pageSetup paperSize="9" scale="86" orientation="portrait" r:id="rId1"/>
  <colBreaks count="1" manualBreakCount="1">
    <brk id="10" max="1048575" man="1"/>
  </colBreaks>
  <drawing r:id="rId2"/>
</worksheet>
</file>

<file path=xl/worksheets/sheet21.xml><?xml version="1.0" encoding="utf-8"?>
<worksheet xmlns="http://schemas.openxmlformats.org/spreadsheetml/2006/main" xmlns:r="http://schemas.openxmlformats.org/officeDocument/2006/relationships">
  <sheetPr>
    <tabColor rgb="FF92D050"/>
  </sheetPr>
  <dimension ref="A1:AK118"/>
  <sheetViews>
    <sheetView view="pageBreakPreview" topLeftCell="A68" zoomScale="90" zoomScaleNormal="90" zoomScaleSheetLayoutView="90" workbookViewId="0">
      <selection activeCell="C74" sqref="C7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189.28</v>
      </c>
      <c r="E1" s="2504"/>
      <c r="F1" s="2504"/>
      <c r="G1" s="2504"/>
      <c r="H1" s="2504"/>
      <c r="I1" s="2504"/>
      <c r="J1" s="2504"/>
      <c r="L1" s="2505"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f ca="1">C26</f>
        <v>3060847</v>
      </c>
      <c r="C2" s="2507" t="s">
        <v>2608</v>
      </c>
      <c r="D2" s="2508" t="s">
        <v>2609</v>
      </c>
      <c r="E2" s="2509" t="s">
        <v>2818</v>
      </c>
      <c r="F2" s="2508" t="s">
        <v>2610</v>
      </c>
      <c r="G2" s="2510" t="str">
        <f>项目基本情况!F9</f>
        <v>六级</v>
      </c>
      <c r="H2" s="2511" t="s">
        <v>2611</v>
      </c>
      <c r="I2" s="2510" t="str">
        <f>项目基本情况!F10</f>
        <v>Ⅵ-通1</v>
      </c>
      <c r="J2" s="2512"/>
      <c r="L2" s="2513" t="s">
        <v>2612</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30124</v>
      </c>
      <c r="U2" s="1710"/>
      <c r="V2" s="1709">
        <f ca="1">ROUND(T2*U2/10000,0)</f>
        <v>0</v>
      </c>
      <c r="W2" s="1713"/>
      <c r="X2" s="1713"/>
      <c r="Y2" s="1713"/>
      <c r="Z2" s="1713"/>
      <c r="AA2" s="1713"/>
      <c r="AB2" s="1713"/>
      <c r="AC2" s="1714"/>
      <c r="AD2" s="1715"/>
      <c r="AE2" s="1715"/>
      <c r="AF2" s="1715"/>
      <c r="AG2" s="1715"/>
      <c r="AH2" s="1715"/>
      <c r="AI2" s="1715"/>
      <c r="AJ2" s="1716"/>
    </row>
    <row r="3" spans="1:36" ht="25.5">
      <c r="A3" s="167" t="s">
        <v>2613</v>
      </c>
      <c r="B3" s="168">
        <f ca="1">ROUND(B2/D1,0)</f>
        <v>16171</v>
      </c>
      <c r="C3" s="2507" t="s">
        <v>2614</v>
      </c>
      <c r="D3" s="2508" t="s">
        <v>2615</v>
      </c>
      <c r="E3" s="2514" t="s">
        <v>2822</v>
      </c>
      <c r="F3" s="2515" t="s">
        <v>2616</v>
      </c>
      <c r="G3" s="941">
        <f>项目基本情况!C15</f>
        <v>2.5</v>
      </c>
      <c r="H3" s="115" t="s">
        <v>2617</v>
      </c>
      <c r="I3" s="974">
        <v>7</v>
      </c>
      <c r="J3" s="2512" t="s">
        <v>2618</v>
      </c>
      <c r="L3" s="2513" t="s">
        <v>2619</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21623</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226"/>
      <c r="B4" s="3227"/>
      <c r="C4" s="3227"/>
      <c r="D4" s="3228"/>
      <c r="E4" s="3228"/>
      <c r="F4" s="3228"/>
      <c r="G4" s="3228"/>
      <c r="H4" s="3228"/>
      <c r="I4" s="3228"/>
      <c r="J4" s="3229"/>
      <c r="L4" s="2513" t="s">
        <v>2620</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17445</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2621</v>
      </c>
      <c r="B5" s="2517" t="s">
        <v>2622</v>
      </c>
      <c r="C5" s="942">
        <f>ROUND(IF(E2="商业",IF(F16="增加",C6*C7+C16,C6*C7-C16),IF(E2="住宅",IF(F16="增加",C6*C12+C16,C6*C12-C16),IF(F16="增加",C6+C16,C6-C16))),0)</f>
        <v>13629</v>
      </c>
      <c r="D5" s="1877">
        <f>ROUND(IF(E2="商业",IF(F16="增加",C6+C16,C6-C16)),0)</f>
        <v>0</v>
      </c>
      <c r="E5" s="2518"/>
      <c r="F5" s="2518"/>
      <c r="G5" s="2519"/>
      <c r="H5" s="2519"/>
      <c r="I5" s="2519"/>
      <c r="J5" s="2520"/>
      <c r="K5" s="2521"/>
      <c r="L5" s="2513" t="s">
        <v>2623</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13997</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2624</v>
      </c>
      <c r="C6" s="943">
        <f>SUMIF(L1:L12,G2,M1:M12)</f>
        <v>10240</v>
      </c>
      <c r="D6" s="2528" t="s">
        <v>2625</v>
      </c>
      <c r="E6" s="2529"/>
      <c r="F6" s="2529"/>
      <c r="G6" s="2530"/>
      <c r="H6" s="2530"/>
      <c r="I6" s="2530"/>
      <c r="J6" s="2531"/>
      <c r="K6" s="2532"/>
      <c r="L6" s="2513" t="s">
        <v>2626</v>
      </c>
      <c r="M6" s="1120">
        <f>SUMPRODUCT((区片价!B110:B157=I2)*(区片价!C3:F3=E2)*(区片价!C110:F157))</f>
        <v>10240</v>
      </c>
      <c r="N6" s="1123">
        <f>SUMPRODUCT((因素修正幅度!B110:B157=I2)*(因素修正幅度!C3:F3=E2)*(因素修正幅度!C110:F157))</f>
        <v>6.5000000000000002E-2</v>
      </c>
      <c r="O6" s="1462"/>
      <c r="P6" s="1462"/>
      <c r="Q6" s="1462"/>
      <c r="R6" s="1709">
        <v>5</v>
      </c>
      <c r="S6" s="1709">
        <f>ROUND(IF(G3&gt;1,IF(R6&lt;7,SUMPRODUCT((B93:B98=R6)*(C92:N92=G2)*(C93:N98)),SUMIF(C92:N92,G2,C100:N100)),IF(R6&lt;7,SUMPRODUCT((B102:B107=R6)*(C92:N92=G2)*(C102:N107)),SUMIF(C92:N92,G2,C109:N109))),4)</f>
        <v>0.73709999999999998</v>
      </c>
      <c r="T6" s="1709">
        <f t="shared" ca="1" si="0"/>
        <v>11919</v>
      </c>
      <c r="U6" s="1710"/>
      <c r="V6" s="1709">
        <f t="shared" ca="1" si="1"/>
        <v>0</v>
      </c>
      <c r="W6" s="1713"/>
      <c r="X6" s="1713"/>
      <c r="Y6" s="1713"/>
      <c r="Z6" s="1713"/>
      <c r="AA6" s="1713"/>
      <c r="AB6" s="1713"/>
      <c r="AC6" s="2522"/>
      <c r="AD6" s="2523"/>
      <c r="AE6" s="2523"/>
      <c r="AF6" s="2523"/>
      <c r="AG6" s="2523"/>
      <c r="AH6" s="2523"/>
      <c r="AI6" s="2523"/>
      <c r="AJ6" s="2524"/>
    </row>
    <row r="7" spans="1:36" ht="24">
      <c r="A7" s="3230"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10482</v>
      </c>
      <c r="U7" s="1710"/>
      <c r="V7" s="1709">
        <f t="shared" ca="1" si="1"/>
        <v>0</v>
      </c>
      <c r="W7" s="1905" t="s">
        <v>2630</v>
      </c>
      <c r="X7" s="1711" t="str">
        <f>G2</f>
        <v>六级</v>
      </c>
      <c r="Y7" s="1711" t="s">
        <v>2631</v>
      </c>
      <c r="Z7" s="1712">
        <f>G3</f>
        <v>2.5</v>
      </c>
      <c r="AA7" s="1713"/>
      <c r="AB7" s="1713"/>
      <c r="AC7" s="1714"/>
      <c r="AD7" s="1715"/>
      <c r="AE7" s="1715"/>
      <c r="AF7" s="1715"/>
      <c r="AG7" s="1715"/>
      <c r="AH7" s="1715"/>
      <c r="AI7" s="1715"/>
      <c r="AJ7" s="1716"/>
    </row>
    <row r="8" spans="1:36" ht="15">
      <c r="A8" s="3231"/>
      <c r="B8" s="115" t="s">
        <v>2632</v>
      </c>
      <c r="C8" s="2538"/>
      <c r="D8" s="945" t="s">
        <v>89</v>
      </c>
      <c r="E8" s="946" t="e">
        <f>ROUND(C11/E7,4)</f>
        <v>#DIV/0!</v>
      </c>
      <c r="F8" s="2539" t="s">
        <v>2633</v>
      </c>
      <c r="G8" s="2540"/>
      <c r="H8" s="2540"/>
      <c r="I8" s="2540"/>
      <c r="J8" s="2541"/>
      <c r="L8" s="2513"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223" t="s">
        <v>2635</v>
      </c>
      <c r="X8" s="3224"/>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231"/>
      <c r="B9" s="115" t="s">
        <v>2648</v>
      </c>
      <c r="C9" s="947">
        <f>SUMIF(修正!C59:C119,C8,修正!E59:E119)</f>
        <v>0</v>
      </c>
      <c r="D9" s="117" t="s">
        <v>90</v>
      </c>
      <c r="E9" s="117" t="e">
        <f>ROUND(C11/E7,4)</f>
        <v>#DIV/0!</v>
      </c>
      <c r="F9" s="2539" t="s">
        <v>2649</v>
      </c>
      <c r="G9" s="2540"/>
      <c r="H9" s="2540"/>
      <c r="I9" s="2540"/>
      <c r="J9" s="2541"/>
      <c r="L9" s="2513"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225"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231"/>
      <c r="B10" s="115" t="s">
        <v>2653</v>
      </c>
      <c r="C10" s="117">
        <f>SUMIF(修正!C59:C119,C8,修正!F59:F119)</f>
        <v>0</v>
      </c>
      <c r="D10" s="117" t="s">
        <v>91</v>
      </c>
      <c r="E10" s="117" t="e">
        <f>ROUND(C11/E7,4)</f>
        <v>#DIV/0!</v>
      </c>
      <c r="F10" s="2539" t="s">
        <v>2654</v>
      </c>
      <c r="G10" s="2540"/>
      <c r="H10" s="2540"/>
      <c r="I10" s="2540"/>
      <c r="J10" s="2541"/>
      <c r="L10" s="2513"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22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231"/>
      <c r="B11" s="2542" t="s">
        <v>2656</v>
      </c>
      <c r="C11" s="948">
        <f>C10/4</f>
        <v>0</v>
      </c>
      <c r="D11" s="948" t="s">
        <v>92</v>
      </c>
      <c r="E11" s="948" t="e">
        <f>ROUND(C11/E7,4)</f>
        <v>#DIV/0!</v>
      </c>
      <c r="F11" s="2543" t="s">
        <v>2657</v>
      </c>
      <c r="G11" s="2544"/>
      <c r="H11" s="2544"/>
      <c r="I11" s="2544"/>
      <c r="J11" s="2545"/>
      <c r="L11" s="2513"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225" t="s">
        <v>2659</v>
      </c>
      <c r="X11" s="1722" t="s">
        <v>2660</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230">
        <f>IF(E2="住宅",2,"")</f>
        <v>2</v>
      </c>
      <c r="B12" s="2546" t="s">
        <v>2661</v>
      </c>
      <c r="C12" s="944">
        <f>ROUND(C15*D15*E15*F15*G15*H15*I15*J15,4)</f>
        <v>1.331</v>
      </c>
      <c r="D12" s="2547" t="s">
        <v>2662</v>
      </c>
      <c r="E12" s="2548"/>
      <c r="F12" s="2548"/>
      <c r="G12" s="2549"/>
      <c r="H12" s="2549"/>
      <c r="I12" s="2549"/>
      <c r="J12" s="2550"/>
      <c r="L12" s="2551"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225"/>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232"/>
      <c r="B13" s="2552" t="s">
        <v>2665</v>
      </c>
      <c r="C13" s="2553" t="s">
        <v>2666</v>
      </c>
      <c r="D13" s="2554" t="s">
        <v>2667</v>
      </c>
      <c r="E13" s="2554" t="s">
        <v>2668</v>
      </c>
      <c r="F13" s="20" t="s">
        <v>2669</v>
      </c>
      <c r="G13" s="2555" t="s">
        <v>2670</v>
      </c>
      <c r="H13" s="2555" t="s">
        <v>2670</v>
      </c>
      <c r="I13" s="2555" t="s">
        <v>2670</v>
      </c>
      <c r="J13" s="2556" t="s">
        <v>2670</v>
      </c>
      <c r="L13" s="1462"/>
      <c r="M13" s="1462"/>
      <c r="N13" s="1462"/>
      <c r="O13" s="1462"/>
      <c r="P13" s="1462"/>
      <c r="Q13" s="1462"/>
      <c r="R13" s="1709">
        <v>12</v>
      </c>
      <c r="S13" s="1710"/>
      <c r="T13" s="1709">
        <f t="shared" ca="1" si="0"/>
        <v>0</v>
      </c>
      <c r="U13" s="1710"/>
      <c r="V13" s="1709">
        <f t="shared" ca="1" si="1"/>
        <v>0</v>
      </c>
      <c r="W13" s="3225"/>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232"/>
      <c r="B14" s="2557"/>
      <c r="C14" s="2558" t="s">
        <v>2823</v>
      </c>
      <c r="D14" s="2559" t="s">
        <v>2823</v>
      </c>
      <c r="E14" s="2559" t="s">
        <v>2823</v>
      </c>
      <c r="F14" s="2560" t="s">
        <v>2824</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233"/>
      <c r="B15" s="2565" t="s">
        <v>2672</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230">
        <f>IF(E2="办公",2,IF(E2="工业",2,IF(E2="住宅",3,IF(E2="商业",IF(C8="不临58条商业街",2,3)))))</f>
        <v>3</v>
      </c>
      <c r="B16" s="2533" t="s">
        <v>2678</v>
      </c>
      <c r="C16" s="1885">
        <f>ROUND(SUM(G17:J17)/C17,0)</f>
        <v>0</v>
      </c>
      <c r="D16" s="2568" t="s">
        <v>2679</v>
      </c>
      <c r="E16" s="2569" t="s">
        <v>2825</v>
      </c>
      <c r="F16" s="2570" t="s">
        <v>2826</v>
      </c>
      <c r="G16" s="2571"/>
      <c r="H16" s="2571"/>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231"/>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2687</v>
      </c>
      <c r="B19" s="2576" t="s">
        <v>2688</v>
      </c>
      <c r="C19" s="952">
        <f>ROUND(IF(H19="按公示增长率计算",SUMPRODUCT((地价!A3:A22=YEAR(G19)&amp;"-"&amp;ROUNDUP(MONTH(G19)/3,0))*(地价!X2:AB2=E2)*(地价!X3:AB22)),IF(H19="地价指数",M20/M19,(1+I19)^O19)),4)</f>
        <v>1.1858</v>
      </c>
      <c r="D19" s="2584" t="s">
        <v>2689</v>
      </c>
      <c r="E19" s="953">
        <v>41640</v>
      </c>
      <c r="F19" s="2584" t="s">
        <v>2690</v>
      </c>
      <c r="G19" s="954">
        <f>'数据-取费表'!B2</f>
        <v>42510</v>
      </c>
      <c r="H19" s="2585" t="s">
        <v>2827</v>
      </c>
      <c r="I19" s="955" t="str">
        <f>IF(H19="季度增幅（自定义）",SUMIF(N21:N24,E2,O21:O24),"")</f>
        <v/>
      </c>
      <c r="J19" s="2581"/>
      <c r="K19" s="2582"/>
      <c r="L19" s="2586" t="s">
        <v>2691</v>
      </c>
      <c r="M19" s="1826">
        <f>ROUND(SUMIF(地价!B2:F2,E2,地价!B22:F22),0)</f>
        <v>423</v>
      </c>
      <c r="N19" s="1466" t="s">
        <v>2692</v>
      </c>
      <c r="O19" s="956">
        <f>ROUNDDOWN(DATEDIF(E19,G19,"M")/3,0)</f>
        <v>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0.96319999999999995</v>
      </c>
      <c r="D20" s="2592" t="s">
        <v>2695</v>
      </c>
      <c r="E20" s="1856">
        <f ca="1">存贷款利率!D4/100</f>
        <v>4.3499999999999997E-2</v>
      </c>
      <c r="F20" s="2592" t="s">
        <v>2684</v>
      </c>
      <c r="G20" s="963">
        <f ca="1">SUMIF(M15:P15,E2,M17:P17)</f>
        <v>0.05</v>
      </c>
      <c r="H20" s="2592" t="s">
        <v>2696</v>
      </c>
      <c r="I20" s="964">
        <f>'数据-取费表'!B13</f>
        <v>54.97</v>
      </c>
      <c r="J20" s="965">
        <f>IF(E2="住宅",70,IF(E2="商业",40,50))</f>
        <v>70</v>
      </c>
      <c r="K20" s="2582"/>
      <c r="L20" s="2593" t="s">
        <v>2697</v>
      </c>
      <c r="M20" s="1827">
        <f>ROUND(SUMPRODUCT((地价!A4:A22=YEAR(G19)&amp;"-"&amp;ROUNDUP(MONTH(G19)/3,0))*(地价!B2:F2=E2)*(地价!B4:F22)),0)</f>
        <v>501</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1</v>
      </c>
      <c r="D21" s="2599"/>
      <c r="E21" s="2599"/>
      <c r="F21" s="2599"/>
      <c r="G21" s="2599"/>
      <c r="H21" s="2599"/>
      <c r="I21" s="2599"/>
      <c r="J21" s="2600"/>
      <c r="K21" s="2582"/>
      <c r="N21" s="2601" t="s">
        <v>2703</v>
      </c>
      <c r="O21" s="1664"/>
      <c r="P21" s="1665">
        <f>SUMPRODUCT((地价!A3:A22=YEAR(G19)&amp;"-"&amp;ROUNDUP(MONTH(G19)/3,0))*(地价!AD2:AH2=N21)*(地价!AD3:AH22))</f>
        <v>1.44E-2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2706</v>
      </c>
      <c r="O22" s="1664"/>
      <c r="P22" s="1665">
        <f>SUMPRODUCT((地价!A3:A22=YEAR(G19)&amp;"-"&amp;ROUNDUP(MONTH(G19)/3,0))*(地价!AD2:AH2=N22)*(地价!AD3:AH22))</f>
        <v>1.44E-2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2708</v>
      </c>
      <c r="O23" s="1664"/>
      <c r="P23" s="1665">
        <f>SUMPRODUCT((地价!A3:A22=YEAR(G19)&amp;"-"&amp;ROUNDUP(MONTH(G19)/3,0))*(地价!AD2:AH2=N23)*(地价!AD3:AH22))</f>
        <v>2.06E-2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1.0387999999999999</v>
      </c>
      <c r="D24" s="2611"/>
      <c r="E24" s="2612"/>
      <c r="F24" s="2612"/>
      <c r="G24" s="2612"/>
      <c r="H24" s="2612"/>
      <c r="I24" s="2612"/>
      <c r="J24" s="2613"/>
      <c r="K24" s="2582"/>
      <c r="N24" s="2614" t="s">
        <v>2711</v>
      </c>
      <c r="O24" s="1666"/>
      <c r="P24" s="1667">
        <f>SUMPRODUCT((地价!A3:A22=YEAR(G19)&amp;"-"&amp;ROUNDUP(MONTH(G19)/3,0))*(地价!AD2:AH2=N24)*(地价!AD3:AH22))</f>
        <v>1.23E-2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SUMPRODUCT((地价!A3:A22=YEAR(G19)&amp;"-"&amp;ROUNDUP(MONTH(G19)/3,0))*(地价!AD2:AH2=N25)*(地价!AD3:AH22))</f>
        <v>1.89E-2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3060847</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t="e">
        <f ca="1">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16171</v>
      </c>
      <c r="D29" s="2633">
        <v>189.28</v>
      </c>
      <c r="E29" s="972">
        <f ca="1">ROUND(C29*D29,0)</f>
        <v>3060847</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4043</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242" t="s">
        <v>2729</v>
      </c>
      <c r="B33" s="2648" t="s">
        <v>2730</v>
      </c>
      <c r="C33" s="123">
        <f ca="1">ROUND(D5*C19*C20*C24*F33,0)</f>
        <v>0</v>
      </c>
      <c r="D33" s="2633"/>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243"/>
      <c r="B34" s="2553" t="s">
        <v>2731</v>
      </c>
      <c r="C34" s="123">
        <f ca="1">ROUND(D5*C19*C20*C24*F34,0)</f>
        <v>0</v>
      </c>
      <c r="D34" s="2633"/>
      <c r="E34" s="117">
        <f t="shared" ca="1" si="6"/>
        <v>0</v>
      </c>
      <c r="F34" s="117">
        <f>SUMIF(修正!A45:A56,G2,修正!C45:C56)</f>
        <v>0.4</v>
      </c>
      <c r="G34" s="117">
        <f t="shared" ca="1" si="7"/>
        <v>0</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243"/>
      <c r="B35" s="2553" t="s">
        <v>2732</v>
      </c>
      <c r="C35" s="123">
        <f ca="1">ROUND(D5*C19*C20*C24*F35,0)</f>
        <v>0</v>
      </c>
      <c r="D35" s="2633"/>
      <c r="E35" s="117">
        <f t="shared" ca="1" si="6"/>
        <v>0</v>
      </c>
      <c r="F35" s="117">
        <f>SUMIF(修正!A45:A56,G2,修正!D45:D56)</f>
        <v>0.28000000000000003</v>
      </c>
      <c r="G35" s="117">
        <f t="shared" ca="1" si="7"/>
        <v>0</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244"/>
      <c r="B36" s="2553" t="s">
        <v>2733</v>
      </c>
      <c r="C36" s="123">
        <f ca="1">ROUND(D5*C19*C20*C24*F36,0)</f>
        <v>0</v>
      </c>
      <c r="D36" s="2633"/>
      <c r="E36" s="117">
        <f t="shared" ca="1" si="6"/>
        <v>0</v>
      </c>
      <c r="F36" s="117">
        <f>SUMIF(修正!A45:A56,G2,修正!E45:E56)</f>
        <v>0.25</v>
      </c>
      <c r="G36" s="117">
        <f t="shared" ca="1" si="7"/>
        <v>0</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4043</v>
      </c>
      <c r="D37" s="2633"/>
      <c r="E37" s="117">
        <f t="shared" ca="1" si="6"/>
        <v>0</v>
      </c>
      <c r="F37" s="123">
        <f>SUMIF(修正!A45:A56,G2,修正!F45:F56)</f>
        <v>0.25</v>
      </c>
      <c r="G37" s="117">
        <f t="shared" ca="1" si="7"/>
        <v>1011</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4043</v>
      </c>
      <c r="D38" s="2633"/>
      <c r="E38" s="117">
        <f t="shared" ca="1" si="6"/>
        <v>0</v>
      </c>
      <c r="F38" s="123">
        <f>SUMIF(修正!A45:A56,G2,修正!G45:G56)</f>
        <v>0.25</v>
      </c>
      <c r="G38" s="117">
        <f t="shared" ca="1" si="7"/>
        <v>1011</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3234</v>
      </c>
      <c r="D39" s="2639"/>
      <c r="E39" s="150">
        <f t="shared" ca="1" si="6"/>
        <v>0</v>
      </c>
      <c r="F39" s="961">
        <f>SUMIF(修正!A45:A56,G2,修正!H45:H56)</f>
        <v>0.2</v>
      </c>
      <c r="G39" s="150" t="e">
        <f t="shared" si="7"/>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hidden="1">
      <c r="A46" s="2664" t="s">
        <v>2740</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hidden="1">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hidden="1">
      <c r="A48" s="2669" t="s">
        <v>2755</v>
      </c>
      <c r="B48" s="2672" t="str">
        <f>估价对象房地状况!C16</f>
        <v>估价对象位于XX商圈，周边商业氛围成熟，人流量大，商业繁华度好</v>
      </c>
      <c r="C48" s="2559"/>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hidden="1">
      <c r="A49" s="2669" t="s">
        <v>2756</v>
      </c>
      <c r="B49" s="2673" t="str">
        <f>估价对象房地状况!C18</f>
        <v>估价对象紧邻城市主干道—新华西街，周边有316路、372路、582路、666路等多条公交线路通过，综合评价交通便捷度较好。</v>
      </c>
      <c r="C49" s="2559"/>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hidden="1">
      <c r="A50" s="2669" t="s">
        <v>2757</v>
      </c>
      <c r="B50" s="2673">
        <f>估价对象房地状况!C19</f>
        <v>0</v>
      </c>
      <c r="C50" s="2559"/>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hidden="1">
      <c r="A51" s="2669" t="s">
        <v>2758</v>
      </c>
      <c r="B51" s="2674" t="s">
        <v>2759</v>
      </c>
      <c r="C51" s="2559"/>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hidden="1">
      <c r="A52" s="2669" t="s">
        <v>2760</v>
      </c>
      <c r="B52" s="2673">
        <f>估价对象房地状况!C24</f>
        <v>0</v>
      </c>
      <c r="C52" s="2559"/>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hidden="1">
      <c r="A53" s="2669" t="s">
        <v>2761</v>
      </c>
      <c r="B53" s="2675" t="s">
        <v>2762</v>
      </c>
      <c r="C53" s="2559"/>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hidden="1">
      <c r="A54" s="2676" t="s">
        <v>2763</v>
      </c>
      <c r="B54" s="2677" t="str">
        <f>估价对象房地状况!C21</f>
        <v>估价对象所在区域公共配套设施齐全</v>
      </c>
      <c r="C54" s="2559"/>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hidden="1">
      <c r="A55" s="2676" t="s">
        <v>2764</v>
      </c>
      <c r="B55" s="2673" t="str">
        <f>估价对象房地状况!C22</f>
        <v>估价对象所在区域基础设施水平达到七通一平</v>
      </c>
      <c r="C55" s="2559"/>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hidden="1" thickBot="1">
      <c r="A56" s="2678" t="s">
        <v>2765</v>
      </c>
      <c r="B56" s="2679" t="str">
        <f>估价对象房地状况!C20</f>
        <v>区域自然环境：西海子公园、通惠河；人文环境北京市通州区博物馆、新华书店；综合评价环境状况较好。</v>
      </c>
      <c r="C56" s="2559"/>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估价对象位于XX商圈，周边办公楼项目较多，入驻率高，办公集聚程度较好</v>
      </c>
      <c r="C59" s="2559"/>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hidden="1">
      <c r="A60" s="2669" t="s">
        <v>2756</v>
      </c>
      <c r="B60" s="2673" t="str">
        <f>估价对象房地状况!C18</f>
        <v>估价对象紧邻城市主干道—新华西街，周边有316路、372路、582路、666路等多条公交线路通过，综合评价交通便捷度较好。</v>
      </c>
      <c r="C60" s="2559"/>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f>估价对象房地状况!C24</f>
        <v>0</v>
      </c>
      <c r="C63" s="2559"/>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估价对象所在区域公共配套设施齐全</v>
      </c>
      <c r="C65" s="2559"/>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估价对象所在区域基础设施水平达到七通一平</v>
      </c>
      <c r="C66" s="2559"/>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hidden="1" thickBot="1">
      <c r="A67" s="2678" t="s">
        <v>2765</v>
      </c>
      <c r="B67" s="2681" t="str">
        <f>估价对象房地状况!C20</f>
        <v>区域自然环境：西海子公园、通惠河；人文环境北京市通州区博物馆、新华书店；综合评价环境状况较好。</v>
      </c>
      <c r="C67" s="2559"/>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2771</v>
      </c>
      <c r="B68" s="2680">
        <f>1+E70</f>
        <v>1.0387999999999999</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2741</v>
      </c>
      <c r="B69" s="2673"/>
      <c r="C69" s="823" t="s">
        <v>2743</v>
      </c>
      <c r="D69" s="823" t="s">
        <v>2744</v>
      </c>
      <c r="E69" s="824" t="s">
        <v>2745</v>
      </c>
      <c r="F69" s="2670" t="s">
        <v>2746</v>
      </c>
      <c r="G69" s="823" t="s">
        <v>2767</v>
      </c>
      <c r="H69" s="2671" t="s">
        <v>2768</v>
      </c>
      <c r="I69" s="823" t="s">
        <v>2769</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63.75">
      <c r="A70" s="2669" t="s">
        <v>2772</v>
      </c>
      <c r="B70" s="2672" t="str">
        <f>估价对象房地状况!C15</f>
        <v>估价对象周边有富力金禧花园、怡佳家园、摩卡空间、帅府园等住宅小区，综合评价居住社区成熟度较好。</v>
      </c>
      <c r="C70" s="2559" t="s">
        <v>30</v>
      </c>
      <c r="D70" s="1376">
        <f t="shared" ref="D70:D78" si="20">SUMIF($J$69:$N$69,C70,J70:N70)</f>
        <v>4.4999999999999997E-3</v>
      </c>
      <c r="E70" s="829">
        <f>ROUND(SUM(D70:D78),4)</f>
        <v>3.8800000000000001E-2</v>
      </c>
      <c r="F70" s="2277">
        <f>IF(E2="住宅",SUMIF(L1:L12,G2,N1:N12),"——")</f>
        <v>6.5000000000000002E-2</v>
      </c>
      <c r="G70" s="1377">
        <v>4.4999999999999997E-3</v>
      </c>
      <c r="H70" s="1381">
        <f t="shared" ref="H70:H78" si="21">IFERROR(ROUNDDOWN($F$70*I70/2,4),"——")</f>
        <v>4.4999999999999997E-3</v>
      </c>
      <c r="I70" s="828">
        <v>0.14000000000000001</v>
      </c>
      <c r="J70" s="1378">
        <f t="shared" ref="J70:J78" si="22">K70+$G70</f>
        <v>8.9999999999999993E-3</v>
      </c>
      <c r="K70" s="1378">
        <f t="shared" ref="K70:K78" si="23">$L70+$G70</f>
        <v>4.4999999999999997E-3</v>
      </c>
      <c r="L70" s="1378">
        <v>0</v>
      </c>
      <c r="M70" s="1378">
        <f t="shared" ref="M70:N78" si="24">L70-$G70</f>
        <v>-4.4999999999999997E-3</v>
      </c>
      <c r="N70" s="1378">
        <f t="shared" si="24"/>
        <v>-8.9999999999999993E-3</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2756</v>
      </c>
      <c r="B71" s="2673" t="str">
        <f>估价对象房地状况!C18</f>
        <v>估价对象紧邻城市主干道—新华西街，周边有316路、372路、582路、666路等多条公交线路通过，综合评价交通便捷度较好。</v>
      </c>
      <c r="C71" s="2559" t="s">
        <v>30</v>
      </c>
      <c r="D71" s="1376">
        <f t="shared" si="20"/>
        <v>9.7000000000000003E-3</v>
      </c>
      <c r="E71" s="840"/>
      <c r="F71" s="2682"/>
      <c r="G71" s="1377">
        <v>9.7000000000000003E-3</v>
      </c>
      <c r="H71" s="1381">
        <f t="shared" si="21"/>
        <v>9.7000000000000003E-3</v>
      </c>
      <c r="I71" s="828">
        <v>0.3</v>
      </c>
      <c r="J71" s="1378">
        <f t="shared" si="22"/>
        <v>1.9400000000000001E-2</v>
      </c>
      <c r="K71" s="1378">
        <f t="shared" si="23"/>
        <v>9.7000000000000003E-3</v>
      </c>
      <c r="L71" s="1378">
        <v>0</v>
      </c>
      <c r="M71" s="1378">
        <f t="shared" si="24"/>
        <v>-9.7000000000000003E-3</v>
      </c>
      <c r="N71" s="1378">
        <f t="shared" si="24"/>
        <v>-1.9400000000000001E-2</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2757</v>
      </c>
      <c r="B72" s="2673">
        <f>估价对象房地状况!C19</f>
        <v>0</v>
      </c>
      <c r="C72" s="2559" t="s">
        <v>30</v>
      </c>
      <c r="D72" s="1376">
        <f t="shared" si="20"/>
        <v>2.5999999999999999E-3</v>
      </c>
      <c r="E72" s="840"/>
      <c r="F72" s="2682"/>
      <c r="G72" s="1377">
        <v>2.5999999999999999E-3</v>
      </c>
      <c r="H72" s="1381">
        <f t="shared" si="21"/>
        <v>2.5999999999999999E-3</v>
      </c>
      <c r="I72" s="828">
        <v>0.08</v>
      </c>
      <c r="J72" s="1378">
        <f t="shared" si="22"/>
        <v>5.1999999999999998E-3</v>
      </c>
      <c r="K72" s="1378">
        <f t="shared" si="23"/>
        <v>2.5999999999999999E-3</v>
      </c>
      <c r="L72" s="1378">
        <v>0</v>
      </c>
      <c r="M72" s="1378">
        <f t="shared" si="24"/>
        <v>-2.5999999999999999E-3</v>
      </c>
      <c r="N72" s="1378">
        <f t="shared" si="24"/>
        <v>-5.1999999999999998E-3</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2773</v>
      </c>
      <c r="B73" s="2673">
        <f>估价对象房地状况!C24</f>
        <v>0</v>
      </c>
      <c r="C73" s="2559" t="s">
        <v>30</v>
      </c>
      <c r="D73" s="1376">
        <f t="shared" si="20"/>
        <v>1.2999999999999999E-3</v>
      </c>
      <c r="E73" s="840"/>
      <c r="F73" s="2682"/>
      <c r="G73" s="1377">
        <v>1.2999999999999999E-3</v>
      </c>
      <c r="H73" s="1381">
        <f t="shared" si="21"/>
        <v>1.2999999999999999E-3</v>
      </c>
      <c r="I73" s="828">
        <v>0.04</v>
      </c>
      <c r="J73" s="1378">
        <f t="shared" si="22"/>
        <v>2.5999999999999999E-3</v>
      </c>
      <c r="K73" s="1378">
        <f t="shared" si="23"/>
        <v>1.2999999999999999E-3</v>
      </c>
      <c r="L73" s="1378">
        <v>0</v>
      </c>
      <c r="M73" s="1378">
        <f t="shared" si="24"/>
        <v>-1.2999999999999999E-3</v>
      </c>
      <c r="N73" s="1378">
        <f t="shared" si="24"/>
        <v>-2.5999999999999999E-3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2763</v>
      </c>
      <c r="B74" s="2677" t="str">
        <f>估价对象房地状况!C21</f>
        <v>估价对象所在区域公共配套设施齐全</v>
      </c>
      <c r="C74" s="2559" t="s">
        <v>29</v>
      </c>
      <c r="D74" s="1376">
        <f t="shared" si="20"/>
        <v>5.1999999999999998E-3</v>
      </c>
      <c r="E74" s="840"/>
      <c r="F74" s="2682"/>
      <c r="G74" s="1377">
        <v>2.5999999999999999E-3</v>
      </c>
      <c r="H74" s="1381">
        <f t="shared" si="21"/>
        <v>2.5999999999999999E-3</v>
      </c>
      <c r="I74" s="828">
        <v>0.08</v>
      </c>
      <c r="J74" s="1378">
        <f t="shared" si="22"/>
        <v>5.1999999999999998E-3</v>
      </c>
      <c r="K74" s="1378">
        <f t="shared" si="23"/>
        <v>2.5999999999999999E-3</v>
      </c>
      <c r="L74" s="1378">
        <v>0</v>
      </c>
      <c r="M74" s="1378">
        <f t="shared" si="24"/>
        <v>-2.5999999999999999E-3</v>
      </c>
      <c r="N74" s="1378">
        <f t="shared" si="24"/>
        <v>-5.1999999999999998E-3</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2764</v>
      </c>
      <c r="B75" s="2677" t="str">
        <f>估价对象房地状况!C22</f>
        <v>估价对象所在区域基础设施水平达到七通一平</v>
      </c>
      <c r="C75" s="2559" t="s">
        <v>29</v>
      </c>
      <c r="D75" s="1376">
        <f t="shared" si="20"/>
        <v>7.7999999999999996E-3</v>
      </c>
      <c r="E75" s="840"/>
      <c r="F75" s="2682"/>
      <c r="G75" s="1377">
        <v>3.8999999999999998E-3</v>
      </c>
      <c r="H75" s="1381">
        <f t="shared" si="21"/>
        <v>3.8999999999999998E-3</v>
      </c>
      <c r="I75" s="828">
        <v>0.12</v>
      </c>
      <c r="J75" s="1378">
        <f t="shared" si="22"/>
        <v>7.7999999999999996E-3</v>
      </c>
      <c r="K75" s="1378">
        <f t="shared" si="23"/>
        <v>3.8999999999999998E-3</v>
      </c>
      <c r="L75" s="1378">
        <v>0</v>
      </c>
      <c r="M75" s="1378">
        <f t="shared" si="24"/>
        <v>-3.8999999999999998E-3</v>
      </c>
      <c r="N75" s="1378">
        <f t="shared" si="24"/>
        <v>-7.7999999999999996E-3</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2761</v>
      </c>
      <c r="B76" s="2675" t="s">
        <v>2762</v>
      </c>
      <c r="C76" s="2559" t="s">
        <v>30</v>
      </c>
      <c r="D76" s="1376">
        <f t="shared" si="20"/>
        <v>1.6000000000000001E-3</v>
      </c>
      <c r="E76" s="840"/>
      <c r="F76" s="2682"/>
      <c r="G76" s="1377">
        <v>1.6000000000000001E-3</v>
      </c>
      <c r="H76" s="1381">
        <f t="shared" si="21"/>
        <v>1.6000000000000001E-3</v>
      </c>
      <c r="I76" s="828">
        <v>0.05</v>
      </c>
      <c r="J76" s="1378">
        <f t="shared" si="22"/>
        <v>3.2000000000000002E-3</v>
      </c>
      <c r="K76" s="1378">
        <f t="shared" si="23"/>
        <v>1.6000000000000001E-3</v>
      </c>
      <c r="L76" s="1378">
        <v>0</v>
      </c>
      <c r="M76" s="1378">
        <f t="shared" si="24"/>
        <v>-1.6000000000000001E-3</v>
      </c>
      <c r="N76" s="1378">
        <f t="shared" si="24"/>
        <v>-3.2000000000000002E-3</v>
      </c>
      <c r="Z76" s="2506"/>
      <c r="AA76" s="2583"/>
      <c r="AG76" s="2659"/>
      <c r="AK76" s="2583"/>
    </row>
    <row r="77" spans="1:37" ht="63.75">
      <c r="A77" s="2669" t="s">
        <v>2765</v>
      </c>
      <c r="B77" s="2672" t="str">
        <f>估价对象房地状况!C20</f>
        <v>区域自然环境：西海子公园、通惠河；人文环境北京市通州区博物馆、新华书店；综合评价环境状况较好。</v>
      </c>
      <c r="C77" s="2559" t="s">
        <v>30</v>
      </c>
      <c r="D77" s="1376">
        <f t="shared" si="20"/>
        <v>4.7999999999999996E-3</v>
      </c>
      <c r="E77" s="840"/>
      <c r="F77" s="2682"/>
      <c r="G77" s="1377">
        <v>4.7999999999999996E-3</v>
      </c>
      <c r="H77" s="1381">
        <f t="shared" si="21"/>
        <v>4.7999999999999996E-3</v>
      </c>
      <c r="I77" s="828">
        <v>0.15</v>
      </c>
      <c r="J77" s="1378">
        <f t="shared" si="22"/>
        <v>9.5999999999999992E-3</v>
      </c>
      <c r="K77" s="1378">
        <f t="shared" si="23"/>
        <v>4.7999999999999996E-3</v>
      </c>
      <c r="L77" s="1378">
        <v>0</v>
      </c>
      <c r="M77" s="1378">
        <f t="shared" si="24"/>
        <v>-4.7999999999999996E-3</v>
      </c>
      <c r="N77" s="1378">
        <f t="shared" si="24"/>
        <v>-9.5999999999999992E-3</v>
      </c>
      <c r="Z77" s="2506"/>
      <c r="AA77" s="2583"/>
      <c r="AG77" s="2659"/>
      <c r="AK77" s="2583"/>
    </row>
    <row r="78" spans="1:37" ht="24.75" thickBot="1">
      <c r="A78" s="2678" t="s">
        <v>2774</v>
      </c>
      <c r="B78" s="2683"/>
      <c r="C78" s="2559" t="s">
        <v>30</v>
      </c>
      <c r="D78" s="1376">
        <f t="shared" si="20"/>
        <v>1.2999999999999999E-3</v>
      </c>
      <c r="E78" s="841"/>
      <c r="F78" s="2682"/>
      <c r="G78" s="1377">
        <v>1.2999999999999999E-3</v>
      </c>
      <c r="H78" s="1381">
        <f t="shared" si="21"/>
        <v>1.2999999999999999E-3</v>
      </c>
      <c r="I78" s="837">
        <v>0.04</v>
      </c>
      <c r="J78" s="1378">
        <f t="shared" si="22"/>
        <v>2.5999999999999999E-3</v>
      </c>
      <c r="K78" s="1378">
        <f t="shared" si="23"/>
        <v>1.2999999999999999E-3</v>
      </c>
      <c r="L78" s="1378">
        <v>0</v>
      </c>
      <c r="M78" s="1378">
        <f t="shared" si="24"/>
        <v>-1.2999999999999999E-3</v>
      </c>
      <c r="N78" s="1378">
        <f t="shared" si="24"/>
        <v>-2.5999999999999999E-3</v>
      </c>
      <c r="Z78" s="2506"/>
      <c r="AA78" s="2583"/>
      <c r="AG78" s="2659"/>
      <c r="AK78" s="2583"/>
    </row>
    <row r="79" spans="1:37" ht="15">
      <c r="A79" s="2664" t="s">
        <v>2775</v>
      </c>
      <c r="B79" s="2680">
        <f>1+E81</f>
        <v>1</v>
      </c>
      <c r="C79" s="817"/>
      <c r="D79" s="817"/>
      <c r="E79" s="818"/>
      <c r="F79" s="2667"/>
      <c r="G79" s="7"/>
      <c r="H79" s="7"/>
      <c r="I79" s="7"/>
      <c r="J79" s="9"/>
      <c r="K79" s="9"/>
      <c r="L79" s="9"/>
      <c r="M79" s="9"/>
      <c r="N79" s="9"/>
      <c r="Z79" s="2506"/>
      <c r="AA79" s="2583"/>
      <c r="AG79" s="2659"/>
      <c r="AK79" s="2583"/>
    </row>
    <row r="80" spans="1:37" ht="24.75">
      <c r="A80" s="2669" t="s">
        <v>2741</v>
      </c>
      <c r="B80" s="2673"/>
      <c r="C80" s="823" t="s">
        <v>2743</v>
      </c>
      <c r="D80" s="823" t="s">
        <v>2744</v>
      </c>
      <c r="E80" s="824" t="s">
        <v>2745</v>
      </c>
      <c r="F80" s="2670" t="s">
        <v>2746</v>
      </c>
      <c r="G80" s="823" t="s">
        <v>2767</v>
      </c>
      <c r="H80" s="2671" t="s">
        <v>2768</v>
      </c>
      <c r="I80" s="823" t="s">
        <v>2769</v>
      </c>
      <c r="J80" s="587" t="s">
        <v>2405</v>
      </c>
      <c r="K80" s="587" t="s">
        <v>2406</v>
      </c>
      <c r="L80" s="587" t="s">
        <v>2407</v>
      </c>
      <c r="M80" s="587" t="s">
        <v>2408</v>
      </c>
      <c r="N80" s="587" t="s">
        <v>2409</v>
      </c>
      <c r="Z80" s="2506"/>
      <c r="AA80" s="2583"/>
      <c r="AG80" s="2659"/>
      <c r="AK80" s="2583"/>
    </row>
    <row r="81" spans="1:37" ht="38.25">
      <c r="A81" s="2669" t="s">
        <v>2776</v>
      </c>
      <c r="B81" s="2673" t="str">
        <f>估价对象房地状况!G15</f>
        <v>估价对象位于XX开发区，园区建设成熟度XX，产业集聚程度XX</v>
      </c>
      <c r="C81" s="2559"/>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2756</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2757</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2773</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2763</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2764</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2761</v>
      </c>
      <c r="B87" s="2675" t="s">
        <v>2762</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2777</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234" t="s">
        <v>2778</v>
      </c>
      <c r="B90" s="3234"/>
      <c r="C90" s="3234"/>
      <c r="D90" s="3234"/>
      <c r="E90" s="3234"/>
      <c r="F90" s="3234"/>
      <c r="G90" s="3234"/>
      <c r="H90" s="3234"/>
      <c r="I90" s="3234"/>
      <c r="J90" s="3234"/>
      <c r="K90" s="2686"/>
      <c r="L90" s="2686"/>
      <c r="M90" s="2686"/>
      <c r="N90" s="2686"/>
    </row>
    <row r="91" spans="1:37">
      <c r="A91" s="3236" t="s">
        <v>2779</v>
      </c>
      <c r="B91" s="3236" t="s">
        <v>2780</v>
      </c>
      <c r="C91" s="2634" t="s">
        <v>2781</v>
      </c>
      <c r="D91" s="2635"/>
      <c r="E91" s="2635"/>
      <c r="F91" s="2635"/>
      <c r="G91" s="2635"/>
      <c r="H91" s="2635"/>
      <c r="I91" s="2635"/>
      <c r="J91" s="2687"/>
      <c r="K91" s="2688"/>
      <c r="L91" s="2688"/>
      <c r="M91" s="2688"/>
      <c r="N91" s="2688"/>
    </row>
    <row r="92" spans="1:37">
      <c r="A92" s="3236"/>
      <c r="B92" s="3236"/>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237"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238"/>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238"/>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238"/>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238"/>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238"/>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238"/>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239"/>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237"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238"/>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238"/>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238"/>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238"/>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238"/>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238"/>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238"/>
      <c r="B108" s="3240"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239"/>
      <c r="B109" s="3241"/>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235" t="s">
        <v>2786</v>
      </c>
      <c r="B110" s="3235"/>
      <c r="C110" s="3235"/>
      <c r="D110" s="3235"/>
      <c r="E110" s="3235"/>
      <c r="F110" s="3235"/>
      <c r="G110" s="3235"/>
      <c r="H110" s="3235"/>
      <c r="I110" s="3235"/>
      <c r="J110" s="3235"/>
      <c r="K110" s="2695"/>
      <c r="L110" s="2695"/>
      <c r="M110" s="2695"/>
      <c r="N110" s="2695"/>
    </row>
    <row r="112" spans="1:14" ht="13.5" thickBot="1"/>
    <row r="113" spans="1:13" ht="25.5" thickBot="1">
      <c r="A113" s="928" t="s">
        <v>2787</v>
      </c>
      <c r="B113" s="1379">
        <f>G3</f>
        <v>2.5</v>
      </c>
      <c r="C113" s="929" t="s">
        <v>2788</v>
      </c>
      <c r="D113" s="930">
        <f>SUMPRODUCT((A115:A118=F113)*(B114:M114=H113)*B115:M118)</f>
        <v>0.8548</v>
      </c>
      <c r="E113" s="2697" t="s">
        <v>2673</v>
      </c>
      <c r="F113" s="2698" t="str">
        <f>E2</f>
        <v>住宅</v>
      </c>
      <c r="G113" s="2697" t="s">
        <v>2610</v>
      </c>
      <c r="H113" s="2698" t="str">
        <f>G2</f>
        <v>六级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2828</v>
      </c>
      <c r="C1" s="162"/>
      <c r="D1" s="162"/>
      <c r="E1" s="162"/>
      <c r="F1" s="162"/>
      <c r="G1" s="163"/>
    </row>
    <row r="2" spans="1:7" s="164" customFormat="1" ht="18" customHeight="1">
      <c r="A2" s="165" t="s">
        <v>2009</v>
      </c>
      <c r="B2" s="166">
        <f ca="1">IF(D2="——",IF(C2="元",C52,ROUND(C52/10000,0)),IF(C2="元",C52,ROUND(C52/10000,0))-E2)</f>
        <v>5201507</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2010</v>
      </c>
      <c r="B3" s="168">
        <f ca="1">ROUND(C52/IF(B1="仅计算典型户型",'数据-取费表'!E5,'数据-取费表'!B5),0)</f>
        <v>27480</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3184488</v>
      </c>
      <c r="D5" s="195" t="s">
        <v>2015</v>
      </c>
      <c r="E5" s="1532" t="s">
        <v>2016</v>
      </c>
      <c r="F5" s="1532" t="s">
        <v>2017</v>
      </c>
      <c r="G5" s="174"/>
    </row>
    <row r="6" spans="1:7" s="175" customFormat="1" ht="13.5" customHeight="1">
      <c r="A6" s="176" t="s">
        <v>2018</v>
      </c>
      <c r="B6" s="177" t="s">
        <v>2019</v>
      </c>
      <c r="C6" s="1531">
        <f ca="1">基准地价修正!E29</f>
        <v>3060847</v>
      </c>
      <c r="D6" s="1533"/>
      <c r="E6" s="1534"/>
      <c r="F6" s="1534"/>
      <c r="G6" s="179"/>
    </row>
    <row r="7" spans="1:7" s="175" customFormat="1" ht="13.5" customHeight="1">
      <c r="A7" s="176" t="s">
        <v>2020</v>
      </c>
      <c r="B7" s="177" t="s">
        <v>2021</v>
      </c>
      <c r="C7" s="199">
        <f ca="1">ROUND(C6*F7,0)</f>
        <v>93356</v>
      </c>
      <c r="D7" s="199"/>
      <c r="E7" s="1534"/>
      <c r="F7" s="1535">
        <f>'数据-取费表'!E36+'数据-取费表'!E37</f>
        <v>3.0499999999999999E-2</v>
      </c>
      <c r="G7" s="179"/>
    </row>
    <row r="8" spans="1:7" s="180" customFormat="1">
      <c r="A8" s="176" t="s">
        <v>2022</v>
      </c>
      <c r="B8" s="177" t="s">
        <v>2023</v>
      </c>
      <c r="C8" s="199">
        <f>IF(G8="已包含在土地购买价格中","0",'数据-取费表'!E13)</f>
        <v>30285</v>
      </c>
      <c r="D8" s="1536"/>
      <c r="E8" s="199"/>
      <c r="F8" s="1535"/>
      <c r="G8" s="2335" t="s">
        <v>2829</v>
      </c>
    </row>
    <row r="9" spans="1:7" s="175" customFormat="1" ht="13.5" customHeight="1">
      <c r="A9" s="1304" t="s">
        <v>953</v>
      </c>
      <c r="B9" s="181" t="s">
        <v>2024</v>
      </c>
      <c r="C9" s="1537">
        <f>ROUND(D9*E9,0)</f>
        <v>30285</v>
      </c>
      <c r="D9" s="1538">
        <f>IF('数据-取费表'!B10="住宅",IF(B1="仅计算典型户型",'数据-取费表'!E5,'数据-取费表'!B5),0)</f>
        <v>189.28</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189.28</v>
      </c>
      <c r="E19" s="195">
        <f>'数据-取费表'!E15</f>
        <v>200</v>
      </c>
      <c r="F19" s="196"/>
      <c r="G19" s="2335" t="s">
        <v>2830</v>
      </c>
    </row>
    <row r="20" spans="1:7" s="175" customFormat="1" ht="13.5" customHeight="1">
      <c r="A20" s="204" t="s">
        <v>2037</v>
      </c>
      <c r="B20" s="173" t="s">
        <v>2038</v>
      </c>
      <c r="C20" s="183">
        <f ca="1">ROUND((C5+C19)*F20,0)</f>
        <v>31845</v>
      </c>
      <c r="D20" s="183"/>
      <c r="E20" s="183"/>
      <c r="F20" s="187">
        <f>'数据-取费表'!E25</f>
        <v>0.01</v>
      </c>
      <c r="G20" s="184" t="s">
        <v>2039</v>
      </c>
    </row>
    <row r="21" spans="1:7" s="175" customFormat="1" ht="13.5" customHeight="1">
      <c r="A21" s="204" t="s">
        <v>2040</v>
      </c>
      <c r="B21" s="173" t="s">
        <v>2041</v>
      </c>
      <c r="C21" s="185">
        <f>F21</f>
        <v>0.01</v>
      </c>
      <c r="D21" s="186" t="s">
        <v>2042</v>
      </c>
      <c r="E21" s="183"/>
      <c r="F21" s="187">
        <f>'数据-取费表'!E26</f>
        <v>0.01</v>
      </c>
      <c r="G21" s="184" t="s">
        <v>2043</v>
      </c>
    </row>
    <row r="22" spans="1:7" s="175" customFormat="1" ht="13.5" customHeight="1">
      <c r="A22" s="204" t="s">
        <v>2044</v>
      </c>
      <c r="B22" s="173" t="s">
        <v>2045</v>
      </c>
      <c r="C22" s="205">
        <f ca="1">ROUND(SUM(C23:C25),0)</f>
        <v>311224</v>
      </c>
      <c r="D22" s="185">
        <f ca="1">C26</f>
        <v>5.0000000000000001E-4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309711</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1513</v>
      </c>
      <c r="D25" s="188"/>
      <c r="E25" s="191"/>
      <c r="F25" s="189"/>
      <c r="G25" s="192" t="s">
        <v>2052</v>
      </c>
    </row>
    <row r="26" spans="1:7" s="175" customFormat="1">
      <c r="A26" s="176" t="s">
        <v>2053</v>
      </c>
      <c r="B26" s="177" t="s">
        <v>2054</v>
      </c>
      <c r="C26" s="188">
        <f ca="1">ROUND(IF('数据-取费表'!B23&lt;=1,F21*F22*'数据-取费表'!B24/2,F21*(POWER((1+F22),'数据-取费表'!B24/2)-1)),4)</f>
        <v>5.0000000000000001E-4</v>
      </c>
      <c r="D26" s="188"/>
      <c r="E26" s="191"/>
      <c r="F26" s="189"/>
      <c r="G26" s="193"/>
    </row>
    <row r="27" spans="1:7" s="175" customFormat="1" ht="25.5">
      <c r="A27" s="1305" t="s">
        <v>2055</v>
      </c>
      <c r="B27" s="194" t="s">
        <v>2056</v>
      </c>
      <c r="C27" s="195">
        <f ca="1">C28</f>
        <v>643267</v>
      </c>
      <c r="D27" s="185">
        <f>C29</f>
        <v>2E-3</v>
      </c>
      <c r="E27" s="186" t="s">
        <v>2042</v>
      </c>
      <c r="F27" s="196">
        <f>'数据-取费表'!E28</f>
        <v>0.2</v>
      </c>
      <c r="G27" s="197" t="s">
        <v>2057</v>
      </c>
    </row>
    <row r="28" spans="1:7" s="175" customFormat="1" ht="13.5" customHeight="1">
      <c r="A28" s="176" t="s">
        <v>2046</v>
      </c>
      <c r="B28" s="198" t="s">
        <v>2058</v>
      </c>
      <c r="C28" s="199">
        <f ca="1">ROUND((C5+C19+C20)*F27*'数据-取费表'!B22/'数据-取费表'!B21,0)</f>
        <v>643267</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4460297</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591500</v>
      </c>
      <c r="D33" s="183"/>
      <c r="E33" s="1532"/>
      <c r="F33" s="191"/>
      <c r="G33" s="184"/>
    </row>
    <row r="34" spans="1:7" s="206" customFormat="1" ht="13.5" customHeight="1">
      <c r="A34" s="176" t="s">
        <v>2046</v>
      </c>
      <c r="B34" s="177" t="s">
        <v>2068</v>
      </c>
      <c r="C34" s="199">
        <f>IF(B1="仅计算典型户型",'数据-取费表'!F18,'数据-取费表'!E18)</f>
        <v>492128</v>
      </c>
      <c r="D34" s="1533"/>
      <c r="E34" s="199"/>
      <c r="F34" s="1544" t="str">
        <f>IF('数据-取费表'!B25=0,"",'数据-取费表'!E20)</f>
        <v/>
      </c>
      <c r="G34" s="179"/>
    </row>
    <row r="35" spans="1:7" ht="13.5" customHeight="1">
      <c r="A35" s="176" t="s">
        <v>2020</v>
      </c>
      <c r="B35" s="177" t="s">
        <v>2069</v>
      </c>
      <c r="C35" s="199">
        <f>ROUND(C34*F35,0)</f>
        <v>14764</v>
      </c>
      <c r="D35" s="199"/>
      <c r="E35" s="199"/>
      <c r="F35" s="1545">
        <f>'数据-取费表'!E21</f>
        <v>0.03</v>
      </c>
      <c r="G35" s="179" t="s">
        <v>2070</v>
      </c>
    </row>
    <row r="36" spans="1:7" ht="24">
      <c r="A36" s="176" t="s">
        <v>2022</v>
      </c>
      <c r="B36" s="177" t="s">
        <v>2071</v>
      </c>
      <c r="C36" s="199">
        <f>ROUND(IF('数据-取费表'!B10="住宅",C34*F36,0),0)</f>
        <v>39370</v>
      </c>
      <c r="D36" s="199"/>
      <c r="E36" s="199"/>
      <c r="F36" s="1545">
        <f>'数据-取费表'!E22</f>
        <v>0.08</v>
      </c>
      <c r="G36" s="207" t="s">
        <v>2072</v>
      </c>
    </row>
    <row r="37" spans="1:7" s="206" customFormat="1" ht="13.5" customHeight="1">
      <c r="A37" s="176" t="s">
        <v>2053</v>
      </c>
      <c r="B37" s="177" t="s">
        <v>2073</v>
      </c>
      <c r="C37" s="199">
        <f>ROUND(E37*D37,0)</f>
        <v>37856</v>
      </c>
      <c r="D37" s="1533">
        <f>IF(B1="仅计算典型户型",'数据-取费表'!E5,'数据-取费表'!B5)</f>
        <v>189.28</v>
      </c>
      <c r="E37" s="199">
        <f>'数据-取费表'!E23</f>
        <v>200</v>
      </c>
      <c r="F37" s="1545"/>
      <c r="G37" s="208" t="s">
        <v>2074</v>
      </c>
    </row>
    <row r="38" spans="1:7" ht="13.5" customHeight="1">
      <c r="A38" s="176" t="s">
        <v>2075</v>
      </c>
      <c r="B38" s="177" t="s">
        <v>2076</v>
      </c>
      <c r="C38" s="199">
        <f>ROUND(C34*F38,0)</f>
        <v>7382</v>
      </c>
      <c r="D38" s="199"/>
      <c r="E38" s="199"/>
      <c r="F38" s="1545">
        <f>'数据-取费表'!E24</f>
        <v>1.4999999999999999E-2</v>
      </c>
      <c r="G38" s="179" t="s">
        <v>2070</v>
      </c>
    </row>
    <row r="39" spans="1:7" s="175" customFormat="1" ht="13.5" customHeight="1">
      <c r="A39" s="204" t="s">
        <v>2035</v>
      </c>
      <c r="B39" s="173" t="s">
        <v>2038</v>
      </c>
      <c r="C39" s="183">
        <f>ROUND(C33*F20,0)</f>
        <v>5915</v>
      </c>
      <c r="D39" s="183"/>
      <c r="E39" s="183"/>
      <c r="F39" s="187"/>
      <c r="G39" s="184" t="s">
        <v>2077</v>
      </c>
    </row>
    <row r="40" spans="1:7" s="175" customFormat="1" ht="13.5" customHeight="1">
      <c r="A40" s="204" t="s">
        <v>2037</v>
      </c>
      <c r="B40" s="173" t="s">
        <v>2041</v>
      </c>
      <c r="C40" s="1819">
        <f>F21</f>
        <v>0.01</v>
      </c>
      <c r="D40" s="186" t="s">
        <v>2078</v>
      </c>
      <c r="E40" s="183"/>
      <c r="F40" s="187"/>
      <c r="G40" s="184" t="s">
        <v>2079</v>
      </c>
    </row>
    <row r="41" spans="1:7" s="175" customFormat="1" ht="13.5" customHeight="1">
      <c r="A41" s="204" t="s">
        <v>2040</v>
      </c>
      <c r="B41" s="173" t="s">
        <v>2045</v>
      </c>
      <c r="C41" s="183">
        <f ca="1">ROUND(SUM(C42:C43),0)</f>
        <v>28377</v>
      </c>
      <c r="D41" s="185">
        <f ca="1">C44</f>
        <v>5.0000000000000001E-4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28096</v>
      </c>
      <c r="D42" s="188"/>
      <c r="E42" s="188"/>
      <c r="F42" s="189"/>
      <c r="G42" s="3245" t="s">
        <v>2080</v>
      </c>
    </row>
    <row r="43" spans="1:7" ht="13.5" customHeight="1">
      <c r="A43" s="176" t="s">
        <v>2020</v>
      </c>
      <c r="B43" s="177" t="s">
        <v>2049</v>
      </c>
      <c r="C43" s="188">
        <f ca="1">ROUND(IF('数据-取费表'!B23&lt;=1,C39*F22*'数据-取费表'!B22/2,C39*(POWER((1+F22),'数据-取费表'!B22/2)-1)),0)</f>
        <v>281</v>
      </c>
      <c r="D43" s="188"/>
      <c r="E43" s="188"/>
      <c r="F43" s="189"/>
      <c r="G43" s="3246"/>
    </row>
    <row r="44" spans="1:7" ht="13.5" customHeight="1">
      <c r="A44" s="176" t="s">
        <v>2022</v>
      </c>
      <c r="B44" s="177" t="s">
        <v>2051</v>
      </c>
      <c r="C44" s="188">
        <f ca="1">ROUND(IF('数据-取费表'!B23&lt;=1,C40*F22*'数据-取费表'!B22/2,C40*(POWER((1+F22),'数据-取费表'!B22/2)-1)),4)</f>
        <v>5.0000000000000001E-4</v>
      </c>
      <c r="D44" s="188"/>
      <c r="E44" s="188"/>
      <c r="F44" s="189"/>
      <c r="G44" s="3247"/>
    </row>
    <row r="45" spans="1:7" s="175" customFormat="1" ht="13.5" customHeight="1">
      <c r="A45" s="204" t="s">
        <v>2044</v>
      </c>
      <c r="B45" s="194" t="s">
        <v>2056</v>
      </c>
      <c r="C45" s="195">
        <f>C46</f>
        <v>119483</v>
      </c>
      <c r="D45" s="185">
        <f>C47</f>
        <v>2E-3</v>
      </c>
      <c r="E45" s="186" t="s">
        <v>2078</v>
      </c>
      <c r="F45" s="196"/>
      <c r="G45" s="197" t="s">
        <v>2081</v>
      </c>
    </row>
    <row r="46" spans="1:7" s="175" customFormat="1" ht="13.5" customHeight="1">
      <c r="A46" s="176" t="s">
        <v>2046</v>
      </c>
      <c r="B46" s="198" t="s">
        <v>2082</v>
      </c>
      <c r="C46" s="199">
        <f>ROUND((C33+C39)*F27,0)</f>
        <v>119483</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797000</v>
      </c>
      <c r="D49" s="183"/>
      <c r="E49" s="183"/>
      <c r="F49" s="210"/>
      <c r="G49" s="184" t="s">
        <v>2088</v>
      </c>
    </row>
    <row r="50" spans="1:7" s="206" customFormat="1" ht="24">
      <c r="A50" s="1305" t="s">
        <v>2089</v>
      </c>
      <c r="B50" s="173" t="s">
        <v>2090</v>
      </c>
      <c r="C50" s="183"/>
      <c r="D50" s="183"/>
      <c r="E50" s="183"/>
      <c r="F50" s="210">
        <f>IF('数据-取费表'!B25=0,'数据-取费表'!E20,1)</f>
        <v>0.93</v>
      </c>
      <c r="G50" s="197" t="s">
        <v>2091</v>
      </c>
    </row>
    <row r="51" spans="1:7" ht="16.5" customHeight="1">
      <c r="A51" s="1305" t="s">
        <v>2092</v>
      </c>
      <c r="B51" s="173" t="s">
        <v>2093</v>
      </c>
      <c r="C51" s="183">
        <f ca="1">ROUND(C49*F50,0)</f>
        <v>741210</v>
      </c>
      <c r="D51" s="183"/>
      <c r="E51" s="183"/>
      <c r="F51" s="210"/>
      <c r="G51" s="184" t="s">
        <v>2094</v>
      </c>
    </row>
    <row r="52" spans="1:7" s="172" customFormat="1" ht="16.5" thickBot="1">
      <c r="A52" s="211" t="s">
        <v>2095</v>
      </c>
      <c r="B52" s="212"/>
      <c r="C52" s="213">
        <f ca="1">C31+C51</f>
        <v>5201507</v>
      </c>
      <c r="D52" s="212"/>
      <c r="E52" s="212"/>
      <c r="F52" s="212"/>
      <c r="G52" s="214"/>
    </row>
    <row r="55" spans="1:7" ht="15">
      <c r="B55" s="216" t="s">
        <v>2096</v>
      </c>
      <c r="C55" s="217"/>
    </row>
    <row r="56" spans="1:7">
      <c r="B56" s="219" t="s">
        <v>2097</v>
      </c>
      <c r="C56" s="220">
        <f ca="1">ROUND(C51/C52,3)</f>
        <v>0.14199999999999999</v>
      </c>
    </row>
    <row r="57" spans="1:7">
      <c r="B57" s="219" t="s">
        <v>2098</v>
      </c>
      <c r="C57" s="221">
        <f ca="1">1-C56</f>
        <v>0.85799999999999998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4533523</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23951</v>
      </c>
      <c r="C3" s="1969" t="s">
        <v>1306</v>
      </c>
      <c r="D3" s="1211"/>
      <c r="E3" s="1211"/>
      <c r="F3" s="1211"/>
      <c r="G3" s="1211"/>
      <c r="H3" s="1211"/>
      <c r="I3" s="1211"/>
      <c r="J3" s="1211"/>
      <c r="K3" s="1211"/>
    </row>
    <row r="4" spans="1:33" s="227" customFormat="1" ht="16.5" customHeight="1">
      <c r="A4" s="224" t="s">
        <v>1307</v>
      </c>
      <c r="B4" s="225"/>
      <c r="C4" s="1451">
        <f>SUM(C8:K8)</f>
        <v>6624800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189.28</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6624800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492128</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14764</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39370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2650</v>
      </c>
      <c r="D14" s="248">
        <f>IF(C1="仅计算典型户型",'数据-取费表'!E5,'数据-取费表'!B5)</f>
        <v>189.28</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7382</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556294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189.28</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30285</v>
      </c>
      <c r="D19" s="248">
        <f>IF('数据-取费表'!B10="住宅",IF(C1="仅计算典型户型",'数据-取费表'!E5,'数据-取费表'!B5),0)</f>
        <v>189.28</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556294</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5563</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4637</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113299</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113299</v>
      </c>
      <c r="D30" s="277"/>
      <c r="E30" s="290"/>
      <c r="F30" s="287"/>
      <c r="G30" s="231"/>
      <c r="H30" s="254"/>
      <c r="I30" s="254"/>
      <c r="J30" s="254"/>
      <c r="K30" s="255"/>
    </row>
    <row r="31" spans="1:33" s="266" customFormat="1" ht="13.5" customHeight="1" thickBot="1">
      <c r="A31" s="1971" t="s">
        <v>1363</v>
      </c>
      <c r="B31" s="261" t="s">
        <v>1364</v>
      </c>
      <c r="C31" s="291">
        <f>ROUND(C4*F31/(1+'数据-取费表'!F30),0)</f>
        <v>347013</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4533523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5" t="s">
        <v>2828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-605667</v>
      </c>
      <c r="C2" s="2336"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-3200</v>
      </c>
      <c r="C3" s="2336"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7" t="s">
        <v>2108</v>
      </c>
      <c r="E5" s="1214"/>
      <c r="F5" s="1383"/>
      <c r="G5" s="1238"/>
      <c r="H5" s="316">
        <v>1</v>
      </c>
      <c r="I5" s="317" t="s">
        <v>2107</v>
      </c>
      <c r="J5" s="318">
        <f ca="1">J6+J10+J12</f>
        <v>0</v>
      </c>
      <c r="K5" s="2337" t="s">
        <v>2108</v>
      </c>
      <c r="L5" s="1214"/>
      <c r="M5" s="1383"/>
    </row>
    <row r="6" spans="1:37" ht="18" customHeight="1">
      <c r="A6" s="1384" t="s">
        <v>2109</v>
      </c>
      <c r="B6" s="2025" t="s">
        <v>2110</v>
      </c>
      <c r="C6" s="318">
        <f>ROUND(F6*F8*F7*(1-F9),0)</f>
        <v>0</v>
      </c>
      <c r="D6" s="80" t="s">
        <v>2802</v>
      </c>
      <c r="E6" s="319" t="s">
        <v>2111</v>
      </c>
      <c r="F6" s="320">
        <f>'数据-取费表'!B29</f>
        <v>0</v>
      </c>
      <c r="G6" s="1238"/>
      <c r="H6" s="1384" t="s">
        <v>2109</v>
      </c>
      <c r="I6" s="2025" t="s">
        <v>2110</v>
      </c>
      <c r="J6" s="318">
        <f>ROUND(M6*M8*M7*(1-M9),0)</f>
        <v>0</v>
      </c>
      <c r="K6" s="80" t="s">
        <v>2802</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8" t="s">
        <v>2117</v>
      </c>
      <c r="C10" s="1385">
        <f ca="1">ROUND(IF(F10="押一",C6/12*F11,IF(F10="押二",C6/12*2*F11,IF(F10="押三",C6/12*3*F11,C11*F11))),0)</f>
        <v>0</v>
      </c>
      <c r="D10" s="2339" t="s">
        <v>2810</v>
      </c>
      <c r="E10" s="330" t="s">
        <v>2118</v>
      </c>
      <c r="F10" s="2340" t="s">
        <v>2119</v>
      </c>
      <c r="G10" s="1238"/>
      <c r="H10" s="1384" t="s">
        <v>2116</v>
      </c>
      <c r="I10" s="2338" t="s">
        <v>2117</v>
      </c>
      <c r="J10" s="1385">
        <f ca="1">ROUND(IF(M10="押一",J6/12*M11,IF(M10="押二",J6/12*2*M11,IF(M10="押三",J6/12*3*M11,J11*M11))),0)</f>
        <v>0</v>
      </c>
      <c r="K10" s="80" t="s">
        <v>2810</v>
      </c>
      <c r="L10" s="330" t="s">
        <v>2118</v>
      </c>
      <c r="M10" s="2340"/>
    </row>
    <row r="11" spans="1:37" s="341" customFormat="1" ht="18" customHeight="1">
      <c r="A11" s="348"/>
      <c r="B11" s="2341" t="s">
        <v>2120</v>
      </c>
      <c r="C11" s="1418"/>
      <c r="D11" s="324"/>
      <c r="E11" s="330" t="s">
        <v>2121</v>
      </c>
      <c r="F11" s="331">
        <f ca="1">'数据-取费表'!B30</f>
        <v>1.4999999999999999E-2</v>
      </c>
      <c r="G11" s="1239"/>
      <c r="H11" s="325"/>
      <c r="I11" s="2341"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2" t="s">
        <v>2124</v>
      </c>
      <c r="C12" s="1425"/>
      <c r="D12" s="2343"/>
      <c r="E12" s="1431"/>
      <c r="F12" s="1426"/>
      <c r="G12" s="1238"/>
      <c r="H12" s="1424" t="s">
        <v>2123</v>
      </c>
      <c r="I12" s="2342" t="s">
        <v>2124</v>
      </c>
      <c r="J12" s="1425"/>
      <c r="K12" s="1441"/>
      <c r="L12" s="1431"/>
      <c r="M12" s="1442"/>
    </row>
    <row r="13" spans="1:37" s="341" customFormat="1" ht="18" customHeight="1" thickTop="1">
      <c r="A13" s="1420">
        <v>2</v>
      </c>
      <c r="B13" s="1421" t="s">
        <v>2125</v>
      </c>
      <c r="C13" s="327">
        <f ca="1">ROUND(C29*F13,0)</f>
        <v>741210</v>
      </c>
      <c r="D13" s="1422" t="s">
        <v>2126</v>
      </c>
      <c r="E13" s="1422" t="s">
        <v>2127</v>
      </c>
      <c r="F13" s="1423">
        <f>'数据-取费表'!E20</f>
        <v>0.93</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492128</v>
      </c>
      <c r="D14" s="1888" t="s">
        <v>2130</v>
      </c>
      <c r="E14" s="1889"/>
      <c r="F14" s="979"/>
      <c r="G14" s="1239"/>
      <c r="H14" s="337" t="s">
        <v>2109</v>
      </c>
      <c r="I14" s="319" t="s">
        <v>2131</v>
      </c>
      <c r="J14" s="14">
        <f ca="1">C29</f>
        <v>797000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14764</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39370</v>
      </c>
      <c r="D16" s="319" t="s">
        <v>2134</v>
      </c>
      <c r="E16" s="319" t="s">
        <v>2135</v>
      </c>
      <c r="F16" s="342">
        <f>IF('数据-取费表'!B10="住宅",'数据-取费表'!E22,0)</f>
        <v>0.08</v>
      </c>
      <c r="G16" s="1239"/>
      <c r="H16" s="1420" t="s">
        <v>14</v>
      </c>
      <c r="I16" s="1421" t="s">
        <v>2140</v>
      </c>
      <c r="J16" s="327">
        <f ca="1">ROUND(J17+J22+J23+J24,0)</f>
        <v>11955</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37856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7382</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591500</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5915</v>
      </c>
      <c r="D20" s="344" t="s">
        <v>2160</v>
      </c>
      <c r="E20" s="319" t="s">
        <v>2161</v>
      </c>
      <c r="F20" s="342">
        <f>'数据-取费表'!E25</f>
        <v>0.01</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0.01</v>
      </c>
      <c r="D21" s="344" t="s">
        <v>2167</v>
      </c>
      <c r="E21" s="319" t="s">
        <v>2168</v>
      </c>
      <c r="F21" s="342">
        <f>'数据-取费表'!E26</f>
        <v>0.01</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11955</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28377</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5.0000000000000001E-4</v>
      </c>
      <c r="D24" s="2008"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-11955</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119483</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4.4999999999999998E-2</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797000</v>
      </c>
      <c r="D29" s="1433"/>
      <c r="E29" s="1431"/>
      <c r="F29" s="1434"/>
      <c r="G29" s="791"/>
      <c r="H29" s="356" t="s">
        <v>24</v>
      </c>
      <c r="I29" s="357" t="s">
        <v>2205</v>
      </c>
      <c r="J29" s="358">
        <f ca="1">ROUND(J26/(1+F40)^F41,0)</f>
        <v>0</v>
      </c>
      <c r="K29" s="359" t="s">
        <v>2206</v>
      </c>
      <c r="L29" s="360"/>
      <c r="M29" s="361">
        <f>IF(D1="仅计算典型户型",'数据-取费表'!E5,'数据-取费表'!B5)</f>
        <v>189.28</v>
      </c>
    </row>
    <row r="30" spans="1:37" ht="18" customHeight="1" thickTop="1">
      <c r="A30" s="1420" t="s">
        <v>14</v>
      </c>
      <c r="B30" s="1421" t="s">
        <v>2207</v>
      </c>
      <c r="C30" s="327">
        <f ca="1">ROUND(C31+C36+C37+C38,0)</f>
        <v>13067</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33354</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4.4999999999999998E-2</v>
      </c>
      <c r="K35" s="1231"/>
      <c r="L35" s="1230"/>
      <c r="M35" s="1230"/>
    </row>
    <row r="36" spans="1:18" ht="18" customHeight="1">
      <c r="A36" s="1387" t="s">
        <v>2116</v>
      </c>
      <c r="B36" s="319" t="s">
        <v>2216</v>
      </c>
      <c r="C36" s="14">
        <f ca="1">ROUND(C29*F36,0)</f>
        <v>11955</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1112</v>
      </c>
      <c r="D37" s="1893" t="s">
        <v>2177</v>
      </c>
      <c r="E37" s="319" t="s">
        <v>2178</v>
      </c>
      <c r="F37" s="351">
        <f>'数据-取费表'!B45</f>
        <v>1.5E-3</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0.01</v>
      </c>
      <c r="G38" s="791"/>
      <c r="H38" s="1230"/>
      <c r="I38" s="365" t="s">
        <v>2220</v>
      </c>
      <c r="J38" s="220">
        <f ca="1">ROUND(J34/C39,3)</f>
        <v>-2.5529999999999999</v>
      </c>
      <c r="K38" s="1235"/>
      <c r="L38" s="1230"/>
      <c r="M38" s="1230"/>
    </row>
    <row r="39" spans="1:18" ht="18" customHeight="1" thickTop="1">
      <c r="A39" s="1420" t="s">
        <v>22</v>
      </c>
      <c r="B39" s="1435" t="s">
        <v>2221</v>
      </c>
      <c r="C39" s="327">
        <f ca="1">C5-C30</f>
        <v>-13067</v>
      </c>
      <c r="D39" s="1436" t="s">
        <v>2222</v>
      </c>
      <c r="E39" s="1437"/>
      <c r="F39" s="1438"/>
      <c r="G39" s="791"/>
      <c r="H39" s="1230"/>
      <c r="I39" s="365" t="s">
        <v>2223</v>
      </c>
      <c r="J39" s="220">
        <f ca="1">1-J38</f>
        <v>3.5529999999999999</v>
      </c>
      <c r="K39" s="1235"/>
      <c r="L39" s="1230"/>
      <c r="M39" s="1230"/>
    </row>
    <row r="40" spans="1:18" s="791" customFormat="1" ht="18" customHeight="1">
      <c r="A40" s="316" t="s">
        <v>23</v>
      </c>
      <c r="B40" s="317" t="s">
        <v>2224</v>
      </c>
      <c r="C40" s="318">
        <f ca="1">ROUND(C39*(1-((1+F42)/(1+F40))^F41)/(F40-F42),0)</f>
        <v>-605667</v>
      </c>
      <c r="D40" s="346" t="s">
        <v>2192</v>
      </c>
      <c r="E40" s="319" t="s">
        <v>2193</v>
      </c>
      <c r="F40" s="329">
        <f>'数据-取费表'!B16</f>
        <v>4.4999999999999998E-2</v>
      </c>
      <c r="H40" s="1236"/>
      <c r="I40" s="216" t="s">
        <v>2225</v>
      </c>
      <c r="J40" s="217"/>
      <c r="K40" s="1235"/>
      <c r="L40" s="1236"/>
      <c r="M40" s="1236"/>
      <c r="Q40" s="795"/>
    </row>
    <row r="41" spans="1:18" s="791" customFormat="1" ht="18" customHeight="1">
      <c r="A41" s="321"/>
      <c r="B41" s="322"/>
      <c r="C41" s="323"/>
      <c r="D41" s="354" t="s">
        <v>2226</v>
      </c>
      <c r="E41" s="1825" t="s">
        <v>2836</v>
      </c>
      <c r="F41" s="355">
        <f>IF('数据-取费表'!B28="租赁期内按合同租金",'数据-取费表'!B34,IF(E41="收益年期(n)",'数据-取费表'!B33,'数据-取费表'!B13))</f>
        <v>54.97</v>
      </c>
      <c r="H41" s="1237"/>
      <c r="I41" s="219" t="s">
        <v>2097</v>
      </c>
      <c r="J41" s="220">
        <f ca="1">ROUND(C13/C40,3)</f>
        <v>-1.224</v>
      </c>
      <c r="K41" s="1234"/>
      <c r="L41" s="1237"/>
      <c r="M41" s="1237"/>
      <c r="Q41" s="795"/>
    </row>
    <row r="42" spans="1:18" s="791" customFormat="1" ht="18" customHeight="1">
      <c r="A42" s="325"/>
      <c r="B42" s="326"/>
      <c r="C42" s="327"/>
      <c r="D42" s="349"/>
      <c r="E42" s="319" t="s">
        <v>2202</v>
      </c>
      <c r="F42" s="329">
        <f>'数据-取费表'!B31</f>
        <v>0.04</v>
      </c>
      <c r="H42" s="1237"/>
      <c r="I42" s="219" t="s">
        <v>2098</v>
      </c>
      <c r="J42" s="221">
        <f ca="1">1-J41</f>
        <v>2.2240000000000002</v>
      </c>
      <c r="K42" s="1234"/>
      <c r="L42" s="1237"/>
      <c r="M42" s="1237"/>
      <c r="Q42" s="795"/>
    </row>
    <row r="43" spans="1:18" s="791" customFormat="1" ht="18" customHeight="1" thickBot="1">
      <c r="A43" s="356" t="s">
        <v>24</v>
      </c>
      <c r="B43" s="357" t="s">
        <v>2227</v>
      </c>
      <c r="C43" s="358">
        <f ca="1">ROUND(C40/F43,0)</f>
        <v>-3200</v>
      </c>
      <c r="D43" s="359" t="s">
        <v>2228</v>
      </c>
      <c r="E43" s="360" t="s">
        <v>2229</v>
      </c>
      <c r="F43" s="361">
        <f>IF(D1="仅计算典型户型",'数据-取费表'!E5,'数据-取费表'!B5)</f>
        <v>189.28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-605667</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4" t="s">
        <v>2239</v>
      </c>
      <c r="C47" s="1303">
        <f ca="1">IF(C2="元",C69-C40,ROUND((C69-C40)/10000,0))</f>
        <v>341120</v>
      </c>
      <c r="D47" s="2345" t="str">
        <f>C2</f>
        <v>元</v>
      </c>
      <c r="E47" s="776"/>
      <c r="F47" s="776"/>
      <c r="I47" s="2346" t="s">
        <v>2240</v>
      </c>
      <c r="J47" s="1343"/>
      <c r="K47" s="1344"/>
      <c r="L47" s="1357">
        <f>IF(M48="住宅",0,IF(L49&gt;J52,L61,J61))</f>
        <v>0</v>
      </c>
      <c r="O47" s="1371" t="s">
        <v>959</v>
      </c>
      <c r="P47" s="1368" t="s">
        <v>2241</v>
      </c>
      <c r="Q47" s="1369">
        <f ca="1">C29</f>
        <v>797000</v>
      </c>
      <c r="R47" s="1370" t="s">
        <v>2236</v>
      </c>
    </row>
    <row r="48" spans="1:18" s="791" customFormat="1" ht="15.75" thickBot="1">
      <c r="A48" s="312" t="s">
        <v>2242</v>
      </c>
      <c r="B48" s="313" t="s">
        <v>2243</v>
      </c>
      <c r="C48" s="313" t="s">
        <v>2244</v>
      </c>
      <c r="D48" s="313" t="s">
        <v>2245</v>
      </c>
      <c r="E48" s="1297" t="s">
        <v>2246</v>
      </c>
      <c r="F48" s="1298"/>
      <c r="I48" s="2347" t="s">
        <v>2247</v>
      </c>
      <c r="J48" s="2348" t="s">
        <v>2837</v>
      </c>
      <c r="K48" s="2349"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0" t="s">
        <v>2251</v>
      </c>
      <c r="J49" s="2351" t="s">
        <v>2838</v>
      </c>
      <c r="K49" s="2352" t="s">
        <v>2252</v>
      </c>
      <c r="L49" s="1128">
        <f>'数据-取费表'!B13</f>
        <v>54.97</v>
      </c>
      <c r="O49" s="1371" t="s">
        <v>961</v>
      </c>
      <c r="P49" s="1368" t="s">
        <v>2253</v>
      </c>
      <c r="Q49" s="1372">
        <f>J53</f>
        <v>0</v>
      </c>
      <c r="R49" s="1370"/>
    </row>
    <row r="50" spans="1:18" s="791" customFormat="1" ht="15.75" thickBot="1">
      <c r="A50" s="345" t="s">
        <v>2109</v>
      </c>
      <c r="B50" s="2025" t="s">
        <v>2254</v>
      </c>
      <c r="C50" s="318">
        <f>ROUND(F50*F52*F51*(1-F53),0)</f>
        <v>0</v>
      </c>
      <c r="D50" s="93" t="s">
        <v>2803</v>
      </c>
      <c r="E50" s="2353" t="s">
        <v>2255</v>
      </c>
      <c r="F50" s="1299"/>
      <c r="I50" s="2350" t="s">
        <v>2256</v>
      </c>
      <c r="J50" s="1128">
        <f>'数据-取费表'!B26</f>
        <v>2012</v>
      </c>
      <c r="K50" s="2354" t="s">
        <v>2257</v>
      </c>
      <c r="L50" s="1346"/>
      <c r="O50" s="1371" t="s">
        <v>962</v>
      </c>
      <c r="P50" s="1368" t="s">
        <v>2258</v>
      </c>
      <c r="Q50" s="1369">
        <f>J54</f>
        <v>56</v>
      </c>
      <c r="R50" s="1370" t="s">
        <v>2259</v>
      </c>
    </row>
    <row r="51" spans="1:18" s="791" customFormat="1" ht="15.75" thickBot="1">
      <c r="A51" s="321"/>
      <c r="B51" s="322"/>
      <c r="C51" s="323"/>
      <c r="D51" s="324"/>
      <c r="E51" s="339" t="s">
        <v>2112</v>
      </c>
      <c r="F51" s="1296">
        <f>F7</f>
        <v>1</v>
      </c>
      <c r="I51" s="2350" t="s">
        <v>2260</v>
      </c>
      <c r="J51" s="1347">
        <f>SUMPRODUCT((I64:I66=J48)*(J63:L63=J49)*(J64:L66))</f>
        <v>60</v>
      </c>
      <c r="K51" s="2354" t="s">
        <v>2261</v>
      </c>
      <c r="L51" s="1346"/>
      <c r="O51" s="1367" t="s">
        <v>963</v>
      </c>
      <c r="P51" s="1368" t="str">
        <f>IF(C2="元","收益价值(元)","收益价值(万元)")</f>
        <v>收益价值(元)</v>
      </c>
      <c r="Q51" s="1369">
        <f ca="1">ROUND(IF(C2="元",Q45+Q46,(Q45+Q46)/10000),0)</f>
        <v>-605667</v>
      </c>
      <c r="R51" s="1370" t="s">
        <v>964</v>
      </c>
    </row>
    <row r="52" spans="1:18" s="791" customFormat="1" ht="16.5" thickBot="1">
      <c r="A52" s="321"/>
      <c r="B52" s="322"/>
      <c r="C52" s="323"/>
      <c r="D52" s="324"/>
      <c r="E52" s="319" t="s">
        <v>2114</v>
      </c>
      <c r="F52" s="320">
        <f>F8</f>
        <v>12</v>
      </c>
      <c r="I52" s="2355" t="s">
        <v>2262</v>
      </c>
      <c r="J52" s="1348">
        <f>IF(J50="",J51,J50+J51-YEAR('数据-取费表'!B2))</f>
        <v>56</v>
      </c>
      <c r="K52" s="2356" t="s">
        <v>2263</v>
      </c>
      <c r="L52" s="1349">
        <f ca="1">ROUND(-PV('数据-取费表'!B15,L49,(C40-C13*J35)),0)</f>
        <v>-14125702</v>
      </c>
      <c r="O52" s="1361" t="s">
        <v>2264</v>
      </c>
      <c r="P52" s="1362"/>
      <c r="Q52" s="1358"/>
      <c r="R52" s="1362"/>
    </row>
    <row r="53" spans="1:18" s="791" customFormat="1" ht="15.75" thickBot="1">
      <c r="A53" s="325"/>
      <c r="B53" s="326"/>
      <c r="C53" s="327"/>
      <c r="D53" s="328"/>
      <c r="E53" s="319" t="s">
        <v>2115</v>
      </c>
      <c r="F53" s="1356"/>
      <c r="I53" s="2357" t="s">
        <v>2265</v>
      </c>
      <c r="J53" s="1350"/>
      <c r="K53" s="2357" t="s">
        <v>2266</v>
      </c>
      <c r="L53" s="1350"/>
      <c r="O53" s="1363" t="s">
        <v>2231</v>
      </c>
      <c r="P53" s="1364" t="s">
        <v>2232</v>
      </c>
      <c r="Q53" s="1365" t="s">
        <v>2233</v>
      </c>
      <c r="R53" s="1366" t="s">
        <v>2234</v>
      </c>
    </row>
    <row r="54" spans="1:18" s="791" customFormat="1" ht="29.25" customHeight="1" thickBot="1">
      <c r="A54" s="1384" t="s">
        <v>2116</v>
      </c>
      <c r="B54" s="2338" t="s">
        <v>2117</v>
      </c>
      <c r="C54" s="1385">
        <f ca="1">ROUND(IF(F54="押一",C50/12*F11,IF(F54="押二",C50/12*2*F11,IF(F54="押三",C50/12*3*F11,C55*F11))),0)</f>
        <v>0</v>
      </c>
      <c r="D54" s="2339" t="s">
        <v>2811</v>
      </c>
      <c r="E54" s="330" t="s">
        <v>2118</v>
      </c>
      <c r="F54" s="2340"/>
      <c r="I54" s="2358" t="s">
        <v>2267</v>
      </c>
      <c r="J54" s="1351">
        <f>IF(M48="住宅",J52,IF(E1="——",MIN(J52,L49),IF(E1="在建（套用方法）",MIN(J52,L49-'数据-取费表'!B25),IF(E1="土地（套用方法）",MIN(J52,L49-'数据-取费表'!B21)))))</f>
        <v>56</v>
      </c>
      <c r="K54" s="3248" t="s">
        <v>2801</v>
      </c>
      <c r="L54" s="3249"/>
      <c r="O54" s="1367" t="s">
        <v>957</v>
      </c>
      <c r="P54" s="1368" t="s">
        <v>2235</v>
      </c>
      <c r="Q54" s="1369">
        <f ca="1">C40+J29</f>
        <v>-605667</v>
      </c>
      <c r="R54" s="1370" t="s">
        <v>2236</v>
      </c>
    </row>
    <row r="55" spans="1:18" s="791" customFormat="1" ht="20.25" thickBot="1">
      <c r="A55" s="1384"/>
      <c r="B55" s="2359" t="s">
        <v>2122</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2268</v>
      </c>
      <c r="Q55" s="1369">
        <f>L61</f>
        <v>0</v>
      </c>
      <c r="R55" s="1370" t="s">
        <v>2269</v>
      </c>
    </row>
    <row r="56" spans="1:18" s="791" customFormat="1" ht="20.25" thickBot="1">
      <c r="A56" s="1424" t="s">
        <v>2123</v>
      </c>
      <c r="B56" s="2342" t="s">
        <v>2124</v>
      </c>
      <c r="C56" s="1425"/>
      <c r="D56" s="1441"/>
      <c r="E56" s="2362"/>
      <c r="F56" s="1501"/>
      <c r="I56" s="2363" t="s">
        <v>2270</v>
      </c>
      <c r="J56" s="1871" t="e">
        <f>ROUND(IF(J48="钢混",J58/J51,1-(1-2%)*(J51-J58)/J51),3)</f>
        <v>#VALUE!</v>
      </c>
      <c r="K56" s="2364"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741210</v>
      </c>
      <c r="D57" s="1294"/>
      <c r="E57" s="1295"/>
      <c r="F57" s="1302"/>
      <c r="I57" s="2365" t="s">
        <v>2273</v>
      </c>
      <c r="J57" s="1355"/>
      <c r="K57" s="2350" t="s">
        <v>2274</v>
      </c>
      <c r="L57" s="1128" t="str">
        <f>IF(L49&lt;J52,"——",L49-J52)</f>
        <v>——</v>
      </c>
      <c r="O57" s="1371" t="s">
        <v>960</v>
      </c>
      <c r="P57" s="1368" t="s">
        <v>2275</v>
      </c>
      <c r="Q57" s="1372">
        <f>L53</f>
        <v>0</v>
      </c>
      <c r="R57" s="1370"/>
    </row>
    <row r="58" spans="1:18" s="791" customFormat="1" ht="29.25" thickBot="1">
      <c r="A58" s="1301"/>
      <c r="B58" s="319" t="s">
        <v>2204</v>
      </c>
      <c r="C58" s="188">
        <f ca="1">C29</f>
        <v>797000</v>
      </c>
      <c r="D58" s="1294"/>
      <c r="E58" s="1295"/>
      <c r="F58" s="1302"/>
      <c r="I58" s="2366" t="s">
        <v>2276</v>
      </c>
      <c r="J58" s="1354" t="str">
        <f>IF(OR(M48="住宅",J52&lt;L49,J57="是"),"——",J52-L49)</f>
        <v>——</v>
      </c>
      <c r="K58" s="2350" t="s">
        <v>2277</v>
      </c>
      <c r="L58" s="1128" t="str">
        <f>IF(L49&lt;J52,"——",IF(L56="比较法",L50,IF(L56="基准地价",L51,L52)))</f>
        <v>——</v>
      </c>
      <c r="O58" s="1371" t="s">
        <v>961</v>
      </c>
      <c r="P58" s="1368" t="s">
        <v>2278</v>
      </c>
      <c r="Q58" s="1369" t="e">
        <f>L59</f>
        <v>#DIV/0!</v>
      </c>
      <c r="R58" s="1370" t="s">
        <v>2279</v>
      </c>
    </row>
    <row r="59" spans="1:18" s="791" customFormat="1" ht="29.25" thickBot="1">
      <c r="A59" s="332" t="s">
        <v>14</v>
      </c>
      <c r="B59" s="333" t="s">
        <v>2207</v>
      </c>
      <c r="C59" s="334">
        <f ca="1">ROUND(C60+C65+C66+C67,0)</f>
        <v>13067</v>
      </c>
      <c r="D59" s="12" t="s">
        <v>2208</v>
      </c>
      <c r="E59" s="1898"/>
      <c r="F59" s="16"/>
      <c r="I59" s="2366" t="s">
        <v>2280</v>
      </c>
      <c r="J59" s="1870" t="e">
        <f>IF(J56&lt;0.4,0.4,J56)</f>
        <v>#VALUE!</v>
      </c>
      <c r="K59" s="2356"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6" t="s">
        <v>2283</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-605667</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7" t="s">
        <v>2284</v>
      </c>
      <c r="J61" s="1353" t="str">
        <f>IF(OR(M48="住宅",J52&lt;L49,J57="是"),"0",ROUND(J60/(1+J53)^J54,0))</f>
        <v>0</v>
      </c>
      <c r="K61" s="2368"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9" t="s">
        <v>2291</v>
      </c>
      <c r="J63" s="1874" t="s">
        <v>2292</v>
      </c>
      <c r="K63" s="1874" t="s">
        <v>2293</v>
      </c>
      <c r="L63" s="1874" t="s">
        <v>2294</v>
      </c>
      <c r="M63" s="1873" t="s">
        <v>2295</v>
      </c>
      <c r="O63" s="1367" t="s">
        <v>957</v>
      </c>
      <c r="P63" s="1368" t="s">
        <v>2235</v>
      </c>
      <c r="Q63" s="1369">
        <f ca="1">C40+J29</f>
        <v>-605667</v>
      </c>
      <c r="R63" s="1370" t="s">
        <v>2236</v>
      </c>
    </row>
    <row r="64" spans="1:18" s="791" customFormat="1" ht="20.25" thickBot="1">
      <c r="A64" s="348"/>
      <c r="B64" s="328"/>
      <c r="C64" s="19"/>
      <c r="D64" s="349"/>
      <c r="E64" s="319" t="s">
        <v>2296</v>
      </c>
      <c r="F64" s="320">
        <f t="shared" si="0"/>
        <v>0</v>
      </c>
      <c r="I64" s="2369"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11955</v>
      </c>
      <c r="D65" s="1893" t="s">
        <v>2217</v>
      </c>
      <c r="E65" s="319" t="s">
        <v>2161</v>
      </c>
      <c r="F65" s="350">
        <f t="shared" si="0"/>
        <v>1.4999999999999999E-2</v>
      </c>
      <c r="I65" s="2369" t="s">
        <v>2298</v>
      </c>
      <c r="J65" s="1874">
        <v>50</v>
      </c>
      <c r="K65" s="1874">
        <v>35</v>
      </c>
      <c r="L65" s="1874">
        <v>60</v>
      </c>
      <c r="M65" s="1873">
        <v>0</v>
      </c>
      <c r="O65" s="1371" t="s">
        <v>959</v>
      </c>
      <c r="P65" s="1368" t="s">
        <v>2272</v>
      </c>
      <c r="Q65" s="1373">
        <f ca="1">L52</f>
        <v>-14125702</v>
      </c>
      <c r="R65" s="1374" t="s">
        <v>2299</v>
      </c>
    </row>
    <row r="66" spans="1:18" s="791" customFormat="1" ht="20.25" thickBot="1">
      <c r="A66" s="337" t="s">
        <v>20</v>
      </c>
      <c r="B66" s="319" t="s">
        <v>2176</v>
      </c>
      <c r="C66" s="14">
        <f ca="1">ROUND(C57*F66,0)</f>
        <v>1112</v>
      </c>
      <c r="D66" s="1893" t="s">
        <v>2177</v>
      </c>
      <c r="E66" s="319" t="s">
        <v>2178</v>
      </c>
      <c r="F66" s="351">
        <f t="shared" si="0"/>
        <v>1.5E-3</v>
      </c>
      <c r="I66" s="2369" t="s">
        <v>2300</v>
      </c>
      <c r="J66" s="1874">
        <v>40</v>
      </c>
      <c r="K66" s="1874">
        <v>30</v>
      </c>
      <c r="L66" s="1874">
        <v>50</v>
      </c>
      <c r="M66" s="1872">
        <v>0.02</v>
      </c>
      <c r="O66" s="1371" t="s">
        <v>960</v>
      </c>
      <c r="P66" s="1375" t="s">
        <v>2301</v>
      </c>
      <c r="Q66" s="1369">
        <f ca="1">ROUND(Q67-Q68*Q69,0)</f>
        <v>-46421</v>
      </c>
      <c r="R66" s="1370"/>
    </row>
    <row r="67" spans="1:18" s="791" customFormat="1" ht="15.75" thickBot="1">
      <c r="A67" s="337" t="s">
        <v>21</v>
      </c>
      <c r="B67" s="319" t="s">
        <v>2159</v>
      </c>
      <c r="C67" s="14">
        <f ca="1">ROUND(C49*F67,0)</f>
        <v>0</v>
      </c>
      <c r="D67" s="1893" t="s">
        <v>2182</v>
      </c>
      <c r="E67" s="319" t="s">
        <v>2178</v>
      </c>
      <c r="F67" s="329">
        <f t="shared" si="0"/>
        <v>0.01</v>
      </c>
      <c r="O67" s="1371" t="s">
        <v>965</v>
      </c>
      <c r="P67" s="1375" t="s">
        <v>2302</v>
      </c>
      <c r="Q67" s="1369">
        <f ca="1">C39</f>
        <v>-13067</v>
      </c>
      <c r="R67" s="1370" t="s">
        <v>2236</v>
      </c>
    </row>
    <row r="68" spans="1:18" ht="15.75" thickBot="1">
      <c r="A68" s="332" t="s">
        <v>22</v>
      </c>
      <c r="B68" s="89" t="s">
        <v>2186</v>
      </c>
      <c r="C68" s="334">
        <f ca="1">C49-C59</f>
        <v>-13067</v>
      </c>
      <c r="D68" s="1888" t="s">
        <v>2187</v>
      </c>
      <c r="E68" s="1892"/>
      <c r="F68" s="353"/>
      <c r="H68" s="791"/>
      <c r="I68" s="791"/>
      <c r="J68" s="791"/>
      <c r="K68" s="791"/>
      <c r="L68" s="791"/>
      <c r="M68" s="791"/>
      <c r="O68" s="1371" t="s">
        <v>966</v>
      </c>
      <c r="P68" s="1375" t="s">
        <v>2303</v>
      </c>
      <c r="Q68" s="1369">
        <f ca="1">C13</f>
        <v>741210</v>
      </c>
      <c r="R68" s="1370" t="s">
        <v>2236</v>
      </c>
    </row>
    <row r="69" spans="1:18" ht="15.75" thickBot="1">
      <c r="A69" s="316" t="s">
        <v>23</v>
      </c>
      <c r="B69" s="317" t="s">
        <v>2224</v>
      </c>
      <c r="C69" s="318">
        <f ca="1">ROUND(C68*(1-((1+F71)/(1+F69))^F70)/(F69-F71),0)</f>
        <v>-264547</v>
      </c>
      <c r="D69" s="346" t="s">
        <v>2192</v>
      </c>
      <c r="E69" s="319" t="s">
        <v>2193</v>
      </c>
      <c r="F69" s="329">
        <f>F40</f>
        <v>4.4999999999999998E-2</v>
      </c>
      <c r="H69" s="791"/>
      <c r="I69" s="791"/>
      <c r="J69" s="791"/>
      <c r="K69" s="791"/>
      <c r="L69" s="791"/>
      <c r="M69" s="791"/>
      <c r="O69" s="1371" t="s">
        <v>967</v>
      </c>
      <c r="P69" s="1375" t="s">
        <v>2304</v>
      </c>
      <c r="Q69" s="1372">
        <f>J35</f>
        <v>4.4999999999999998E-2</v>
      </c>
      <c r="R69" s="1370"/>
    </row>
    <row r="70" spans="1:18" ht="15.75" thickBot="1">
      <c r="A70" s="321"/>
      <c r="B70" s="322"/>
      <c r="C70" s="323"/>
      <c r="D70" s="354" t="s">
        <v>2226</v>
      </c>
      <c r="E70" s="319" t="s">
        <v>2198</v>
      </c>
      <c r="F70" s="355">
        <f>F41</f>
        <v>54.97</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-1398</v>
      </c>
      <c r="D72" s="359" t="s">
        <v>2228</v>
      </c>
      <c r="E72" s="360" t="s">
        <v>2229</v>
      </c>
      <c r="F72" s="361">
        <f>F43</f>
        <v>189.28</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-605667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266" t="s">
        <v>1024</v>
      </c>
      <c r="B1" s="3267"/>
      <c r="C1" s="3268"/>
      <c r="D1" s="3269">
        <f>SUM(I10,I15,I20,I21,I23)</f>
        <v>0</v>
      </c>
      <c r="E1" s="3269"/>
      <c r="F1" s="3269"/>
      <c r="G1" s="3269"/>
      <c r="H1" s="3269"/>
      <c r="I1" s="3270"/>
    </row>
    <row r="2" spans="1:9">
      <c r="A2" s="3256" t="s">
        <v>1025</v>
      </c>
      <c r="B2" s="3257" t="s">
        <v>974</v>
      </c>
      <c r="C2" s="3257"/>
      <c r="D2" s="1389" t="s">
        <v>975</v>
      </c>
      <c r="E2" s="1389" t="s">
        <v>976</v>
      </c>
      <c r="F2" s="1389" t="s">
        <v>977</v>
      </c>
      <c r="G2" s="1389" t="s">
        <v>978</v>
      </c>
      <c r="H2" s="1389" t="s">
        <v>979</v>
      </c>
      <c r="I2" s="1390" t="s">
        <v>980</v>
      </c>
    </row>
    <row r="3" spans="1:9">
      <c r="A3" s="3256"/>
      <c r="B3" s="3257" t="s">
        <v>981</v>
      </c>
      <c r="C3" s="3257"/>
      <c r="D3" s="1391"/>
      <c r="E3" s="1389"/>
      <c r="F3" s="1392"/>
      <c r="G3" s="1392"/>
      <c r="H3" s="1393"/>
      <c r="I3" s="1394">
        <f>ROUND(D3*E3*F3*G3*H3/10000,0)</f>
        <v>0</v>
      </c>
    </row>
    <row r="4" spans="1:9">
      <c r="A4" s="3256"/>
      <c r="B4" s="3257" t="s">
        <v>982</v>
      </c>
      <c r="C4" s="3257"/>
      <c r="D4" s="1391"/>
      <c r="E4" s="1389"/>
      <c r="F4" s="1392"/>
      <c r="G4" s="1392"/>
      <c r="H4" s="1393"/>
      <c r="I4" s="1394">
        <f t="shared" ref="I4:I9" si="0">ROUND(D4*E4*F4*G4*H4/10000,0)</f>
        <v>0</v>
      </c>
    </row>
    <row r="5" spans="1:9">
      <c r="A5" s="3256"/>
      <c r="B5" s="3257" t="s">
        <v>983</v>
      </c>
      <c r="C5" s="3257"/>
      <c r="D5" s="1391"/>
      <c r="E5" s="1389"/>
      <c r="F5" s="1392"/>
      <c r="G5" s="1392"/>
      <c r="H5" s="1393"/>
      <c r="I5" s="1394">
        <f t="shared" si="0"/>
        <v>0</v>
      </c>
    </row>
    <row r="6" spans="1:9">
      <c r="A6" s="3256"/>
      <c r="B6" s="3257" t="s">
        <v>984</v>
      </c>
      <c r="C6" s="3257"/>
      <c r="D6" s="1391"/>
      <c r="E6" s="1389"/>
      <c r="F6" s="1392"/>
      <c r="G6" s="1392"/>
      <c r="H6" s="1393"/>
      <c r="I6" s="1394">
        <f t="shared" si="0"/>
        <v>0</v>
      </c>
    </row>
    <row r="7" spans="1:9">
      <c r="A7" s="3256"/>
      <c r="B7" s="3257" t="s">
        <v>985</v>
      </c>
      <c r="C7" s="3257"/>
      <c r="D7" s="1391"/>
      <c r="E7" s="1389"/>
      <c r="F7" s="1392"/>
      <c r="G7" s="1392"/>
      <c r="H7" s="1393"/>
      <c r="I7" s="1394">
        <f t="shared" si="0"/>
        <v>0</v>
      </c>
    </row>
    <row r="8" spans="1:9">
      <c r="A8" s="3256"/>
      <c r="B8" s="3257" t="s">
        <v>986</v>
      </c>
      <c r="C8" s="3257"/>
      <c r="D8" s="1391"/>
      <c r="E8" s="1389"/>
      <c r="F8" s="1392"/>
      <c r="G8" s="1392"/>
      <c r="H8" s="1393"/>
      <c r="I8" s="1394">
        <f t="shared" si="0"/>
        <v>0</v>
      </c>
    </row>
    <row r="9" spans="1:9">
      <c r="A9" s="3256"/>
      <c r="B9" s="3257" t="s">
        <v>987</v>
      </c>
      <c r="C9" s="3257"/>
      <c r="D9" s="1391"/>
      <c r="E9" s="1389"/>
      <c r="F9" s="1392"/>
      <c r="G9" s="1392"/>
      <c r="H9" s="1393"/>
      <c r="I9" s="1394">
        <f t="shared" si="0"/>
        <v>0</v>
      </c>
    </row>
    <row r="10" spans="1:9">
      <c r="A10" s="3256"/>
      <c r="B10" s="3258" t="s">
        <v>988</v>
      </c>
      <c r="C10" s="3258"/>
      <c r="D10" s="1395">
        <v>527</v>
      </c>
      <c r="E10" s="1395" t="e">
        <f>ROUND(D1*10000/D10/H9,0)</f>
        <v>#DIV/0!</v>
      </c>
      <c r="F10" s="1396"/>
      <c r="G10" s="1396"/>
      <c r="H10" s="1397"/>
      <c r="I10" s="1398">
        <f>SUM(I3:I9)</f>
        <v>0</v>
      </c>
    </row>
    <row r="11" spans="1:9" ht="14.25">
      <c r="A11" s="3256" t="s">
        <v>1026</v>
      </c>
      <c r="B11" s="3257" t="s">
        <v>989</v>
      </c>
      <c r="C11" s="3257"/>
      <c r="D11" s="1391" t="s">
        <v>990</v>
      </c>
      <c r="E11" s="1391" t="s">
        <v>991</v>
      </c>
      <c r="F11" s="1392" t="s">
        <v>992</v>
      </c>
      <c r="G11" s="1392" t="s">
        <v>979</v>
      </c>
      <c r="H11" s="1399" t="s">
        <v>993</v>
      </c>
      <c r="I11" s="1390" t="s">
        <v>980</v>
      </c>
    </row>
    <row r="12" spans="1:9">
      <c r="A12" s="3256"/>
      <c r="B12" s="3257" t="s">
        <v>994</v>
      </c>
      <c r="C12" s="3257"/>
      <c r="D12" s="1391"/>
      <c r="E12" s="1391"/>
      <c r="F12" s="1392"/>
      <c r="G12" s="1393"/>
      <c r="H12" s="1400"/>
      <c r="I12" s="1390">
        <f>ROUND(D12*E12*F12*G12/10000,0)</f>
        <v>0</v>
      </c>
    </row>
    <row r="13" spans="1:9">
      <c r="A13" s="3256"/>
      <c r="B13" s="3257" t="s">
        <v>995</v>
      </c>
      <c r="C13" s="3257"/>
      <c r="D13" s="1391"/>
      <c r="E13" s="1391"/>
      <c r="F13" s="1392"/>
      <c r="G13" s="1393"/>
      <c r="H13" s="1400"/>
      <c r="I13" s="1390">
        <f>ROUND(D13*E13*F13*G13/10000,0)</f>
        <v>0</v>
      </c>
    </row>
    <row r="14" spans="1:9">
      <c r="A14" s="3256"/>
      <c r="B14" s="3257" t="s">
        <v>996</v>
      </c>
      <c r="C14" s="3257"/>
      <c r="D14" s="1391"/>
      <c r="E14" s="1391"/>
      <c r="F14" s="1392"/>
      <c r="G14" s="1393"/>
      <c r="H14" s="1400"/>
      <c r="I14" s="1390">
        <f>ROUND(D14*E14*F14*G14/10000,0)</f>
        <v>0</v>
      </c>
    </row>
    <row r="15" spans="1:9">
      <c r="A15" s="3256"/>
      <c r="B15" s="3258" t="s">
        <v>988</v>
      </c>
      <c r="C15" s="3258"/>
      <c r="D15" s="1395"/>
      <c r="E15" s="1395">
        <f>SUM(E12:E14)</f>
        <v>0</v>
      </c>
      <c r="F15" s="1396"/>
      <c r="G15" s="1393"/>
      <c r="H15" s="1400"/>
      <c r="I15" s="1401">
        <f>SUM(I12:I14)</f>
        <v>0</v>
      </c>
    </row>
    <row r="16" spans="1:9" ht="24">
      <c r="A16" s="3256" t="s">
        <v>1027</v>
      </c>
      <c r="B16" s="3257" t="s">
        <v>997</v>
      </c>
      <c r="C16" s="3257"/>
      <c r="D16" s="1391" t="s">
        <v>975</v>
      </c>
      <c r="E16" s="1402" t="s">
        <v>998</v>
      </c>
      <c r="F16" s="1392" t="s">
        <v>999</v>
      </c>
      <c r="G16" s="1393" t="s">
        <v>979</v>
      </c>
      <c r="H16" s="1399" t="s">
        <v>993</v>
      </c>
      <c r="I16" s="1390" t="s">
        <v>980</v>
      </c>
    </row>
    <row r="17" spans="1:9" ht="14.25">
      <c r="A17" s="3256"/>
      <c r="B17" s="3257" t="s">
        <v>1000</v>
      </c>
      <c r="C17" s="3257"/>
      <c r="D17" s="1391"/>
      <c r="E17" s="1391"/>
      <c r="F17" s="1392"/>
      <c r="G17" s="1393"/>
      <c r="H17" s="1403"/>
      <c r="I17" s="1404">
        <f>ROUND(D17*E17*F17*G17/10000,0)</f>
        <v>0</v>
      </c>
    </row>
    <row r="18" spans="1:9" ht="14.25">
      <c r="A18" s="3256"/>
      <c r="B18" s="3257" t="s">
        <v>1001</v>
      </c>
      <c r="C18" s="3257"/>
      <c r="D18" s="1391"/>
      <c r="E18" s="1391"/>
      <c r="F18" s="1392"/>
      <c r="G18" s="1393"/>
      <c r="H18" s="1403"/>
      <c r="I18" s="1404">
        <f>ROUND(D18*E18*F18*G18/10000,0)</f>
        <v>0</v>
      </c>
    </row>
    <row r="19" spans="1:9" ht="14.25">
      <c r="A19" s="3256"/>
      <c r="B19" s="3257" t="s">
        <v>1002</v>
      </c>
      <c r="C19" s="3257"/>
      <c r="D19" s="1391"/>
      <c r="E19" s="1391"/>
      <c r="F19" s="1392"/>
      <c r="G19" s="1393"/>
      <c r="H19" s="1403"/>
      <c r="I19" s="1404">
        <f>ROUND(D19*E19*F19*G19/10000,0)</f>
        <v>0</v>
      </c>
    </row>
    <row r="20" spans="1:9">
      <c r="A20" s="3256"/>
      <c r="B20" s="3258" t="s">
        <v>988</v>
      </c>
      <c r="C20" s="3258"/>
      <c r="D20" s="1395">
        <f>SUM(D17:D19)</f>
        <v>0</v>
      </c>
      <c r="E20" s="1395"/>
      <c r="F20" s="1396"/>
      <c r="G20" s="1393"/>
      <c r="H20" s="1400"/>
      <c r="I20" s="1401">
        <f>SUM(I17:I19)</f>
        <v>0</v>
      </c>
    </row>
    <row r="21" spans="1:9">
      <c r="A21" s="3256" t="s">
        <v>1028</v>
      </c>
      <c r="B21" s="3259"/>
      <c r="C21" s="3259"/>
      <c r="D21" s="3259"/>
      <c r="E21" s="3259"/>
      <c r="F21" s="3259"/>
      <c r="G21" s="3259"/>
      <c r="H21" s="1405">
        <v>0.1</v>
      </c>
      <c r="I21" s="1398">
        <f>ROUND(I10*H21,0)</f>
        <v>0</v>
      </c>
    </row>
    <row r="22" spans="1:9" ht="14.25">
      <c r="A22" s="3260" t="s">
        <v>1029</v>
      </c>
      <c r="B22" s="3261"/>
      <c r="C22" s="3262"/>
      <c r="D22" s="1406" t="s">
        <v>1003</v>
      </c>
      <c r="E22" s="1406" t="s">
        <v>1004</v>
      </c>
      <c r="F22" s="1407" t="s">
        <v>979</v>
      </c>
      <c r="G22" s="1407" t="s">
        <v>1005</v>
      </c>
      <c r="H22" s="1399" t="s">
        <v>993</v>
      </c>
      <c r="I22" s="1390" t="s">
        <v>980</v>
      </c>
    </row>
    <row r="23" spans="1:9" ht="14.25" thickBot="1">
      <c r="A23" s="3263"/>
      <c r="B23" s="3264"/>
      <c r="C23" s="3265"/>
      <c r="D23" s="1408"/>
      <c r="E23" s="1408"/>
      <c r="F23" s="1408"/>
      <c r="G23" s="1409"/>
      <c r="H23" s="1410"/>
      <c r="I23" s="1411">
        <f>ROUND(E23*D23*F23*(1-G23)/10000,0)</f>
        <v>0</v>
      </c>
    </row>
    <row r="26" spans="1:9">
      <c r="A26" s="1412" t="s">
        <v>1006</v>
      </c>
      <c r="B26" s="1412"/>
      <c r="C26" s="1412"/>
      <c r="D26" s="1412"/>
      <c r="E26" s="3253">
        <f>C27-C30-C31-C32</f>
        <v>0</v>
      </c>
      <c r="F26" s="3253"/>
      <c r="G26" s="3253"/>
      <c r="H26" s="1829" t="s">
        <v>1219</v>
      </c>
    </row>
    <row r="27" spans="1:9">
      <c r="A27" s="1413">
        <v>1</v>
      </c>
      <c r="B27" s="1414" t="s">
        <v>1007</v>
      </c>
      <c r="C27" s="1414">
        <f>C28+C29</f>
        <v>0</v>
      </c>
      <c r="D27" s="1414"/>
      <c r="E27" s="3254"/>
      <c r="F27" s="3254"/>
      <c r="G27" s="3254"/>
    </row>
    <row r="28" spans="1:9">
      <c r="A28" s="1415" t="s">
        <v>1008</v>
      </c>
      <c r="B28" s="1414" t="s">
        <v>1009</v>
      </c>
      <c r="C28" s="1414"/>
      <c r="D28" s="1414"/>
      <c r="E28" s="3254"/>
      <c r="F28" s="3254"/>
      <c r="G28" s="325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255"/>
      <c r="F32" s="3255"/>
      <c r="G32" s="3255"/>
    </row>
    <row r="33" spans="1:7" hidden="1">
      <c r="A33" s="3250" t="s">
        <v>1018</v>
      </c>
      <c r="B33" s="3251"/>
      <c r="C33" s="3251"/>
      <c r="D33" s="3252"/>
      <c r="E33" s="3253"/>
      <c r="F33" s="3253"/>
      <c r="G33" s="3253"/>
    </row>
    <row r="34" spans="1:7" hidden="1">
      <c r="A34" s="1417">
        <v>1</v>
      </c>
      <c r="B34" s="1414" t="s">
        <v>1019</v>
      </c>
      <c r="C34" s="1414"/>
      <c r="D34" s="1414"/>
      <c r="E34" s="3254"/>
      <c r="F34" s="3254"/>
      <c r="G34" s="3254"/>
    </row>
    <row r="35" spans="1:7" hidden="1">
      <c r="A35" s="1417">
        <v>2</v>
      </c>
      <c r="B35" s="1414" t="s">
        <v>1020</v>
      </c>
      <c r="C35" s="1414"/>
      <c r="D35" s="1414"/>
      <c r="E35" s="3254"/>
      <c r="F35" s="3254"/>
      <c r="G35" s="3254"/>
    </row>
    <row r="36" spans="1:7" hidden="1">
      <c r="A36" s="1417">
        <v>3</v>
      </c>
      <c r="B36" s="1414" t="s">
        <v>1021</v>
      </c>
      <c r="C36" s="1414"/>
      <c r="D36" s="1414"/>
      <c r="E36" s="3254"/>
      <c r="F36" s="3254"/>
      <c r="G36" s="3254"/>
    </row>
    <row r="37" spans="1:7" hidden="1">
      <c r="A37" s="1417">
        <v>4</v>
      </c>
      <c r="B37" s="1414" t="s">
        <v>1022</v>
      </c>
      <c r="C37" s="1414"/>
      <c r="D37" s="1414"/>
      <c r="E37" s="3254"/>
      <c r="F37" s="3254"/>
      <c r="G37" s="3254"/>
    </row>
    <row r="38" spans="1:7" hidden="1">
      <c r="A38" s="3250" t="s">
        <v>1023</v>
      </c>
      <c r="B38" s="3251"/>
      <c r="C38" s="3251"/>
      <c r="D38" s="3252"/>
      <c r="E38" s="3253"/>
      <c r="F38" s="3253"/>
      <c r="G38" s="325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S28" sqref="S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15157353</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40039</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274" t="s">
        <v>2310</v>
      </c>
      <c r="D4" s="3275"/>
      <c r="E4" s="3275"/>
      <c r="F4" s="3275"/>
      <c r="G4" s="3275"/>
      <c r="H4" s="3275"/>
      <c r="I4" s="3275"/>
      <c r="J4" s="3275"/>
      <c r="K4" s="3275"/>
      <c r="L4" s="3275"/>
      <c r="M4" s="3275"/>
      <c r="N4" s="3275"/>
      <c r="O4" s="3275"/>
      <c r="P4" s="3275"/>
      <c r="Q4" s="3275"/>
      <c r="R4" s="3275"/>
      <c r="S4" s="3276"/>
      <c r="T4" s="678" t="s">
        <v>2311</v>
      </c>
      <c r="U4" s="1312"/>
      <c r="V4" s="1312"/>
      <c r="X4" s="1312"/>
      <c r="Y4" s="1312"/>
    </row>
    <row r="5" spans="1:44" s="692" customFormat="1" ht="25.5">
      <c r="A5" s="1322"/>
      <c r="B5" s="687" t="s">
        <v>2312</v>
      </c>
      <c r="C5" s="688" t="str">
        <f t="shared" ref="C5:L5" si="0">C6&amp;"(含)"&amp;"-"&amp;D6</f>
        <v>1(含)-190</v>
      </c>
      <c r="D5" s="689" t="str">
        <f t="shared" si="0"/>
        <v>190(含)-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1</v>
      </c>
      <c r="D6" s="695">
        <v>190</v>
      </c>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v>100</v>
      </c>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859" t="s">
        <v>3107</v>
      </c>
      <c r="C8" s="2858" t="s">
        <v>3112</v>
      </c>
      <c r="D8" s="2860" t="s">
        <v>3110</v>
      </c>
      <c r="E8" s="2860" t="s">
        <v>3108</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285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15157353</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f>R25</f>
        <v>40039</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ht="54" customHeight="1">
      <c r="A25" s="334" t="s">
        <v>2328</v>
      </c>
      <c r="B25" s="14">
        <f>SUM(B27:B10000)</f>
        <v>378.56</v>
      </c>
      <c r="C25" s="3271" t="s">
        <v>45</v>
      </c>
      <c r="D25" s="3272"/>
      <c r="E25" s="3272"/>
      <c r="F25" s="3272"/>
      <c r="G25" s="3272"/>
      <c r="H25" s="3272"/>
      <c r="I25" s="3272"/>
      <c r="J25" s="3272"/>
      <c r="K25" s="3272"/>
      <c r="L25" s="3272"/>
      <c r="M25" s="3272"/>
      <c r="N25" s="3272"/>
      <c r="O25" s="3272"/>
      <c r="P25" s="3272"/>
      <c r="Q25" s="3273"/>
      <c r="R25" s="703">
        <f>IF(C23="万元",ROUND(T25*10000/B25,0),ROUND(S25/B25,0))</f>
        <v>40039</v>
      </c>
      <c r="S25" s="14">
        <f>SUM(S27:S10000)</f>
        <v>15157353</v>
      </c>
      <c r="T25" s="14">
        <f>SUM(T27:T10000)</f>
        <v>1515</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楼层</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189.28</v>
      </c>
      <c r="C27" s="706">
        <v>1</v>
      </c>
      <c r="D27" s="707" t="s">
        <v>3109</v>
      </c>
      <c r="E27" s="706">
        <v>1</v>
      </c>
      <c r="F27" s="707"/>
      <c r="G27" s="706">
        <v>1</v>
      </c>
      <c r="H27" s="707"/>
      <c r="I27" s="706">
        <v>1</v>
      </c>
      <c r="J27" s="707"/>
      <c r="K27" s="706">
        <v>1</v>
      </c>
      <c r="L27" s="707"/>
      <c r="M27" s="706">
        <v>1</v>
      </c>
      <c r="N27" s="707"/>
      <c r="O27" s="706">
        <v>1</v>
      </c>
      <c r="P27" s="707"/>
      <c r="Q27" s="706">
        <v>1</v>
      </c>
      <c r="R27" s="1192">
        <f>'比较法-住宅'!C49</f>
        <v>39643</v>
      </c>
      <c r="S27" s="706">
        <f>ROUND(R27*B27,0)</f>
        <v>7503627</v>
      </c>
      <c r="T27" s="706">
        <f>ROUND(R27*B27/10000,0)</f>
        <v>750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v>189.28</v>
      </c>
      <c r="C28" s="14">
        <f t="shared" ref="C28:C91" si="14">IF(B28="",1,(LOOKUP(B28,$6:$6,$7:$7)-LOOKUP($B$27,$6:$6,$7:$7)+100)/100)</f>
        <v>1</v>
      </c>
      <c r="D28" s="707" t="s">
        <v>3111</v>
      </c>
      <c r="E28" s="14">
        <f t="shared" ref="E28:E91" si="15">(SUMIF($8:$8,D28,$9:$9)-SUMIF($8:$8,$D$27,$9:$9)+100)/100</f>
        <v>1.02</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40436</v>
      </c>
      <c r="S28" s="334">
        <f>ROUND(R28*B28,0)</f>
        <v>7653726</v>
      </c>
      <c r="T28" s="1182">
        <f>ROUND(R28*B28/10000,0)</f>
        <v>765</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0.02</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0.02</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0.02</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2879">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7.xml><?xml version="1.0" encoding="utf-8"?>
<worksheet xmlns="http://schemas.openxmlformats.org/spreadsheetml/2006/main" xmlns:r="http://schemas.openxmlformats.org/officeDocument/2006/relationships">
  <dimension ref="A1:P44"/>
  <sheetViews>
    <sheetView view="pageBreakPreview" topLeftCell="A25" zoomScale="130" zoomScaleNormal="100" zoomScaleSheetLayoutView="130" workbookViewId="0">
      <selection activeCell="C3" sqref="C3:F3"/>
    </sheetView>
  </sheetViews>
  <sheetFormatPr defaultRowHeight="13.5"/>
  <cols>
    <col min="1" max="1" width="6.375" style="2774" customWidth="1"/>
    <col min="2" max="2" width="19.375" style="2779" customWidth="1"/>
    <col min="3" max="3" width="7" style="2778" customWidth="1"/>
    <col min="4" max="4" width="3.25" style="2778" customWidth="1"/>
    <col min="5" max="5" width="7.375" style="2778" customWidth="1"/>
    <col min="6" max="6" width="3.5" style="2778" customWidth="1"/>
    <col min="7" max="7" width="19.375" style="2777" customWidth="1"/>
    <col min="8" max="8" width="19.5" style="2774" customWidth="1"/>
    <col min="9" max="9" width="8.625" style="2774" customWidth="1"/>
    <col min="10" max="10" width="10.5" style="2776" customWidth="1"/>
    <col min="11" max="11" width="4.875" style="2775" customWidth="1"/>
    <col min="12" max="12" width="16.375" style="2775" customWidth="1"/>
    <col min="13" max="16" width="8.125" style="2774" customWidth="1"/>
    <col min="17" max="16384" width="9" style="2774"/>
  </cols>
  <sheetData>
    <row r="1" spans="1:16">
      <c r="A1" s="3208" t="s">
        <v>3081</v>
      </c>
      <c r="B1" s="3208"/>
      <c r="C1" s="3208"/>
      <c r="D1" s="3208"/>
      <c r="E1" s="3208"/>
      <c r="F1" s="3208"/>
      <c r="G1" s="3208"/>
      <c r="H1" s="3208"/>
      <c r="I1" s="3208"/>
      <c r="K1" s="3220" t="s">
        <v>3080</v>
      </c>
      <c r="L1" s="2835" t="s">
        <v>3079</v>
      </c>
      <c r="M1" s="2845">
        <v>0</v>
      </c>
      <c r="N1" s="2844"/>
      <c r="O1" s="2844"/>
    </row>
    <row r="2" spans="1:16" ht="15.75" customHeight="1">
      <c r="A2" s="2807" t="s">
        <v>3078</v>
      </c>
      <c r="B2" s="2843" t="s">
        <v>3077</v>
      </c>
      <c r="C2" s="3181" t="s">
        <v>3076</v>
      </c>
      <c r="D2" s="3182"/>
      <c r="E2" s="3182"/>
      <c r="F2" s="3183"/>
      <c r="G2" s="2803" t="s">
        <v>3075</v>
      </c>
      <c r="H2" s="3210" t="s">
        <v>3074</v>
      </c>
      <c r="I2" s="3210"/>
      <c r="K2" s="3220"/>
      <c r="L2" s="2835" t="s">
        <v>3073</v>
      </c>
      <c r="M2" s="2840" t="s">
        <v>3072</v>
      </c>
      <c r="N2" s="2833"/>
      <c r="O2" s="2833"/>
    </row>
    <row r="3" spans="1:16">
      <c r="A3" s="2805" t="s">
        <v>3071</v>
      </c>
      <c r="B3" s="2801" t="s">
        <v>3070</v>
      </c>
      <c r="C3" s="3181">
        <f ca="1">估算结果一览表!G11</f>
        <v>5937172.7000000002</v>
      </c>
      <c r="D3" s="3182"/>
      <c r="E3" s="3182"/>
      <c r="F3" s="3183"/>
      <c r="G3" s="2805" t="s">
        <v>3069</v>
      </c>
      <c r="H3" s="2842" t="s">
        <v>3068</v>
      </c>
      <c r="I3" s="2841">
        <f>项目基本情况!C12</f>
        <v>189.28</v>
      </c>
      <c r="K3" s="3220"/>
      <c r="L3" s="2835" t="s">
        <v>3067</v>
      </c>
      <c r="M3" s="2840" t="s">
        <v>3066</v>
      </c>
      <c r="N3" s="2833"/>
      <c r="O3" s="2839"/>
    </row>
    <row r="4" spans="1:16">
      <c r="A4" s="3207" t="s">
        <v>3065</v>
      </c>
      <c r="B4" s="3211" t="s">
        <v>3064</v>
      </c>
      <c r="C4" s="3184">
        <f ca="1">ROUND(C3*(I4-I6)/(1-((1+I6)/(1+I4))^I5),0)</f>
        <v>142598</v>
      </c>
      <c r="D4" s="3185"/>
      <c r="E4" s="3185"/>
      <c r="F4" s="3186"/>
      <c r="G4" s="3207" t="s">
        <v>3063</v>
      </c>
      <c r="H4" s="2838" t="s">
        <v>3062</v>
      </c>
      <c r="I4" s="2832">
        <f>'数据-取费表'!B17</f>
        <v>4.4999999999999998E-2</v>
      </c>
      <c r="K4" s="3220"/>
      <c r="L4" s="2835" t="s">
        <v>3037</v>
      </c>
      <c r="M4" s="2837">
        <f>ROUND(1-(1-M1)*M2/M3,2)</f>
        <v>0.55000000000000004</v>
      </c>
      <c r="N4" s="2833"/>
      <c r="O4" s="2833"/>
    </row>
    <row r="5" spans="1:16" s="2790" customFormat="1" ht="18" customHeight="1">
      <c r="A5" s="3207"/>
      <c r="B5" s="3211"/>
      <c r="C5" s="3187"/>
      <c r="D5" s="3188"/>
      <c r="E5" s="3188"/>
      <c r="F5" s="3189"/>
      <c r="G5" s="3207"/>
      <c r="H5" s="2801" t="s">
        <v>3061</v>
      </c>
      <c r="I5" s="2836">
        <f>'数据-取费表'!B33</f>
        <v>56</v>
      </c>
      <c r="J5" s="2793"/>
      <c r="K5" s="3220"/>
      <c r="L5" s="2835" t="s">
        <v>3038</v>
      </c>
      <c r="M5" s="2834">
        <v>0.5</v>
      </c>
      <c r="N5" s="2833"/>
      <c r="O5" s="2833"/>
    </row>
    <row r="6" spans="1:16" s="2790" customFormat="1" ht="18" customHeight="1">
      <c r="A6" s="3207"/>
      <c r="B6" s="3211"/>
      <c r="C6" s="3190"/>
      <c r="D6" s="3191"/>
      <c r="E6" s="3191"/>
      <c r="F6" s="3192"/>
      <c r="G6" s="3207"/>
      <c r="H6" s="2801" t="s">
        <v>3060</v>
      </c>
      <c r="I6" s="2832">
        <v>3.5000000000000003E-2</v>
      </c>
      <c r="J6" s="2831"/>
      <c r="K6" s="3222" t="s">
        <v>3059</v>
      </c>
      <c r="L6" s="2829" t="s">
        <v>3058</v>
      </c>
      <c r="M6" s="2824" t="s">
        <v>3057</v>
      </c>
      <c r="N6" s="2824" t="s">
        <v>3056</v>
      </c>
      <c r="O6" s="2824" t="s">
        <v>3055</v>
      </c>
      <c r="P6" s="2824" t="s">
        <v>2964</v>
      </c>
    </row>
    <row r="7" spans="1:16" s="2790" customFormat="1" ht="18" customHeight="1">
      <c r="A7" s="2805" t="s">
        <v>3054</v>
      </c>
      <c r="B7" s="2801" t="s">
        <v>3053</v>
      </c>
      <c r="C7" s="3181">
        <f>ROUND(C23*I7,0)</f>
        <v>731704</v>
      </c>
      <c r="D7" s="3182"/>
      <c r="E7" s="3182"/>
      <c r="F7" s="3183"/>
      <c r="G7" s="2803" t="s">
        <v>3052</v>
      </c>
      <c r="H7" s="2801" t="s">
        <v>3051</v>
      </c>
      <c r="I7" s="2830">
        <f>'数据-取费表'!E20</f>
        <v>0.93</v>
      </c>
      <c r="K7" s="3222"/>
      <c r="L7" s="2829" t="s">
        <v>3050</v>
      </c>
      <c r="M7" s="2824">
        <v>100</v>
      </c>
      <c r="N7" s="2824" t="s">
        <v>3041</v>
      </c>
      <c r="O7" s="2824">
        <v>80</v>
      </c>
      <c r="P7" s="2828">
        <v>0.3</v>
      </c>
    </row>
    <row r="8" spans="1:16" s="2790" customFormat="1" ht="18" customHeight="1">
      <c r="A8" s="2807" t="s">
        <v>3049</v>
      </c>
      <c r="B8" s="2801" t="s">
        <v>3048</v>
      </c>
      <c r="C8" s="3181">
        <f>ROUND(I8*I3,0)</f>
        <v>492128</v>
      </c>
      <c r="D8" s="3182"/>
      <c r="E8" s="3182"/>
      <c r="F8" s="3183"/>
      <c r="G8" s="2803" t="s">
        <v>3047</v>
      </c>
      <c r="H8" s="2801" t="s">
        <v>3046</v>
      </c>
      <c r="I8" s="2803">
        <f>'数据-取费表'!E17</f>
        <v>2600</v>
      </c>
      <c r="J8" s="2827" t="e">
        <f>D35</f>
        <v>#DIV/0!</v>
      </c>
      <c r="K8" s="3222"/>
      <c r="L8" s="2829" t="s">
        <v>3045</v>
      </c>
      <c r="M8" s="2824">
        <v>100</v>
      </c>
      <c r="N8" s="2824" t="s">
        <v>3041</v>
      </c>
      <c r="O8" s="2824">
        <v>80</v>
      </c>
      <c r="P8" s="2828">
        <v>0.5</v>
      </c>
    </row>
    <row r="9" spans="1:16" s="2790" customFormat="1" ht="18" customHeight="1">
      <c r="A9" s="2807" t="s">
        <v>3044</v>
      </c>
      <c r="B9" s="2801" t="s">
        <v>3043</v>
      </c>
      <c r="C9" s="3181">
        <f>ROUND(C8*H9,0)</f>
        <v>14764</v>
      </c>
      <c r="D9" s="3182"/>
      <c r="E9" s="3182"/>
      <c r="F9" s="3183"/>
      <c r="G9" s="2803" t="s">
        <v>3030</v>
      </c>
      <c r="H9" s="3209">
        <f>'数据-取费表'!E21</f>
        <v>0.03</v>
      </c>
      <c r="I9" s="3209"/>
      <c r="J9" s="2827">
        <f ca="1">D36</f>
        <v>2.67</v>
      </c>
      <c r="K9" s="3222"/>
      <c r="L9" s="2829" t="s">
        <v>3042</v>
      </c>
      <c r="M9" s="2824">
        <v>100</v>
      </c>
      <c r="N9" s="2824" t="s">
        <v>3041</v>
      </c>
      <c r="O9" s="2824">
        <v>80</v>
      </c>
      <c r="P9" s="2828">
        <f>1-P7-P8</f>
        <v>0.19999999999999996</v>
      </c>
    </row>
    <row r="10" spans="1:16" s="2790" customFormat="1" ht="18" customHeight="1">
      <c r="A10" s="2807" t="s">
        <v>3040</v>
      </c>
      <c r="B10" s="2801" t="s">
        <v>3039</v>
      </c>
      <c r="C10" s="3181">
        <f>ROUND(C8*H10,0)</f>
        <v>39370</v>
      </c>
      <c r="D10" s="3182"/>
      <c r="E10" s="3182"/>
      <c r="F10" s="3183"/>
      <c r="G10" s="2803" t="s">
        <v>3030</v>
      </c>
      <c r="H10" s="3209">
        <f>'数据-取费表'!E22</f>
        <v>0.08</v>
      </c>
      <c r="I10" s="3209"/>
      <c r="J10" s="2827" t="e">
        <f ca="1">D37</f>
        <v>#DIV/0!</v>
      </c>
      <c r="K10" s="3222"/>
      <c r="L10" s="2826" t="s">
        <v>3038</v>
      </c>
      <c r="M10" s="2825">
        <f>1-M5</f>
        <v>0.5</v>
      </c>
      <c r="N10" s="2824" t="s">
        <v>3037</v>
      </c>
      <c r="O10" s="2823">
        <f>ROUND((O7*P7+O8*P8+O9*P9)/100,2)</f>
        <v>0.8</v>
      </c>
      <c r="P10" s="2822"/>
    </row>
    <row r="11" spans="1:16" s="2790" customFormat="1" ht="29.25" customHeight="1">
      <c r="A11" s="2807" t="s">
        <v>3036</v>
      </c>
      <c r="B11" s="2801" t="s">
        <v>3035</v>
      </c>
      <c r="C11" s="3181">
        <f>ROUND(I11*I3,0)</f>
        <v>30285</v>
      </c>
      <c r="D11" s="3182"/>
      <c r="E11" s="3182"/>
      <c r="F11" s="3183"/>
      <c r="G11" s="2803" t="s">
        <v>3034</v>
      </c>
      <c r="H11" s="2801" t="s">
        <v>3033</v>
      </c>
      <c r="I11" s="2803">
        <f>'数据-取费表'!E11</f>
        <v>160</v>
      </c>
      <c r="J11" s="2793"/>
      <c r="K11" s="2775"/>
      <c r="L11" s="2775"/>
    </row>
    <row r="12" spans="1:16" s="2790" customFormat="1" ht="18" customHeight="1">
      <c r="A12" s="2807" t="s">
        <v>3032</v>
      </c>
      <c r="B12" s="2801" t="s">
        <v>3031</v>
      </c>
      <c r="C12" s="3181">
        <f>ROUND(C8*H12,0)</f>
        <v>7382</v>
      </c>
      <c r="D12" s="3182"/>
      <c r="E12" s="3182"/>
      <c r="F12" s="3183"/>
      <c r="G12" s="2803" t="s">
        <v>3030</v>
      </c>
      <c r="H12" s="3209">
        <f>'数据-取费表'!E24</f>
        <v>1.4999999999999999E-2</v>
      </c>
      <c r="I12" s="3209"/>
      <c r="J12" s="2811" t="s">
        <v>3029</v>
      </c>
      <c r="L12" s="2821"/>
    </row>
    <row r="13" spans="1:16" s="2790" customFormat="1" ht="18" customHeight="1">
      <c r="A13" s="2807" t="s">
        <v>2987</v>
      </c>
      <c r="B13" s="2801" t="s">
        <v>3028</v>
      </c>
      <c r="C13" s="3181">
        <f>SUM(C8:F12)</f>
        <v>583929</v>
      </c>
      <c r="D13" s="3182"/>
      <c r="E13" s="3182"/>
      <c r="F13" s="3183"/>
      <c r="G13" s="3210" t="s">
        <v>3027</v>
      </c>
      <c r="H13" s="3210"/>
      <c r="I13" s="3210"/>
      <c r="J13" s="2811" t="s">
        <v>3026</v>
      </c>
      <c r="L13" s="2821"/>
    </row>
    <row r="14" spans="1:16" s="2790" customFormat="1" ht="18" customHeight="1">
      <c r="A14" s="2807" t="s">
        <v>2984</v>
      </c>
      <c r="B14" s="2801" t="s">
        <v>3025</v>
      </c>
      <c r="C14" s="3181">
        <f>ROUND(C13*H14,0)</f>
        <v>5839</v>
      </c>
      <c r="D14" s="3182"/>
      <c r="E14" s="3182"/>
      <c r="F14" s="3183"/>
      <c r="G14" s="2803" t="s">
        <v>3024</v>
      </c>
      <c r="H14" s="3209">
        <f>'数据-取费表'!E25</f>
        <v>0.01</v>
      </c>
      <c r="I14" s="3209"/>
      <c r="J14" s="2793"/>
      <c r="L14" s="2821"/>
    </row>
    <row r="15" spans="1:16" s="2790" customFormat="1" ht="18" customHeight="1">
      <c r="A15" s="2807" t="s">
        <v>2981</v>
      </c>
      <c r="B15" s="2801" t="s">
        <v>3023</v>
      </c>
      <c r="C15" s="3193">
        <f>H15</f>
        <v>0.01</v>
      </c>
      <c r="D15" s="3194"/>
      <c r="E15" s="3214" t="str">
        <f>E18</f>
        <v>V</v>
      </c>
      <c r="F15" s="3215"/>
      <c r="G15" s="2803" t="s">
        <v>3022</v>
      </c>
      <c r="H15" s="3209">
        <f>'数据-取费表'!E26</f>
        <v>0.01</v>
      </c>
      <c r="I15" s="3209"/>
      <c r="J15" s="2808"/>
      <c r="K15" s="2820"/>
    </row>
    <row r="16" spans="1:16" s="2790" customFormat="1" ht="18" customHeight="1">
      <c r="A16" s="2819" t="s">
        <v>2978</v>
      </c>
      <c r="B16" s="2818" t="s">
        <v>3021</v>
      </c>
      <c r="C16" s="2814">
        <f>C17</f>
        <v>28014</v>
      </c>
      <c r="D16" s="2813" t="s">
        <v>3007</v>
      </c>
      <c r="E16" s="2817">
        <f>C18</f>
        <v>4.75E-4</v>
      </c>
      <c r="F16" s="2812" t="str">
        <f>E18</f>
        <v>V</v>
      </c>
      <c r="G16" s="3181" t="s">
        <v>3020</v>
      </c>
      <c r="H16" s="3182"/>
      <c r="I16" s="3183"/>
      <c r="J16" s="2793"/>
      <c r="K16" s="2775"/>
    </row>
    <row r="17" spans="1:12" s="2790" customFormat="1" ht="18" customHeight="1">
      <c r="A17" s="2807" t="s">
        <v>3019</v>
      </c>
      <c r="B17" s="2801" t="s">
        <v>3018</v>
      </c>
      <c r="C17" s="3181">
        <f>ROUND((C13+C14)*I18*(I17/2),0)</f>
        <v>28014</v>
      </c>
      <c r="D17" s="3182"/>
      <c r="E17" s="3182"/>
      <c r="F17" s="3183"/>
      <c r="G17" s="2814" t="s">
        <v>3017</v>
      </c>
      <c r="H17" s="2801" t="s">
        <v>3016</v>
      </c>
      <c r="I17" s="2816">
        <f>'数据-取费表'!B21</f>
        <v>2</v>
      </c>
      <c r="J17" s="2811" t="s">
        <v>3015</v>
      </c>
      <c r="K17" s="2775"/>
      <c r="L17" s="2775"/>
    </row>
    <row r="18" spans="1:12" s="2790" customFormat="1" ht="18" customHeight="1">
      <c r="A18" s="2807" t="s">
        <v>3014</v>
      </c>
      <c r="B18" s="2801" t="s">
        <v>3013</v>
      </c>
      <c r="C18" s="3205">
        <f>H15*I18*I17/2</f>
        <v>4.75E-4</v>
      </c>
      <c r="D18" s="3206"/>
      <c r="E18" s="3214" t="s">
        <v>2996</v>
      </c>
      <c r="F18" s="3215"/>
      <c r="G18" s="2814" t="s">
        <v>3012</v>
      </c>
      <c r="H18" s="2801" t="s">
        <v>3011</v>
      </c>
      <c r="I18" s="2815">
        <v>4.7500000000000001E-2</v>
      </c>
      <c r="J18" s="2811" t="s">
        <v>3010</v>
      </c>
      <c r="K18" s="2775"/>
      <c r="L18" s="2775"/>
    </row>
    <row r="19" spans="1:12" s="2790" customFormat="1" ht="27" customHeight="1">
      <c r="A19" s="2807" t="s">
        <v>3009</v>
      </c>
      <c r="B19" s="2801" t="s">
        <v>3008</v>
      </c>
      <c r="C19" s="2814">
        <f>C20</f>
        <v>117954</v>
      </c>
      <c r="D19" s="2813" t="s">
        <v>3007</v>
      </c>
      <c r="E19" s="2813">
        <f>C21</f>
        <v>2E-3</v>
      </c>
      <c r="F19" s="2812" t="str">
        <f>E21</f>
        <v>V</v>
      </c>
      <c r="G19" s="3181" t="s">
        <v>3006</v>
      </c>
      <c r="H19" s="3182"/>
      <c r="I19" s="3183"/>
      <c r="J19" s="2793"/>
      <c r="K19" s="2775"/>
      <c r="L19" s="2775"/>
    </row>
    <row r="20" spans="1:12" s="2790" customFormat="1" ht="26.25" customHeight="1">
      <c r="A20" s="2807" t="s">
        <v>3001</v>
      </c>
      <c r="B20" s="2801" t="s">
        <v>3005</v>
      </c>
      <c r="C20" s="3181">
        <f>ROUND((C13+C14)*I20,0)</f>
        <v>117954</v>
      </c>
      <c r="D20" s="3182"/>
      <c r="E20" s="3182"/>
      <c r="F20" s="3183"/>
      <c r="G20" s="2803" t="s">
        <v>3004</v>
      </c>
      <c r="H20" s="3212" t="s">
        <v>3003</v>
      </c>
      <c r="I20" s="3216">
        <f>'数据-取费表'!E28</f>
        <v>0.2</v>
      </c>
      <c r="J20" s="2811" t="s">
        <v>3002</v>
      </c>
      <c r="K20" s="2775"/>
      <c r="L20" s="2775"/>
    </row>
    <row r="21" spans="1:12" s="2790" customFormat="1" ht="27" customHeight="1">
      <c r="A21" s="2807" t="s">
        <v>3001</v>
      </c>
      <c r="B21" s="2801" t="s">
        <v>3000</v>
      </c>
      <c r="C21" s="3195">
        <f>H15*I20</f>
        <v>2E-3</v>
      </c>
      <c r="D21" s="3196"/>
      <c r="E21" s="3214" t="s">
        <v>2996</v>
      </c>
      <c r="F21" s="3215"/>
      <c r="G21" s="2803" t="s">
        <v>2999</v>
      </c>
      <c r="H21" s="3213"/>
      <c r="I21" s="3216"/>
      <c r="J21" s="2793"/>
      <c r="K21" s="2775"/>
      <c r="L21" s="2775"/>
    </row>
    <row r="22" spans="1:12" s="2790" customFormat="1" ht="18" customHeight="1">
      <c r="A22" s="2807" t="s">
        <v>2998</v>
      </c>
      <c r="B22" s="2801" t="s">
        <v>2997</v>
      </c>
      <c r="C22" s="3195">
        <f>ROUND(H22/1.05,4)</f>
        <v>5.2400000000000002E-2</v>
      </c>
      <c r="D22" s="3196"/>
      <c r="E22" s="3214" t="s">
        <v>2996</v>
      </c>
      <c r="F22" s="3215"/>
      <c r="G22" s="2803" t="s">
        <v>2995</v>
      </c>
      <c r="H22" s="3209">
        <f>'数据-取费表'!E29</f>
        <v>5.5000000000000007E-2</v>
      </c>
      <c r="I22" s="3209"/>
      <c r="J22" s="2791"/>
      <c r="K22" s="2775"/>
      <c r="L22" s="2775"/>
    </row>
    <row r="23" spans="1:12" s="2790" customFormat="1" ht="18" customHeight="1">
      <c r="A23" s="2807" t="s">
        <v>2994</v>
      </c>
      <c r="B23" s="2801" t="s">
        <v>2993</v>
      </c>
      <c r="C23" s="3181">
        <f>ROUND((C13+C14+C17+C20)/(1-H15-C18-C21-C22),0)</f>
        <v>786778</v>
      </c>
      <c r="D23" s="3182"/>
      <c r="E23" s="3182"/>
      <c r="F23" s="3183"/>
      <c r="G23" s="3181" t="s">
        <v>2992</v>
      </c>
      <c r="H23" s="3182"/>
      <c r="I23" s="3183"/>
      <c r="J23" s="2791"/>
      <c r="K23" s="2775"/>
      <c r="L23" s="2775"/>
    </row>
    <row r="24" spans="1:12" s="2790" customFormat="1" ht="18" customHeight="1">
      <c r="A24" s="2807" t="s">
        <v>2991</v>
      </c>
      <c r="B24" s="2801" t="s">
        <v>2990</v>
      </c>
      <c r="C24" s="2810">
        <f>C26+C27</f>
        <v>12900</v>
      </c>
      <c r="D24" s="2809" t="s">
        <v>2989</v>
      </c>
      <c r="E24" s="3217">
        <f>H25+H28</f>
        <v>6.5000000000000002E-2</v>
      </c>
      <c r="F24" s="3218"/>
      <c r="G24" s="3210" t="s">
        <v>2988</v>
      </c>
      <c r="H24" s="3210"/>
      <c r="I24" s="3210"/>
      <c r="J24" s="2791"/>
      <c r="K24" s="2775"/>
      <c r="L24" s="2775"/>
    </row>
    <row r="25" spans="1:12" s="2790" customFormat="1" ht="18" customHeight="1">
      <c r="A25" s="2807" t="s">
        <v>2987</v>
      </c>
      <c r="B25" s="2801" t="s">
        <v>2986</v>
      </c>
      <c r="C25" s="3193" t="s">
        <v>2976</v>
      </c>
      <c r="D25" s="3194"/>
      <c r="E25" s="3217">
        <f>H25</f>
        <v>5.5000000000000007E-2</v>
      </c>
      <c r="F25" s="3218"/>
      <c r="G25" s="2803" t="s">
        <v>2985</v>
      </c>
      <c r="H25" s="3221">
        <f>'数据-取费表'!E29</f>
        <v>5.5000000000000007E-2</v>
      </c>
      <c r="I25" s="3221"/>
      <c r="J25" s="2808"/>
      <c r="K25" s="2775"/>
      <c r="L25" s="2775"/>
    </row>
    <row r="26" spans="1:12" s="2790" customFormat="1" ht="18" customHeight="1">
      <c r="A26" s="2807" t="s">
        <v>2984</v>
      </c>
      <c r="B26" s="2801" t="s">
        <v>2983</v>
      </c>
      <c r="C26" s="3181">
        <f>ROUND(C23*H26,0)</f>
        <v>11802</v>
      </c>
      <c r="D26" s="3182"/>
      <c r="E26" s="3182"/>
      <c r="F26" s="3183"/>
      <c r="G26" s="2803" t="s">
        <v>2982</v>
      </c>
      <c r="H26" s="3221">
        <f>'数据-取费表'!B44</f>
        <v>1.4999999999999999E-2</v>
      </c>
      <c r="I26" s="3221"/>
      <c r="J26" s="2808"/>
      <c r="K26" s="2775"/>
      <c r="L26" s="2775"/>
    </row>
    <row r="27" spans="1:12" s="2790" customFormat="1" ht="18" customHeight="1">
      <c r="A27" s="2807" t="s">
        <v>2981</v>
      </c>
      <c r="B27" s="2801" t="s">
        <v>2980</v>
      </c>
      <c r="C27" s="3181">
        <f>ROUND(C7*H27,0)</f>
        <v>1098</v>
      </c>
      <c r="D27" s="3182"/>
      <c r="E27" s="3182"/>
      <c r="F27" s="3183"/>
      <c r="G27" s="2803" t="s">
        <v>2979</v>
      </c>
      <c r="H27" s="3219">
        <f>'数据-取费表'!B45</f>
        <v>1.5E-3</v>
      </c>
      <c r="I27" s="3219"/>
      <c r="J27" s="2793"/>
      <c r="K27" s="2775"/>
      <c r="L27" s="2775"/>
    </row>
    <row r="28" spans="1:12" s="2790" customFormat="1" ht="18" customHeight="1">
      <c r="A28" s="2807" t="s">
        <v>2978</v>
      </c>
      <c r="B28" s="2801" t="s">
        <v>2977</v>
      </c>
      <c r="C28" s="3193" t="s">
        <v>2976</v>
      </c>
      <c r="D28" s="3194"/>
      <c r="E28" s="3217">
        <f>H28</f>
        <v>0.01</v>
      </c>
      <c r="F28" s="3218"/>
      <c r="G28" s="2803" t="s">
        <v>2975</v>
      </c>
      <c r="H28" s="3221">
        <f>'数据-取费表'!B46</f>
        <v>0.01</v>
      </c>
      <c r="I28" s="3221"/>
      <c r="J28" s="2806"/>
      <c r="K28" s="2775"/>
      <c r="L28" s="2775"/>
    </row>
    <row r="29" spans="1:12" s="2790" customFormat="1" ht="18" customHeight="1">
      <c r="A29" s="2805" t="s">
        <v>2974</v>
      </c>
      <c r="B29" s="2801" t="s">
        <v>2973</v>
      </c>
      <c r="C29" s="3181">
        <f ca="1">ROUND((C4+C24)/(1-E24),0)</f>
        <v>166308</v>
      </c>
      <c r="D29" s="3182"/>
      <c r="E29" s="3182"/>
      <c r="F29" s="3183"/>
      <c r="G29" s="3207" t="s">
        <v>2972</v>
      </c>
      <c r="H29" s="3207"/>
      <c r="I29" s="3207"/>
      <c r="J29" s="2804" t="s">
        <v>2971</v>
      </c>
      <c r="K29" s="2775"/>
      <c r="L29" s="2775"/>
    </row>
    <row r="30" spans="1:12" s="2790" customFormat="1" ht="18" customHeight="1">
      <c r="A30" s="3207" t="s">
        <v>2970</v>
      </c>
      <c r="B30" s="3211" t="s">
        <v>2969</v>
      </c>
      <c r="C30" s="3199">
        <f ca="1">ROUND(C29/I30/I31/I3,2)</f>
        <v>2.67</v>
      </c>
      <c r="D30" s="3200"/>
      <c r="E30" s="3200"/>
      <c r="F30" s="3201"/>
      <c r="G30" s="3210" t="s">
        <v>2968</v>
      </c>
      <c r="H30" s="2801" t="s">
        <v>2967</v>
      </c>
      <c r="I30" s="2803">
        <v>365</v>
      </c>
      <c r="J30" s="2802"/>
      <c r="K30" s="2775"/>
      <c r="L30" s="2775"/>
    </row>
    <row r="31" spans="1:12" s="2790" customFormat="1" ht="18" customHeight="1">
      <c r="A31" s="3207"/>
      <c r="B31" s="3211"/>
      <c r="C31" s="3202"/>
      <c r="D31" s="3203"/>
      <c r="E31" s="3203"/>
      <c r="F31" s="3204"/>
      <c r="G31" s="3210"/>
      <c r="H31" s="2801" t="s">
        <v>2966</v>
      </c>
      <c r="I31" s="2800">
        <v>0.9</v>
      </c>
      <c r="J31" s="2799"/>
      <c r="K31" s="2775"/>
      <c r="L31" s="2775"/>
    </row>
    <row r="32" spans="1:12" s="2790" customFormat="1" ht="18" customHeight="1">
      <c r="A32" s="2774"/>
      <c r="B32" s="2798"/>
      <c r="C32" s="2797"/>
      <c r="D32" s="2797"/>
      <c r="E32" s="2797"/>
      <c r="F32" s="2797"/>
      <c r="G32" s="2796"/>
      <c r="H32" s="2795"/>
      <c r="I32" s="2774"/>
      <c r="J32" s="2794"/>
      <c r="K32" s="2775"/>
      <c r="L32" s="2775"/>
    </row>
    <row r="33" spans="1:13" s="2790" customFormat="1" ht="18" customHeight="1">
      <c r="A33" s="2774"/>
      <c r="B33" s="3197" t="s">
        <v>3082</v>
      </c>
      <c r="C33" s="3197"/>
      <c r="D33" s="3197"/>
      <c r="E33" s="3197"/>
      <c r="F33" s="3197"/>
      <c r="G33" s="2780"/>
      <c r="H33" s="2782"/>
      <c r="I33" s="2774"/>
      <c r="J33" s="2793"/>
      <c r="K33" s="2775"/>
      <c r="L33" s="2775"/>
      <c r="M33" s="2774"/>
    </row>
    <row r="34" spans="1:13" s="2790" customFormat="1" ht="18" hidden="1" customHeight="1">
      <c r="A34" s="2774"/>
      <c r="B34" s="2787" t="s">
        <v>2965</v>
      </c>
      <c r="C34" s="2792" t="s">
        <v>2964</v>
      </c>
      <c r="D34" s="3198" t="s">
        <v>2963</v>
      </c>
      <c r="E34" s="3198"/>
      <c r="F34" s="3198"/>
      <c r="G34" s="2780"/>
      <c r="H34" s="2782"/>
      <c r="I34" s="2774"/>
      <c r="J34" s="2791"/>
      <c r="K34" s="2774"/>
      <c r="L34" s="2774"/>
      <c r="M34" s="2774"/>
    </row>
    <row r="35" spans="1:13" hidden="1">
      <c r="B35" s="2787" t="s">
        <v>2962</v>
      </c>
      <c r="C35" s="2789">
        <v>0.5</v>
      </c>
      <c r="D35" s="3179" t="e">
        <f>[2]比较法—租金!N39</f>
        <v>#DIV/0!</v>
      </c>
      <c r="E35" s="3179"/>
      <c r="F35" s="3179"/>
      <c r="G35" s="2780" t="e">
        <f ca="1">(D35-D36)/D36</f>
        <v>#DIV/0!</v>
      </c>
      <c r="H35" s="2782"/>
      <c r="K35" s="2774"/>
      <c r="L35" s="2774"/>
    </row>
    <row r="36" spans="1:13" ht="20.100000000000001" hidden="1" customHeight="1">
      <c r="B36" s="2787" t="s">
        <v>2961</v>
      </c>
      <c r="C36" s="2789">
        <f>1-C35</f>
        <v>0.5</v>
      </c>
      <c r="D36" s="3179">
        <f ca="1">C30</f>
        <v>2.67</v>
      </c>
      <c r="E36" s="3179"/>
      <c r="F36" s="3179"/>
      <c r="G36" s="2780"/>
      <c r="H36" s="2782"/>
      <c r="J36" s="2774"/>
      <c r="K36" s="2774"/>
      <c r="L36" s="2774"/>
    </row>
    <row r="37" spans="1:13" ht="22.5" hidden="1" customHeight="1">
      <c r="B37" s="3180" t="s">
        <v>2960</v>
      </c>
      <c r="C37" s="3180"/>
      <c r="D37" s="3178" t="e">
        <f ca="1">ROUND(C35*D35+C36*D36,1)</f>
        <v>#DIV/0!</v>
      </c>
      <c r="E37" s="3178"/>
      <c r="F37" s="3178"/>
      <c r="G37" s="2780"/>
      <c r="H37" s="2782"/>
      <c r="J37" s="2774"/>
      <c r="K37" s="2774"/>
      <c r="L37" s="2774"/>
    </row>
    <row r="38" spans="1:13" ht="22.5" hidden="1" customHeight="1">
      <c r="B38" s="2787" t="s">
        <v>2959</v>
      </c>
      <c r="C38" s="2787" t="e">
        <f ca="1">ROUND(D37*0.9,1)</f>
        <v>#DIV/0!</v>
      </c>
      <c r="D38" s="2786" t="s">
        <v>2956</v>
      </c>
      <c r="E38" s="3178" t="e">
        <f ca="1">ROUND(D37*1.1,1)</f>
        <v>#DIV/0!</v>
      </c>
      <c r="F38" s="3178"/>
      <c r="G38" s="2780" t="s">
        <v>2958</v>
      </c>
      <c r="H38" s="2788">
        <v>12</v>
      </c>
      <c r="J38" s="2774"/>
      <c r="K38" s="2774"/>
      <c r="L38" s="2774"/>
    </row>
    <row r="39" spans="1:13" ht="18" hidden="1" customHeight="1">
      <c r="B39" s="2787" t="s">
        <v>2957</v>
      </c>
      <c r="C39" s="2787" t="e">
        <f ca="1">ROUND(C38+H39,1)</f>
        <v>#DIV/0!</v>
      </c>
      <c r="D39" s="2786" t="s">
        <v>2956</v>
      </c>
      <c r="E39" s="3178" t="e">
        <f ca="1">ROUND(E38+H39,1)</f>
        <v>#DIV/0!</v>
      </c>
      <c r="F39" s="3178"/>
      <c r="G39" s="2785" t="s">
        <v>2955</v>
      </c>
      <c r="H39" s="2785">
        <v>0</v>
      </c>
      <c r="J39" s="2774"/>
      <c r="K39" s="2774"/>
      <c r="L39" s="2774"/>
    </row>
    <row r="40" spans="1:13" ht="18" customHeight="1">
      <c r="B40" s="2846"/>
      <c r="C40" s="2849" t="s">
        <v>3083</v>
      </c>
      <c r="D40" s="2847"/>
      <c r="E40" s="2847" t="s">
        <v>3084</v>
      </c>
      <c r="F40" s="2847"/>
      <c r="G40" s="2848"/>
      <c r="H40" s="2848"/>
      <c r="J40" s="2774"/>
      <c r="K40" s="2774"/>
      <c r="L40" s="2774"/>
    </row>
    <row r="41" spans="1:13" ht="18" customHeight="1">
      <c r="B41" s="2846"/>
      <c r="C41" s="2849">
        <v>1</v>
      </c>
      <c r="D41" s="2847"/>
      <c r="E41" s="2847">
        <f ca="1">ROUND(I3*C30*30,0)</f>
        <v>15161</v>
      </c>
      <c r="F41" s="2847"/>
      <c r="G41" s="2848"/>
      <c r="H41" s="2848"/>
      <c r="J41" s="2774"/>
      <c r="K41" s="2774"/>
      <c r="L41" s="2774"/>
    </row>
    <row r="42" spans="1:13" ht="18" customHeight="1">
      <c r="B42" s="2784"/>
      <c r="C42" s="2783"/>
      <c r="D42" s="2781"/>
      <c r="E42" s="2781"/>
      <c r="F42" s="2781"/>
      <c r="G42" s="2780"/>
      <c r="H42" s="2782"/>
      <c r="J42" s="2774"/>
    </row>
    <row r="43" spans="1:13" ht="18" customHeight="1">
      <c r="B43" s="2780" t="s">
        <v>2954</v>
      </c>
      <c r="C43" s="2781"/>
      <c r="D43" s="2781"/>
      <c r="E43" s="2780" t="s">
        <v>2953</v>
      </c>
      <c r="F43" s="2781"/>
      <c r="G43" s="2780"/>
      <c r="H43" s="2780" t="s">
        <v>2952</v>
      </c>
      <c r="J43" s="2774"/>
    </row>
    <row r="44" spans="1:13" ht="29.25" customHeight="1"/>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2341</v>
      </c>
      <c r="D3" s="378">
        <f>IF(C1="仅计算典型户型",'数据-取费表'!E5,'数据-取费表'!B5)</f>
        <v>189.28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2342</v>
      </c>
      <c r="B4" s="381"/>
      <c r="C4" s="3160" t="s">
        <v>2343</v>
      </c>
      <c r="D4" s="3161"/>
      <c r="E4" s="3162" t="s">
        <v>2344</v>
      </c>
      <c r="F4" s="3163"/>
      <c r="G4" s="3160" t="s">
        <v>2345</v>
      </c>
      <c r="H4" s="3161"/>
      <c r="I4" s="3160" t="s">
        <v>2346</v>
      </c>
      <c r="J4" s="3161"/>
      <c r="K4" s="594"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70" t="s">
        <v>2345</v>
      </c>
      <c r="AC4" s="3157" t="s">
        <v>2346</v>
      </c>
    </row>
    <row r="5" spans="1:29" ht="15">
      <c r="A5" s="383"/>
      <c r="B5" s="384"/>
      <c r="C5" s="3278" t="s">
        <v>2349</v>
      </c>
      <c r="D5" s="3146"/>
      <c r="E5" s="3277" t="s">
        <v>2350</v>
      </c>
      <c r="F5" s="3172"/>
      <c r="G5" s="3278" t="s">
        <v>2351</v>
      </c>
      <c r="H5" s="3146"/>
      <c r="I5" s="3278" t="s">
        <v>2352</v>
      </c>
      <c r="J5" s="3146"/>
      <c r="K5" s="594"/>
      <c r="L5" s="1243"/>
      <c r="M5" s="1244"/>
      <c r="N5" s="1244"/>
      <c r="O5" s="1244"/>
      <c r="P5" s="3166"/>
      <c r="Q5" s="3167"/>
      <c r="R5" s="3151"/>
      <c r="S5" s="3152"/>
      <c r="T5" s="3151"/>
      <c r="U5" s="3152"/>
      <c r="V5" s="3170"/>
      <c r="W5" s="3170"/>
      <c r="X5" s="1900"/>
      <c r="Y5" s="3151"/>
      <c r="Z5" s="3152"/>
      <c r="AA5" s="3158"/>
      <c r="AB5" s="3170"/>
      <c r="AC5" s="3158"/>
    </row>
    <row r="6" spans="1:29" ht="15.75" thickBot="1">
      <c r="A6" s="385"/>
      <c r="B6" s="386"/>
      <c r="C6" s="3143" t="s">
        <v>2353</v>
      </c>
      <c r="D6" s="3144"/>
      <c r="E6" s="3173" t="s">
        <v>2353</v>
      </c>
      <c r="F6" s="3174"/>
      <c r="G6" s="3143" t="s">
        <v>2353</v>
      </c>
      <c r="H6" s="3144"/>
      <c r="I6" s="3143" t="s">
        <v>2353</v>
      </c>
      <c r="J6" s="3144"/>
      <c r="K6" s="594" t="s">
        <v>2354</v>
      </c>
      <c r="L6" s="1243"/>
      <c r="M6" s="1244"/>
      <c r="N6" s="1244"/>
      <c r="O6" s="1244"/>
      <c r="P6" s="3168"/>
      <c r="Q6" s="3169"/>
      <c r="R6" s="3151"/>
      <c r="S6" s="3152"/>
      <c r="T6" s="3153"/>
      <c r="U6" s="3154"/>
      <c r="V6" s="3170"/>
      <c r="W6" s="3170"/>
      <c r="X6" s="1900"/>
      <c r="Y6" s="3153"/>
      <c r="Z6" s="3154"/>
      <c r="AA6" s="3159"/>
      <c r="AB6" s="3170"/>
      <c r="AC6" s="3159"/>
    </row>
    <row r="7" spans="1:29" s="35" customFormat="1" ht="15.75" thickBot="1">
      <c r="A7" s="387" t="s">
        <v>2355</v>
      </c>
      <c r="B7" s="388"/>
      <c r="C7" s="389">
        <f>'数据-取费表'!B2</f>
        <v>42510</v>
      </c>
      <c r="D7" s="390">
        <v>100</v>
      </c>
      <c r="E7" s="391"/>
      <c r="F7" s="392">
        <f>SUMIF(58:58,YEAR(E7)&amp;"-"&amp;MONTH(E7),59:59)</f>
        <v>0</v>
      </c>
      <c r="G7" s="391"/>
      <c r="H7" s="390">
        <f>SUMIF(58:58,YEAR(G7)&amp;"-"&amp;MONTH(G7),59:59)</f>
        <v>0</v>
      </c>
      <c r="I7" s="391"/>
      <c r="J7" s="390">
        <f>SUMIF(58:58,YEAR(I7)&amp;"-"&amp;MONTH(I7),59:59)</f>
        <v>0</v>
      </c>
      <c r="K7" s="595"/>
      <c r="L7" s="1245"/>
      <c r="M7" s="1246"/>
      <c r="N7" s="1246"/>
      <c r="O7" s="1246"/>
      <c r="P7" s="3147" t="s">
        <v>2356</v>
      </c>
      <c r="Q7" s="3155"/>
      <c r="R7" s="749" t="s">
        <v>25</v>
      </c>
      <c r="S7" s="750">
        <f t="shared" ref="S7:S15" si="0">F7</f>
        <v>0</v>
      </c>
      <c r="T7" s="749" t="s">
        <v>25</v>
      </c>
      <c r="U7" s="750">
        <f t="shared" ref="U7:U15" si="1">H7</f>
        <v>0</v>
      </c>
      <c r="V7" s="749" t="s">
        <v>25</v>
      </c>
      <c r="W7" s="750">
        <f t="shared" ref="W7:W15" si="2">J7</f>
        <v>0</v>
      </c>
      <c r="X7" s="751"/>
      <c r="Y7" s="3147" t="s">
        <v>2356</v>
      </c>
      <c r="Z7" s="3148"/>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147" t="s">
        <v>2359</v>
      </c>
      <c r="Q8" s="3148"/>
      <c r="R8" s="749" t="s">
        <v>25</v>
      </c>
      <c r="S8" s="750">
        <f t="shared" si="0"/>
        <v>0</v>
      </c>
      <c r="T8" s="749" t="s">
        <v>25</v>
      </c>
      <c r="U8" s="750">
        <f t="shared" si="1"/>
        <v>0</v>
      </c>
      <c r="V8" s="749" t="s">
        <v>25</v>
      </c>
      <c r="W8" s="750">
        <f t="shared" si="2"/>
        <v>0</v>
      </c>
      <c r="X8" s="751"/>
      <c r="Y8" s="3147" t="s">
        <v>2359</v>
      </c>
      <c r="Z8" s="3148"/>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156"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156"/>
      <c r="Q10" s="1887" t="str">
        <f t="shared" si="6"/>
        <v>土地使用年限（年）</v>
      </c>
      <c r="R10" s="749" t="s">
        <v>25</v>
      </c>
      <c r="S10" s="750">
        <f t="shared" si="0"/>
        <v>100</v>
      </c>
      <c r="T10" s="749" t="s">
        <v>25</v>
      </c>
      <c r="U10" s="750">
        <f t="shared" si="1"/>
        <v>100</v>
      </c>
      <c r="V10" s="749" t="s">
        <v>25</v>
      </c>
      <c r="W10" s="750">
        <f t="shared" si="2"/>
        <v>100</v>
      </c>
      <c r="X10" s="751"/>
      <c r="Y10" s="2971"/>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156"/>
      <c r="Q11" s="1887" t="str">
        <f t="shared" si="6"/>
        <v>容积率</v>
      </c>
      <c r="R11" s="749" t="s">
        <v>25</v>
      </c>
      <c r="S11" s="750" t="e">
        <f t="shared" si="0"/>
        <v>#N/A</v>
      </c>
      <c r="T11" s="749" t="s">
        <v>25</v>
      </c>
      <c r="U11" s="750" t="e">
        <f t="shared" si="1"/>
        <v>#N/A</v>
      </c>
      <c r="V11" s="749" t="s">
        <v>25</v>
      </c>
      <c r="W11" s="750" t="e">
        <f t="shared" si="2"/>
        <v>#N/A</v>
      </c>
      <c r="X11" s="751"/>
      <c r="Y11" s="297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156"/>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156"/>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156"/>
      <c r="Q14" s="1887">
        <f t="shared" si="6"/>
        <v>111</v>
      </c>
      <c r="R14" s="749" t="s">
        <v>25</v>
      </c>
      <c r="S14" s="750">
        <f t="shared" si="0"/>
        <v>100</v>
      </c>
      <c r="T14" s="749" t="s">
        <v>25</v>
      </c>
      <c r="U14" s="750">
        <f t="shared" si="1"/>
        <v>100</v>
      </c>
      <c r="V14" s="749" t="s">
        <v>25</v>
      </c>
      <c r="W14" s="750">
        <f t="shared" si="2"/>
        <v>100</v>
      </c>
      <c r="X14" s="751"/>
      <c r="Y14" s="2971"/>
      <c r="Z14" s="23">
        <f t="shared" si="7"/>
        <v>111</v>
      </c>
      <c r="AA14" s="752">
        <f t="shared" si="3"/>
        <v>1</v>
      </c>
      <c r="AB14" s="752">
        <f t="shared" si="4"/>
        <v>1</v>
      </c>
      <c r="AC14" s="752">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134" t="s">
        <v>2367</v>
      </c>
      <c r="Q15" s="1899" t="str">
        <f t="shared" si="6"/>
        <v>商业繁华度</v>
      </c>
      <c r="R15" s="753" t="s">
        <v>25</v>
      </c>
      <c r="S15" s="754">
        <f t="shared" si="0"/>
        <v>100</v>
      </c>
      <c r="T15" s="753" t="s">
        <v>25</v>
      </c>
      <c r="U15" s="754">
        <f t="shared" si="1"/>
        <v>100</v>
      </c>
      <c r="V15" s="753" t="s">
        <v>25</v>
      </c>
      <c r="W15" s="754">
        <f t="shared" si="2"/>
        <v>100</v>
      </c>
      <c r="X15" s="1900"/>
      <c r="Y15" s="3136"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135"/>
      <c r="Q16" s="1899"/>
      <c r="R16" s="753"/>
      <c r="S16" s="754"/>
      <c r="T16" s="753"/>
      <c r="U16" s="754"/>
      <c r="V16" s="753"/>
      <c r="W16" s="754"/>
      <c r="X16" s="1900"/>
      <c r="Y16" s="3137"/>
      <c r="Z16" s="1902"/>
      <c r="AA16" s="1903">
        <v>1</v>
      </c>
      <c r="AB16" s="1903">
        <v>1</v>
      </c>
      <c r="AC16" s="1903">
        <v>1</v>
      </c>
    </row>
    <row r="17" spans="1:29" ht="114">
      <c r="A17" s="408"/>
      <c r="B17" s="431" t="s">
        <v>1752</v>
      </c>
      <c r="C17" s="2406" t="str">
        <f>估价对象房地状况!C6</f>
        <v>估价对象紧邻城市主干道—新华西街，周边有316路、372路、582路、666路等多条公交线路通过，综合评价交通便捷度较好。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135"/>
      <c r="Q17" s="1899" t="str">
        <f>B17</f>
        <v>交通便捷度</v>
      </c>
      <c r="R17" s="753" t="s">
        <v>25</v>
      </c>
      <c r="S17" s="754">
        <f>F17</f>
        <v>100</v>
      </c>
      <c r="T17" s="753" t="s">
        <v>25</v>
      </c>
      <c r="U17" s="754">
        <f>H17</f>
        <v>100</v>
      </c>
      <c r="V17" s="753" t="s">
        <v>25</v>
      </c>
      <c r="W17" s="754">
        <f>J17</f>
        <v>100</v>
      </c>
      <c r="X17" s="1900"/>
      <c r="Y17" s="313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135"/>
      <c r="Q18" s="1899"/>
      <c r="R18" s="753"/>
      <c r="S18" s="754"/>
      <c r="T18" s="753"/>
      <c r="U18" s="754"/>
      <c r="V18" s="753"/>
      <c r="W18" s="754"/>
      <c r="X18" s="1900"/>
      <c r="Y18" s="3137"/>
      <c r="Z18" s="1902"/>
      <c r="AA18" s="1903">
        <v>1</v>
      </c>
      <c r="AB18" s="1903">
        <v>1</v>
      </c>
      <c r="AC18" s="1903">
        <v>1</v>
      </c>
    </row>
    <row r="19" spans="1:29" ht="42.75">
      <c r="A19" s="408"/>
      <c r="B19" s="431" t="s">
        <v>2453</v>
      </c>
      <c r="C19" s="2406" t="str">
        <f>估价对象房地状况!C7</f>
        <v>估价对象所在区域公共配套设施齐全</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135"/>
      <c r="Q19" s="1899" t="str">
        <f>B19</f>
        <v>公共配套设施</v>
      </c>
      <c r="R19" s="753" t="s">
        <v>25</v>
      </c>
      <c r="S19" s="754">
        <f>F19</f>
        <v>100</v>
      </c>
      <c r="T19" s="753" t="s">
        <v>25</v>
      </c>
      <c r="U19" s="754">
        <f>H19</f>
        <v>100</v>
      </c>
      <c r="V19" s="753" t="s">
        <v>25</v>
      </c>
      <c r="W19" s="754">
        <f>J19</f>
        <v>100</v>
      </c>
      <c r="X19" s="1900"/>
      <c r="Y19" s="313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135"/>
      <c r="Q20" s="1899"/>
      <c r="R20" s="753"/>
      <c r="S20" s="754"/>
      <c r="T20" s="753"/>
      <c r="U20" s="754"/>
      <c r="V20" s="753"/>
      <c r="W20" s="754"/>
      <c r="X20" s="1900"/>
      <c r="Y20" s="3137"/>
      <c r="Z20" s="1902"/>
      <c r="AA20" s="1903">
        <v>1</v>
      </c>
      <c r="AB20" s="1903">
        <v>1</v>
      </c>
      <c r="AC20" s="1903">
        <v>1</v>
      </c>
    </row>
    <row r="21" spans="1:29" ht="42.75">
      <c r="A21" s="408"/>
      <c r="B21" s="2408" t="s">
        <v>2454</v>
      </c>
      <c r="C21" s="2406" t="str">
        <f>估价对象房地状况!C8</f>
        <v>估价对象所在区域基础设施水平达到七通一平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135"/>
      <c r="Q21" s="1899" t="str">
        <f>B21</f>
        <v>基础设施水平</v>
      </c>
      <c r="R21" s="753" t="s">
        <v>25</v>
      </c>
      <c r="S21" s="754">
        <f>F21</f>
        <v>100</v>
      </c>
      <c r="T21" s="753" t="s">
        <v>25</v>
      </c>
      <c r="U21" s="754">
        <f>H21</f>
        <v>100</v>
      </c>
      <c r="V21" s="753" t="s">
        <v>25</v>
      </c>
      <c r="W21" s="754">
        <f>J21</f>
        <v>100</v>
      </c>
      <c r="X21" s="1900"/>
      <c r="Y21" s="313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135"/>
      <c r="Q22" s="1899"/>
      <c r="R22" s="753"/>
      <c r="S22" s="754"/>
      <c r="T22" s="753"/>
      <c r="U22" s="754"/>
      <c r="V22" s="753"/>
      <c r="W22" s="754"/>
      <c r="X22" s="1900"/>
      <c r="Y22" s="3137"/>
      <c r="Z22" s="1902"/>
      <c r="AA22" s="1903">
        <v>1</v>
      </c>
      <c r="AB22" s="1903">
        <v>1</v>
      </c>
      <c r="AC22" s="1903">
        <v>1</v>
      </c>
    </row>
    <row r="23" spans="1:29" ht="99.75">
      <c r="A23" s="408"/>
      <c r="B23" s="431" t="s">
        <v>1757</v>
      </c>
      <c r="C23" s="2456" t="str">
        <f>估价对象房地状况!C9</f>
        <v>区域自然环境：西海子公园、通惠河；人文环境北京市通州区博物馆、新华书店；综合评价环境状况较好。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135"/>
      <c r="Q23" s="1899" t="str">
        <f>B23</f>
        <v>自然及人文环境</v>
      </c>
      <c r="R23" s="753" t="s">
        <v>25</v>
      </c>
      <c r="S23" s="754">
        <f>F23</f>
        <v>100</v>
      </c>
      <c r="T23" s="753" t="s">
        <v>25</v>
      </c>
      <c r="U23" s="754">
        <f>H23</f>
        <v>100</v>
      </c>
      <c r="V23" s="753" t="s">
        <v>25</v>
      </c>
      <c r="W23" s="754">
        <f>J23</f>
        <v>100</v>
      </c>
      <c r="X23" s="1900"/>
      <c r="Y23" s="313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135"/>
      <c r="Q24" s="1899"/>
      <c r="R24" s="753"/>
      <c r="S24" s="754"/>
      <c r="T24" s="753"/>
      <c r="U24" s="754"/>
      <c r="V24" s="753"/>
      <c r="W24" s="754"/>
      <c r="X24" s="1900"/>
      <c r="Y24" s="3137"/>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135"/>
      <c r="Q25" s="1899" t="str">
        <f t="shared" ref="Q25:Q46" si="11">B25</f>
        <v>临街状况</v>
      </c>
      <c r="R25" s="753" t="s">
        <v>25</v>
      </c>
      <c r="S25" s="754">
        <f>F25</f>
        <v>100</v>
      </c>
      <c r="T25" s="753" t="s">
        <v>25</v>
      </c>
      <c r="U25" s="754">
        <f>H25</f>
        <v>100</v>
      </c>
      <c r="V25" s="753" t="s">
        <v>25</v>
      </c>
      <c r="W25" s="754">
        <f>J25</f>
        <v>100</v>
      </c>
      <c r="X25" s="1900"/>
      <c r="Y25" s="3137"/>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135"/>
      <c r="Q26" s="1899" t="str">
        <f t="shared" si="11"/>
        <v>平面位置/可视性</v>
      </c>
      <c r="R26" s="753" t="s">
        <v>25</v>
      </c>
      <c r="S26" s="754">
        <f>F26</f>
        <v>100</v>
      </c>
      <c r="T26" s="753" t="s">
        <v>25</v>
      </c>
      <c r="U26" s="754">
        <f>H26</f>
        <v>100</v>
      </c>
      <c r="V26" s="753" t="s">
        <v>25</v>
      </c>
      <c r="W26" s="754">
        <f>J26</f>
        <v>100</v>
      </c>
      <c r="X26" s="1900"/>
      <c r="Y26" s="3137"/>
      <c r="Z26" s="1902" t="str">
        <f>Q26</f>
        <v>平面位置/可视性</v>
      </c>
      <c r="AA26" s="1903">
        <f t="shared" si="3"/>
        <v>1</v>
      </c>
      <c r="AB26" s="1903">
        <f t="shared" si="4"/>
        <v>1</v>
      </c>
      <c r="AC26" s="1903">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135"/>
      <c r="Q27" s="1887" t="str">
        <f t="shared" si="11"/>
        <v>人流量</v>
      </c>
      <c r="R27" s="749" t="s">
        <v>25</v>
      </c>
      <c r="S27" s="750">
        <f>F27</f>
        <v>100</v>
      </c>
      <c r="T27" s="749" t="s">
        <v>25</v>
      </c>
      <c r="U27" s="750">
        <f>H27</f>
        <v>100</v>
      </c>
      <c r="V27" s="749" t="s">
        <v>25</v>
      </c>
      <c r="W27" s="750">
        <f>J27</f>
        <v>100</v>
      </c>
      <c r="X27" s="751"/>
      <c r="Y27" s="3137"/>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13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13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135"/>
      <c r="Q29" s="1899">
        <f t="shared" si="11"/>
        <v>111</v>
      </c>
      <c r="R29" s="753" t="s">
        <v>25</v>
      </c>
      <c r="S29" s="754">
        <f t="shared" si="12"/>
        <v>100</v>
      </c>
      <c r="T29" s="753" t="s">
        <v>25</v>
      </c>
      <c r="U29" s="754">
        <f t="shared" si="13"/>
        <v>100</v>
      </c>
      <c r="V29" s="753" t="s">
        <v>25</v>
      </c>
      <c r="W29" s="754">
        <f t="shared" si="14"/>
        <v>100</v>
      </c>
      <c r="X29" s="1900"/>
      <c r="Y29" s="313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135"/>
      <c r="Q30" s="1899">
        <f t="shared" si="11"/>
        <v>111</v>
      </c>
      <c r="R30" s="753" t="s">
        <v>25</v>
      </c>
      <c r="S30" s="754">
        <f t="shared" si="12"/>
        <v>100</v>
      </c>
      <c r="T30" s="753" t="s">
        <v>25</v>
      </c>
      <c r="U30" s="754">
        <f t="shared" si="13"/>
        <v>100</v>
      </c>
      <c r="V30" s="753" t="s">
        <v>25</v>
      </c>
      <c r="W30" s="754">
        <f t="shared" si="14"/>
        <v>100</v>
      </c>
      <c r="X30" s="1900"/>
      <c r="Y30" s="313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135"/>
      <c r="Q31" s="1899">
        <f t="shared" si="11"/>
        <v>111</v>
      </c>
      <c r="R31" s="753" t="s">
        <v>25</v>
      </c>
      <c r="S31" s="754">
        <f t="shared" si="12"/>
        <v>100</v>
      </c>
      <c r="T31" s="753" t="s">
        <v>25</v>
      </c>
      <c r="U31" s="754">
        <f t="shared" si="13"/>
        <v>100</v>
      </c>
      <c r="V31" s="753" t="s">
        <v>25</v>
      </c>
      <c r="W31" s="754">
        <f t="shared" si="14"/>
        <v>100</v>
      </c>
      <c r="X31" s="1900"/>
      <c r="Y31" s="3137"/>
      <c r="Z31" s="1902">
        <f t="shared" si="15"/>
        <v>111</v>
      </c>
      <c r="AA31" s="1903">
        <f t="shared" si="3"/>
        <v>1</v>
      </c>
      <c r="AB31" s="1903">
        <f t="shared" si="4"/>
        <v>1</v>
      </c>
      <c r="AC31" s="1903">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138" t="s">
        <v>2373</v>
      </c>
      <c r="Q32" s="1899" t="str">
        <f t="shared" si="11"/>
        <v>商业类型</v>
      </c>
      <c r="R32" s="753" t="s">
        <v>25</v>
      </c>
      <c r="S32" s="754">
        <f t="shared" si="12"/>
        <v>100</v>
      </c>
      <c r="T32" s="753" t="s">
        <v>25</v>
      </c>
      <c r="U32" s="754">
        <f t="shared" si="13"/>
        <v>100</v>
      </c>
      <c r="V32" s="753" t="s">
        <v>25</v>
      </c>
      <c r="W32" s="754">
        <f t="shared" si="14"/>
        <v>100</v>
      </c>
      <c r="X32" s="1900"/>
      <c r="Y32" s="3141"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139"/>
      <c r="Q33" s="755" t="str">
        <f t="shared" si="11"/>
        <v>项目建筑规模</v>
      </c>
      <c r="R33" s="756" t="s">
        <v>25</v>
      </c>
      <c r="S33" s="757" t="e">
        <f t="shared" si="12"/>
        <v>#N/A</v>
      </c>
      <c r="T33" s="756" t="s">
        <v>25</v>
      </c>
      <c r="U33" s="757" t="e">
        <f t="shared" si="13"/>
        <v>#N/A</v>
      </c>
      <c r="V33" s="756" t="s">
        <v>25</v>
      </c>
      <c r="W33" s="757" t="e">
        <f t="shared" si="14"/>
        <v>#N/A</v>
      </c>
      <c r="X33" s="758"/>
      <c r="Y33" s="3141"/>
      <c r="Z33" s="759" t="str">
        <f t="shared" si="15"/>
        <v>项目建筑规模</v>
      </c>
      <c r="AA33" s="1903" t="e">
        <f t="shared" si="3"/>
        <v>#N/A</v>
      </c>
      <c r="AB33" s="1903" t="e">
        <f t="shared" si="4"/>
        <v>#N/A</v>
      </c>
      <c r="AC33" s="1903" t="e">
        <f t="shared" si="5"/>
        <v>#N/A</v>
      </c>
    </row>
    <row r="34" spans="1:29" ht="15">
      <c r="A34" s="453"/>
      <c r="B34" s="402" t="s">
        <v>2375</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139"/>
      <c r="Q34" s="1899" t="str">
        <f t="shared" si="11"/>
        <v>建筑结构</v>
      </c>
      <c r="R34" s="753" t="s">
        <v>25</v>
      </c>
      <c r="S34" s="754">
        <f t="shared" si="12"/>
        <v>100</v>
      </c>
      <c r="T34" s="753" t="s">
        <v>25</v>
      </c>
      <c r="U34" s="754">
        <f t="shared" si="13"/>
        <v>100</v>
      </c>
      <c r="V34" s="753" t="s">
        <v>25</v>
      </c>
      <c r="W34" s="754">
        <f t="shared" si="14"/>
        <v>100</v>
      </c>
      <c r="X34" s="1900"/>
      <c r="Y34" s="3141"/>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139"/>
      <c r="Q35" s="1899" t="str">
        <f t="shared" si="11"/>
        <v>公共部分装修</v>
      </c>
      <c r="R35" s="753" t="s">
        <v>25</v>
      </c>
      <c r="S35" s="754">
        <f t="shared" si="12"/>
        <v>100</v>
      </c>
      <c r="T35" s="753" t="s">
        <v>25</v>
      </c>
      <c r="U35" s="754">
        <f t="shared" si="13"/>
        <v>100</v>
      </c>
      <c r="V35" s="753" t="s">
        <v>25</v>
      </c>
      <c r="W35" s="754">
        <f t="shared" si="14"/>
        <v>100</v>
      </c>
      <c r="X35" s="1900"/>
      <c r="Y35" s="3141"/>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139"/>
      <c r="Q36" s="1899" t="str">
        <f t="shared" si="11"/>
        <v>成新度</v>
      </c>
      <c r="R36" s="753" t="s">
        <v>25</v>
      </c>
      <c r="S36" s="754" t="e">
        <f t="shared" si="12"/>
        <v>#N/A</v>
      </c>
      <c r="T36" s="753" t="s">
        <v>25</v>
      </c>
      <c r="U36" s="754" t="e">
        <f t="shared" si="13"/>
        <v>#N/A</v>
      </c>
      <c r="V36" s="753" t="s">
        <v>25</v>
      </c>
      <c r="W36" s="754" t="e">
        <f t="shared" si="14"/>
        <v>#N/A</v>
      </c>
      <c r="X36" s="1900"/>
      <c r="Y36" s="3141"/>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139"/>
      <c r="Q37" s="1887" t="str">
        <f t="shared" si="11"/>
        <v>市政基础设施</v>
      </c>
      <c r="R37" s="749" t="s">
        <v>25</v>
      </c>
      <c r="S37" s="750">
        <f t="shared" si="12"/>
        <v>100</v>
      </c>
      <c r="T37" s="749" t="s">
        <v>25</v>
      </c>
      <c r="U37" s="750">
        <f t="shared" si="13"/>
        <v>100</v>
      </c>
      <c r="V37" s="749" t="s">
        <v>25</v>
      </c>
      <c r="W37" s="750">
        <f t="shared" si="14"/>
        <v>100</v>
      </c>
      <c r="X37" s="751"/>
      <c r="Y37" s="3141"/>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139" t="s">
        <v>2373</v>
      </c>
      <c r="Q38" s="1899" t="str">
        <f t="shared" si="11"/>
        <v>业态</v>
      </c>
      <c r="R38" s="753" t="s">
        <v>25</v>
      </c>
      <c r="S38" s="754">
        <f t="shared" si="12"/>
        <v>100</v>
      </c>
      <c r="T38" s="753" t="s">
        <v>25</v>
      </c>
      <c r="U38" s="754">
        <f t="shared" si="13"/>
        <v>100</v>
      </c>
      <c r="V38" s="753" t="s">
        <v>25</v>
      </c>
      <c r="W38" s="754">
        <f t="shared" si="14"/>
        <v>100</v>
      </c>
      <c r="X38" s="1900"/>
      <c r="Y38" s="3141" t="s">
        <v>2373</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139"/>
      <c r="Q39" s="1899" t="str">
        <f t="shared" si="11"/>
        <v>层高</v>
      </c>
      <c r="R39" s="753" t="s">
        <v>25</v>
      </c>
      <c r="S39" s="754">
        <f t="shared" si="12"/>
        <v>100</v>
      </c>
      <c r="T39" s="753" t="s">
        <v>25</v>
      </c>
      <c r="U39" s="754">
        <f t="shared" si="13"/>
        <v>100</v>
      </c>
      <c r="V39" s="753" t="s">
        <v>25</v>
      </c>
      <c r="W39" s="754">
        <f t="shared" si="14"/>
        <v>100</v>
      </c>
      <c r="X39" s="1900"/>
      <c r="Y39" s="3141"/>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139"/>
      <c r="Q40" s="1899" t="str">
        <f t="shared" si="11"/>
        <v>单套建筑面积</v>
      </c>
      <c r="R40" s="753" t="s">
        <v>25</v>
      </c>
      <c r="S40" s="754">
        <f t="shared" si="12"/>
        <v>100</v>
      </c>
      <c r="T40" s="753" t="s">
        <v>25</v>
      </c>
      <c r="U40" s="754">
        <f t="shared" si="13"/>
        <v>100</v>
      </c>
      <c r="V40" s="753" t="s">
        <v>25</v>
      </c>
      <c r="W40" s="754">
        <f t="shared" si="14"/>
        <v>100</v>
      </c>
      <c r="X40" s="1900"/>
      <c r="Y40" s="3141"/>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139"/>
      <c r="Q41" s="755" t="str">
        <f t="shared" si="11"/>
        <v>进深比</v>
      </c>
      <c r="R41" s="756" t="s">
        <v>25</v>
      </c>
      <c r="S41" s="757">
        <f t="shared" si="12"/>
        <v>100</v>
      </c>
      <c r="T41" s="756" t="s">
        <v>25</v>
      </c>
      <c r="U41" s="757">
        <f t="shared" si="13"/>
        <v>100</v>
      </c>
      <c r="V41" s="756" t="s">
        <v>25</v>
      </c>
      <c r="W41" s="757">
        <f t="shared" si="14"/>
        <v>100</v>
      </c>
      <c r="X41" s="758"/>
      <c r="Y41" s="3141"/>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139"/>
      <c r="Q42" s="1899" t="str">
        <f t="shared" si="11"/>
        <v>内部装修</v>
      </c>
      <c r="R42" s="753" t="s">
        <v>25</v>
      </c>
      <c r="S42" s="754">
        <f t="shared" si="12"/>
        <v>100</v>
      </c>
      <c r="T42" s="753" t="s">
        <v>25</v>
      </c>
      <c r="U42" s="754">
        <f t="shared" si="13"/>
        <v>100</v>
      </c>
      <c r="V42" s="753" t="s">
        <v>25</v>
      </c>
      <c r="W42" s="754">
        <f t="shared" si="14"/>
        <v>100</v>
      </c>
      <c r="X42" s="1900"/>
      <c r="Y42" s="3141"/>
      <c r="Z42" s="1902" t="str">
        <f t="shared" si="15"/>
        <v>内部装修</v>
      </c>
      <c r="AA42" s="1903">
        <f t="shared" si="3"/>
        <v>1</v>
      </c>
      <c r="AB42" s="1903">
        <f t="shared" si="4"/>
        <v>1</v>
      </c>
      <c r="AC42" s="1903">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139"/>
      <c r="Q43" s="1899" t="str">
        <f t="shared" si="11"/>
        <v>内部装修维护情况</v>
      </c>
      <c r="R43" s="753" t="s">
        <v>25</v>
      </c>
      <c r="S43" s="754">
        <f t="shared" si="12"/>
        <v>100</v>
      </c>
      <c r="T43" s="753" t="s">
        <v>25</v>
      </c>
      <c r="U43" s="754">
        <f t="shared" si="13"/>
        <v>100</v>
      </c>
      <c r="V43" s="753" t="s">
        <v>25</v>
      </c>
      <c r="W43" s="754">
        <f t="shared" si="14"/>
        <v>100</v>
      </c>
      <c r="X43" s="1900"/>
      <c r="Y43" s="314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139"/>
      <c r="Q44" s="1887">
        <f t="shared" si="11"/>
        <v>111</v>
      </c>
      <c r="R44" s="749" t="s">
        <v>25</v>
      </c>
      <c r="S44" s="750">
        <f t="shared" si="12"/>
        <v>100</v>
      </c>
      <c r="T44" s="749" t="s">
        <v>25</v>
      </c>
      <c r="U44" s="750">
        <f t="shared" si="13"/>
        <v>100</v>
      </c>
      <c r="V44" s="749" t="s">
        <v>25</v>
      </c>
      <c r="W44" s="750">
        <f t="shared" si="14"/>
        <v>100</v>
      </c>
      <c r="X44" s="751"/>
      <c r="Y44" s="314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139"/>
      <c r="Q45" s="1899">
        <f t="shared" si="11"/>
        <v>111</v>
      </c>
      <c r="R45" s="753" t="s">
        <v>25</v>
      </c>
      <c r="S45" s="754">
        <f t="shared" si="12"/>
        <v>100</v>
      </c>
      <c r="T45" s="753" t="s">
        <v>25</v>
      </c>
      <c r="U45" s="754">
        <f t="shared" si="13"/>
        <v>100</v>
      </c>
      <c r="V45" s="753" t="s">
        <v>25</v>
      </c>
      <c r="W45" s="754">
        <f t="shared" si="14"/>
        <v>100</v>
      </c>
      <c r="X45" s="1900"/>
      <c r="Y45" s="314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140"/>
      <c r="Q46" s="1899">
        <f t="shared" si="11"/>
        <v>111</v>
      </c>
      <c r="R46" s="753" t="s">
        <v>25</v>
      </c>
      <c r="S46" s="754">
        <f t="shared" si="12"/>
        <v>100</v>
      </c>
      <c r="T46" s="753" t="s">
        <v>25</v>
      </c>
      <c r="U46" s="754">
        <f t="shared" si="13"/>
        <v>100</v>
      </c>
      <c r="V46" s="753" t="s">
        <v>25</v>
      </c>
      <c r="W46" s="754">
        <f t="shared" si="14"/>
        <v>100</v>
      </c>
      <c r="X46" s="1900"/>
      <c r="Y46" s="3142"/>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133" t="str">
        <f>A47</f>
        <v>成交单价（元/平方米）</v>
      </c>
      <c r="Q47" s="3133"/>
      <c r="R47" s="3129">
        <f>E47</f>
        <v>0</v>
      </c>
      <c r="S47" s="3129"/>
      <c r="T47" s="3129">
        <f>G47</f>
        <v>0</v>
      </c>
      <c r="U47" s="3129"/>
      <c r="V47" s="3129">
        <f>I47</f>
        <v>0</v>
      </c>
      <c r="W47" s="3129"/>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133" t="str">
        <f>A48</f>
        <v>比较价值（元/平方米）</v>
      </c>
      <c r="Q48" s="3133"/>
      <c r="R48" s="3129" t="e">
        <f>IF(E1="售价",ROUND(PRODUCT(R47,AA7:AA46),0),ROUND(PRODUCT(R47,AA7:AA46),1))</f>
        <v>#DIV/0!</v>
      </c>
      <c r="S48" s="3129"/>
      <c r="T48" s="3129" t="e">
        <f>IF(E1="售价",ROUND(PRODUCT(T47,AB7:AB46),0),ROUND(PRODUCT(T47,AB7:AB46),1))</f>
        <v>#DIV/0!</v>
      </c>
      <c r="U48" s="3129"/>
      <c r="V48" s="3129" t="e">
        <f>IF(E1="售价",ROUND(PRODUCT(V47,AC7:AC46),0),ROUND(PRODUCT(V47,AC7:AC46),1))</f>
        <v>#DIV/0!</v>
      </c>
      <c r="W48" s="3129"/>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130" t="str">
        <f>A49</f>
        <v>估价对象XX用房的比较价值（楼面单价，元/平方米）</v>
      </c>
      <c r="Q49" s="3131"/>
      <c r="R49" s="3132" t="e">
        <f>IF(E1="售价",ROUND(AVERAGE(R48:V48),0),ROUND(AVERAGE(R48:V48),1))</f>
        <v>#DIV/0!</v>
      </c>
      <c r="S49" s="3132"/>
      <c r="T49" s="3132"/>
      <c r="U49" s="3132"/>
      <c r="V49" s="3132"/>
      <c r="W49" s="313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2016-5</v>
      </c>
      <c r="D58" s="1679">
        <f>EDATE(C58,-1)</f>
        <v>42461</v>
      </c>
      <c r="E58" s="1679">
        <f t="shared" ref="E58:O58" si="16">EDATE(D58,-1)</f>
        <v>42430</v>
      </c>
      <c r="F58" s="1679">
        <f t="shared" si="16"/>
        <v>42401</v>
      </c>
      <c r="G58" s="1679">
        <f t="shared" si="16"/>
        <v>42370</v>
      </c>
      <c r="H58" s="1679">
        <f t="shared" si="16"/>
        <v>42339</v>
      </c>
      <c r="I58" s="1679">
        <f t="shared" si="16"/>
        <v>42309</v>
      </c>
      <c r="J58" s="1679">
        <f t="shared" si="16"/>
        <v>42278</v>
      </c>
      <c r="K58" s="1679">
        <f t="shared" si="16"/>
        <v>42248</v>
      </c>
      <c r="L58" s="1679">
        <f t="shared" si="16"/>
        <v>42217</v>
      </c>
      <c r="M58" s="1679">
        <f t="shared" si="16"/>
        <v>42186</v>
      </c>
      <c r="N58" s="1679">
        <f t="shared" si="16"/>
        <v>42156</v>
      </c>
      <c r="O58" s="1679">
        <f t="shared" si="16"/>
        <v>42125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2357</v>
      </c>
      <c r="B61" s="491"/>
      <c r="C61" s="503" t="s">
        <v>2358</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2396</v>
      </c>
      <c r="B63" s="509" t="s">
        <v>2361</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2474</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2371</v>
      </c>
      <c r="B100" s="509" t="s">
        <v>2475</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2422</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2424</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2476</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2477</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2478</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2429</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2009</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2010</v>
      </c>
      <c r="B3" s="593" t="e">
        <f ca="1">ROUND(IF(D2="——",C50,IF(C2="万元",B2*10000/D3,B2/D3)),0)</f>
        <v>#DIV/0!</v>
      </c>
      <c r="C3" s="379" t="s">
        <v>2341</v>
      </c>
      <c r="D3" s="378">
        <f>IF(C1="仅计算典型户型",'数据-取费表'!E5,'数据-取费表'!B5)</f>
        <v>189.28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2342</v>
      </c>
      <c r="B4" s="381"/>
      <c r="C4" s="3160" t="s">
        <v>2343</v>
      </c>
      <c r="D4" s="3161"/>
      <c r="E4" s="3162" t="s">
        <v>2344</v>
      </c>
      <c r="F4" s="3163"/>
      <c r="G4" s="3160" t="s">
        <v>2345</v>
      </c>
      <c r="H4" s="3161"/>
      <c r="I4" s="3160" t="s">
        <v>2346</v>
      </c>
      <c r="J4" s="3161"/>
      <c r="K4" s="594" t="s">
        <v>2347</v>
      </c>
      <c r="L4" s="1243"/>
      <c r="M4" s="1244"/>
      <c r="N4" s="1244"/>
      <c r="O4" s="1244"/>
      <c r="P4" s="3283" t="s">
        <v>2348</v>
      </c>
      <c r="Q4" s="3165"/>
      <c r="R4" s="3149" t="s">
        <v>2344</v>
      </c>
      <c r="S4" s="3150"/>
      <c r="T4" s="3149" t="s">
        <v>2345</v>
      </c>
      <c r="U4" s="3150"/>
      <c r="V4" s="3170" t="s">
        <v>2346</v>
      </c>
      <c r="W4" s="3170"/>
      <c r="X4" s="1900"/>
      <c r="Y4" s="3149" t="s">
        <v>2348</v>
      </c>
      <c r="Z4" s="3150"/>
      <c r="AA4" s="3157" t="s">
        <v>2344</v>
      </c>
      <c r="AB4" s="3157" t="s">
        <v>2345</v>
      </c>
      <c r="AC4" s="3157" t="s">
        <v>2346</v>
      </c>
    </row>
    <row r="5" spans="1:29" ht="15">
      <c r="A5" s="383"/>
      <c r="B5" s="384"/>
      <c r="C5" s="3278" t="s">
        <v>2349</v>
      </c>
      <c r="D5" s="3146"/>
      <c r="E5" s="3277" t="s">
        <v>2350</v>
      </c>
      <c r="F5" s="3172"/>
      <c r="G5" s="3278" t="s">
        <v>2351</v>
      </c>
      <c r="H5" s="3146"/>
      <c r="I5" s="3278" t="s">
        <v>2352</v>
      </c>
      <c r="J5" s="3146"/>
      <c r="K5" s="594"/>
      <c r="L5" s="1243"/>
      <c r="M5" s="1244"/>
      <c r="N5" s="1244"/>
      <c r="O5" s="1244"/>
      <c r="P5" s="3284"/>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594" t="s">
        <v>2354</v>
      </c>
      <c r="L6" s="1243"/>
      <c r="M6" s="1244"/>
      <c r="N6" s="1244"/>
      <c r="O6" s="1244"/>
      <c r="P6" s="3285"/>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155" t="s">
        <v>2356</v>
      </c>
      <c r="Q7" s="3155"/>
      <c r="R7" s="749" t="s">
        <v>25</v>
      </c>
      <c r="S7" s="750">
        <f t="shared" ref="S7:S15" si="0">F7</f>
        <v>0</v>
      </c>
      <c r="T7" s="749" t="s">
        <v>25</v>
      </c>
      <c r="U7" s="750">
        <f t="shared" ref="U7:U15" si="1">H7</f>
        <v>0</v>
      </c>
      <c r="V7" s="749" t="s">
        <v>25</v>
      </c>
      <c r="W7" s="750">
        <f t="shared" ref="W7:W15" si="2">J7</f>
        <v>0</v>
      </c>
      <c r="X7" s="751"/>
      <c r="Y7" s="3147" t="s">
        <v>2356</v>
      </c>
      <c r="Z7" s="3148"/>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155" t="s">
        <v>2359</v>
      </c>
      <c r="Q8" s="3148"/>
      <c r="R8" s="749" t="s">
        <v>25</v>
      </c>
      <c r="S8" s="750">
        <f t="shared" si="0"/>
        <v>0</v>
      </c>
      <c r="T8" s="749" t="s">
        <v>25</v>
      </c>
      <c r="U8" s="750">
        <f t="shared" si="1"/>
        <v>0</v>
      </c>
      <c r="V8" s="749" t="s">
        <v>25</v>
      </c>
      <c r="W8" s="750">
        <f t="shared" si="2"/>
        <v>0</v>
      </c>
      <c r="X8" s="751"/>
      <c r="Y8" s="3147" t="s">
        <v>2359</v>
      </c>
      <c r="Z8" s="3148"/>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131"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131"/>
      <c r="Q10" s="1887" t="str">
        <f t="shared" si="6"/>
        <v>土地使用年限（年）</v>
      </c>
      <c r="R10" s="749" t="s">
        <v>25</v>
      </c>
      <c r="S10" s="750">
        <f t="shared" si="0"/>
        <v>100</v>
      </c>
      <c r="T10" s="749" t="s">
        <v>25</v>
      </c>
      <c r="U10" s="750">
        <f t="shared" si="1"/>
        <v>100</v>
      </c>
      <c r="V10" s="749" t="s">
        <v>25</v>
      </c>
      <c r="W10" s="750">
        <f t="shared" si="2"/>
        <v>100</v>
      </c>
      <c r="X10" s="751"/>
      <c r="Y10" s="297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131"/>
      <c r="Q11" s="1887" t="str">
        <f t="shared" si="6"/>
        <v>容积率</v>
      </c>
      <c r="R11" s="749" t="s">
        <v>25</v>
      </c>
      <c r="S11" s="750" t="e">
        <f t="shared" si="0"/>
        <v>#N/A</v>
      </c>
      <c r="T11" s="749" t="s">
        <v>25</v>
      </c>
      <c r="U11" s="750" t="e">
        <f t="shared" si="1"/>
        <v>#N/A</v>
      </c>
      <c r="V11" s="749" t="s">
        <v>25</v>
      </c>
      <c r="W11" s="750" t="e">
        <f t="shared" si="2"/>
        <v>#N/A</v>
      </c>
      <c r="X11" s="751"/>
      <c r="Y11" s="2971"/>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131"/>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131"/>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131"/>
      <c r="Q14" s="1887">
        <f t="shared" si="6"/>
        <v>111</v>
      </c>
      <c r="R14" s="749" t="s">
        <v>25</v>
      </c>
      <c r="S14" s="750">
        <f t="shared" si="0"/>
        <v>100</v>
      </c>
      <c r="T14" s="749" t="s">
        <v>25</v>
      </c>
      <c r="U14" s="750">
        <f t="shared" si="1"/>
        <v>100</v>
      </c>
      <c r="V14" s="749" t="s">
        <v>25</v>
      </c>
      <c r="W14" s="750">
        <f t="shared" si="2"/>
        <v>100</v>
      </c>
      <c r="X14" s="751"/>
      <c r="Y14" s="2971"/>
      <c r="Z14" s="23">
        <f t="shared" si="7"/>
        <v>111</v>
      </c>
      <c r="AA14" s="752">
        <f t="shared" si="3"/>
        <v>1</v>
      </c>
      <c r="AB14" s="752">
        <f t="shared" si="4"/>
        <v>1</v>
      </c>
      <c r="AC14" s="752">
        <f t="shared" si="5"/>
        <v>1</v>
      </c>
    </row>
    <row r="15" spans="1:29" ht="71.25">
      <c r="A15" s="419" t="s">
        <v>2366</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165" t="s">
        <v>2367</v>
      </c>
      <c r="Q15" s="1899" t="str">
        <f t="shared" si="6"/>
        <v>办公集聚程度</v>
      </c>
      <c r="R15" s="753" t="s">
        <v>25</v>
      </c>
      <c r="S15" s="754">
        <f t="shared" si="0"/>
        <v>100</v>
      </c>
      <c r="T15" s="753" t="s">
        <v>25</v>
      </c>
      <c r="U15" s="754">
        <f t="shared" si="1"/>
        <v>100</v>
      </c>
      <c r="V15" s="753" t="s">
        <v>25</v>
      </c>
      <c r="W15" s="754">
        <f t="shared" si="2"/>
        <v>100</v>
      </c>
      <c r="X15" s="1900"/>
      <c r="Y15" s="3136"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167"/>
      <c r="Q16" s="1899"/>
      <c r="R16" s="753"/>
      <c r="S16" s="754"/>
      <c r="T16" s="753"/>
      <c r="U16" s="754"/>
      <c r="V16" s="753"/>
      <c r="W16" s="754"/>
      <c r="X16" s="1900"/>
      <c r="Y16" s="3137"/>
      <c r="Z16" s="1902"/>
      <c r="AA16" s="1903">
        <v>1</v>
      </c>
      <c r="AB16" s="1903">
        <v>1</v>
      </c>
      <c r="AC16" s="1903">
        <v>1</v>
      </c>
    </row>
    <row r="17" spans="1:29" ht="114">
      <c r="A17" s="408"/>
      <c r="B17" s="615" t="s">
        <v>1752</v>
      </c>
      <c r="C17" s="2467" t="str">
        <f>估价对象房地状况!C6</f>
        <v>估价对象紧邻城市主干道—新华西街，周边有316路、372路、582路、666路等多条公交线路通过，综合评价交通便捷度较好。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167"/>
      <c r="Q17" s="1899" t="str">
        <f>B17</f>
        <v>交通便捷度</v>
      </c>
      <c r="R17" s="753" t="s">
        <v>25</v>
      </c>
      <c r="S17" s="754">
        <f>F17</f>
        <v>100</v>
      </c>
      <c r="T17" s="753" t="s">
        <v>25</v>
      </c>
      <c r="U17" s="754">
        <f>H17</f>
        <v>100</v>
      </c>
      <c r="V17" s="753" t="s">
        <v>25</v>
      </c>
      <c r="W17" s="754">
        <f>J17</f>
        <v>100</v>
      </c>
      <c r="X17" s="1900"/>
      <c r="Y17" s="3137"/>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167"/>
      <c r="Q18" s="1899"/>
      <c r="R18" s="753"/>
      <c r="S18" s="754"/>
      <c r="T18" s="753"/>
      <c r="U18" s="754"/>
      <c r="V18" s="753"/>
      <c r="W18" s="754"/>
      <c r="X18" s="1900"/>
      <c r="Y18" s="3137"/>
      <c r="Z18" s="1902"/>
      <c r="AA18" s="1903">
        <v>1</v>
      </c>
      <c r="AB18" s="1903">
        <v>1</v>
      </c>
      <c r="AC18" s="1903">
        <v>1</v>
      </c>
    </row>
    <row r="19" spans="1:29" ht="42.75">
      <c r="A19" s="408"/>
      <c r="B19" s="615" t="s">
        <v>2482</v>
      </c>
      <c r="C19" s="2467" t="str">
        <f>估价对象房地状况!C7</f>
        <v>估价对象所在区域公共配套设施齐全</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167"/>
      <c r="Q19" s="1899" t="str">
        <f>B19</f>
        <v>公共配套设施</v>
      </c>
      <c r="R19" s="753" t="s">
        <v>25</v>
      </c>
      <c r="S19" s="754">
        <f>F19</f>
        <v>100</v>
      </c>
      <c r="T19" s="753" t="s">
        <v>25</v>
      </c>
      <c r="U19" s="754">
        <f>H19</f>
        <v>100</v>
      </c>
      <c r="V19" s="753" t="s">
        <v>25</v>
      </c>
      <c r="W19" s="754">
        <f>J19</f>
        <v>100</v>
      </c>
      <c r="X19" s="1900"/>
      <c r="Y19" s="313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167"/>
      <c r="Q20" s="1899"/>
      <c r="R20" s="753"/>
      <c r="S20" s="754"/>
      <c r="T20" s="753"/>
      <c r="U20" s="754"/>
      <c r="V20" s="753"/>
      <c r="W20" s="754"/>
      <c r="X20" s="1900"/>
      <c r="Y20" s="3137"/>
      <c r="Z20" s="1902"/>
      <c r="AA20" s="1903">
        <v>1</v>
      </c>
      <c r="AB20" s="1903">
        <v>1</v>
      </c>
      <c r="AC20" s="1903">
        <v>1</v>
      </c>
    </row>
    <row r="21" spans="1:29" ht="42.75">
      <c r="A21" s="408"/>
      <c r="B21" s="617" t="s">
        <v>2483</v>
      </c>
      <c r="C21" s="2467" t="str">
        <f>估价对象房地状况!C8</f>
        <v>估价对象所在区域基础设施水平达到七通一平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167"/>
      <c r="Q21" s="1899" t="str">
        <f>B21</f>
        <v>基础设施水平</v>
      </c>
      <c r="R21" s="753" t="s">
        <v>25</v>
      </c>
      <c r="S21" s="754">
        <f>F21</f>
        <v>100</v>
      </c>
      <c r="T21" s="753" t="s">
        <v>25</v>
      </c>
      <c r="U21" s="754">
        <f>H21</f>
        <v>100</v>
      </c>
      <c r="V21" s="753" t="s">
        <v>25</v>
      </c>
      <c r="W21" s="754">
        <f>J21</f>
        <v>100</v>
      </c>
      <c r="X21" s="1900"/>
      <c r="Y21" s="3137"/>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167"/>
      <c r="Q22" s="1899"/>
      <c r="R22" s="753"/>
      <c r="S22" s="754"/>
      <c r="T22" s="753"/>
      <c r="U22" s="754"/>
      <c r="V22" s="753"/>
      <c r="W22" s="754"/>
      <c r="X22" s="1900"/>
      <c r="Y22" s="3137"/>
      <c r="Z22" s="1902"/>
      <c r="AA22" s="1903">
        <v>1</v>
      </c>
      <c r="AB22" s="1903">
        <v>1</v>
      </c>
      <c r="AC22" s="1903">
        <v>1</v>
      </c>
    </row>
    <row r="23" spans="1:29" ht="99.75">
      <c r="A23" s="408"/>
      <c r="B23" s="615" t="s">
        <v>2484</v>
      </c>
      <c r="C23" s="2467" t="str">
        <f>估价对象房地状况!C9</f>
        <v>区域自然环境：西海子公园、通惠河；人文环境北京市通州区博物馆、新华书店；综合评价环境状况较好。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167"/>
      <c r="Q23" s="1899" t="str">
        <f>B23</f>
        <v>环境质量</v>
      </c>
      <c r="R23" s="753" t="s">
        <v>25</v>
      </c>
      <c r="S23" s="754">
        <f>F23</f>
        <v>100</v>
      </c>
      <c r="T23" s="753" t="s">
        <v>25</v>
      </c>
      <c r="U23" s="754">
        <f>H23</f>
        <v>100</v>
      </c>
      <c r="V23" s="753" t="s">
        <v>25</v>
      </c>
      <c r="W23" s="754">
        <f>J23</f>
        <v>100</v>
      </c>
      <c r="X23" s="1900"/>
      <c r="Y23" s="313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167"/>
      <c r="Q24" s="1899"/>
      <c r="R24" s="753"/>
      <c r="S24" s="754"/>
      <c r="T24" s="753"/>
      <c r="U24" s="754"/>
      <c r="V24" s="753"/>
      <c r="W24" s="754"/>
      <c r="X24" s="1900"/>
      <c r="Y24" s="3137"/>
      <c r="Z24" s="1902"/>
      <c r="AA24" s="1903">
        <v>1</v>
      </c>
      <c r="AB24" s="1903">
        <v>1</v>
      </c>
      <c r="AC24" s="1903">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167"/>
      <c r="Q25" s="1899" t="str">
        <f>B25</f>
        <v>毗邻道路的类型与等级</v>
      </c>
      <c r="R25" s="753" t="s">
        <v>25</v>
      </c>
      <c r="S25" s="754">
        <f>F25</f>
        <v>100</v>
      </c>
      <c r="T25" s="753" t="s">
        <v>25</v>
      </c>
      <c r="U25" s="754">
        <f>H25</f>
        <v>100</v>
      </c>
      <c r="V25" s="753" t="s">
        <v>25</v>
      </c>
      <c r="W25" s="754">
        <f>J25</f>
        <v>100</v>
      </c>
      <c r="X25" s="1900"/>
      <c r="Y25" s="313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167"/>
      <c r="Q26" s="1899"/>
      <c r="R26" s="753"/>
      <c r="S26" s="754"/>
      <c r="T26" s="753"/>
      <c r="U26" s="754"/>
      <c r="V26" s="753"/>
      <c r="W26" s="754"/>
      <c r="X26" s="1900"/>
      <c r="Y26" s="3137"/>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167"/>
      <c r="Q27" s="1899" t="str">
        <f t="shared" ref="Q27:Q47" si="11">B27</f>
        <v>楼层</v>
      </c>
      <c r="R27" s="753" t="s">
        <v>25</v>
      </c>
      <c r="S27" s="754">
        <f>F27</f>
        <v>100</v>
      </c>
      <c r="T27" s="753" t="s">
        <v>25</v>
      </c>
      <c r="U27" s="754">
        <f>H27</f>
        <v>100</v>
      </c>
      <c r="V27" s="753" t="s">
        <v>25</v>
      </c>
      <c r="W27" s="754">
        <f>J27</f>
        <v>100</v>
      </c>
      <c r="X27" s="1900"/>
      <c r="Y27" s="3137"/>
      <c r="Z27" s="1902" t="str">
        <f>Q27</f>
        <v>楼层</v>
      </c>
      <c r="AA27" s="1903">
        <f t="shared" si="3"/>
        <v>1</v>
      </c>
      <c r="AB27" s="1903">
        <f t="shared" si="4"/>
        <v>1</v>
      </c>
      <c r="AC27" s="1903">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167"/>
      <c r="Q28" s="1887" t="str">
        <f t="shared" si="11"/>
        <v>朝向</v>
      </c>
      <c r="R28" s="749" t="s">
        <v>25</v>
      </c>
      <c r="S28" s="750">
        <f>F28</f>
        <v>100</v>
      </c>
      <c r="T28" s="749" t="s">
        <v>25</v>
      </c>
      <c r="U28" s="750">
        <f>H28</f>
        <v>100</v>
      </c>
      <c r="V28" s="749" t="s">
        <v>25</v>
      </c>
      <c r="W28" s="750">
        <f>J28</f>
        <v>100</v>
      </c>
      <c r="X28" s="751"/>
      <c r="Y28" s="3137"/>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167"/>
      <c r="Q29" s="1899">
        <f t="shared" si="11"/>
        <v>111</v>
      </c>
      <c r="R29" s="753" t="s">
        <v>25</v>
      </c>
      <c r="S29" s="754">
        <f t="shared" ref="S29:S47" si="12">F29</f>
        <v>100</v>
      </c>
      <c r="T29" s="753" t="s">
        <v>25</v>
      </c>
      <c r="U29" s="754">
        <f t="shared" ref="U29:U47" si="13">H29</f>
        <v>100</v>
      </c>
      <c r="V29" s="753" t="s">
        <v>25</v>
      </c>
      <c r="W29" s="754">
        <f t="shared" ref="W29:W47" si="14">J29</f>
        <v>100</v>
      </c>
      <c r="X29" s="1900"/>
      <c r="Y29" s="3137"/>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167"/>
      <c r="Q30" s="1899">
        <f t="shared" si="11"/>
        <v>111</v>
      </c>
      <c r="R30" s="753" t="s">
        <v>25</v>
      </c>
      <c r="S30" s="754">
        <f t="shared" si="12"/>
        <v>100</v>
      </c>
      <c r="T30" s="753" t="s">
        <v>25</v>
      </c>
      <c r="U30" s="754">
        <f t="shared" si="13"/>
        <v>100</v>
      </c>
      <c r="V30" s="753" t="s">
        <v>25</v>
      </c>
      <c r="W30" s="754">
        <f t="shared" si="14"/>
        <v>100</v>
      </c>
      <c r="X30" s="1900"/>
      <c r="Y30" s="3137"/>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167"/>
      <c r="Q31" s="1899">
        <f t="shared" si="11"/>
        <v>111</v>
      </c>
      <c r="R31" s="753" t="s">
        <v>25</v>
      </c>
      <c r="S31" s="754">
        <f t="shared" si="12"/>
        <v>100</v>
      </c>
      <c r="T31" s="753" t="s">
        <v>25</v>
      </c>
      <c r="U31" s="754">
        <f t="shared" si="13"/>
        <v>100</v>
      </c>
      <c r="V31" s="753" t="s">
        <v>25</v>
      </c>
      <c r="W31" s="754">
        <f t="shared" si="14"/>
        <v>100</v>
      </c>
      <c r="X31" s="1900"/>
      <c r="Y31" s="313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167"/>
      <c r="Q32" s="1899">
        <f t="shared" si="11"/>
        <v>111</v>
      </c>
      <c r="R32" s="753" t="s">
        <v>25</v>
      </c>
      <c r="S32" s="754">
        <f t="shared" si="12"/>
        <v>100</v>
      </c>
      <c r="T32" s="753" t="s">
        <v>25</v>
      </c>
      <c r="U32" s="754">
        <f t="shared" si="13"/>
        <v>100</v>
      </c>
      <c r="V32" s="753" t="s">
        <v>25</v>
      </c>
      <c r="W32" s="754">
        <f t="shared" si="14"/>
        <v>100</v>
      </c>
      <c r="X32" s="1900"/>
      <c r="Y32" s="3137"/>
      <c r="Z32" s="1902">
        <f t="shared" si="15"/>
        <v>111</v>
      </c>
      <c r="AA32" s="1903">
        <f t="shared" si="3"/>
        <v>1</v>
      </c>
      <c r="AB32" s="1903">
        <f t="shared" si="4"/>
        <v>1</v>
      </c>
      <c r="AC32" s="1903">
        <f t="shared" si="5"/>
        <v>1</v>
      </c>
    </row>
    <row r="33" spans="1:29" ht="15">
      <c r="A33" s="419" t="s">
        <v>2371</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280" t="s">
        <v>2373</v>
      </c>
      <c r="Q33" s="1899" t="str">
        <f t="shared" si="11"/>
        <v>建筑类型</v>
      </c>
      <c r="R33" s="753" t="s">
        <v>25</v>
      </c>
      <c r="S33" s="754">
        <f t="shared" si="12"/>
        <v>100</v>
      </c>
      <c r="T33" s="753" t="s">
        <v>25</v>
      </c>
      <c r="U33" s="754">
        <f t="shared" si="13"/>
        <v>100</v>
      </c>
      <c r="V33" s="753" t="s">
        <v>25</v>
      </c>
      <c r="W33" s="754">
        <f t="shared" si="14"/>
        <v>100</v>
      </c>
      <c r="X33" s="1900"/>
      <c r="Y33" s="3141"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281"/>
      <c r="Q34" s="755" t="str">
        <f t="shared" si="11"/>
        <v>项目建筑规模</v>
      </c>
      <c r="R34" s="756" t="s">
        <v>25</v>
      </c>
      <c r="S34" s="757" t="e">
        <f t="shared" si="12"/>
        <v>#N/A</v>
      </c>
      <c r="T34" s="756" t="s">
        <v>25</v>
      </c>
      <c r="U34" s="757" t="e">
        <f t="shared" si="13"/>
        <v>#N/A</v>
      </c>
      <c r="V34" s="756" t="s">
        <v>25</v>
      </c>
      <c r="W34" s="757" t="e">
        <f t="shared" si="14"/>
        <v>#N/A</v>
      </c>
      <c r="X34" s="758"/>
      <c r="Y34" s="3141"/>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281"/>
      <c r="Q35" s="1899" t="str">
        <f t="shared" si="11"/>
        <v>建筑结构</v>
      </c>
      <c r="R35" s="753" t="s">
        <v>25</v>
      </c>
      <c r="S35" s="754">
        <f t="shared" si="12"/>
        <v>100</v>
      </c>
      <c r="T35" s="753" t="s">
        <v>25</v>
      </c>
      <c r="U35" s="754">
        <f t="shared" si="13"/>
        <v>100</v>
      </c>
      <c r="V35" s="753" t="s">
        <v>25</v>
      </c>
      <c r="W35" s="754">
        <f t="shared" si="14"/>
        <v>100</v>
      </c>
      <c r="X35" s="1900"/>
      <c r="Y35" s="3141"/>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281"/>
      <c r="Q36" s="1899" t="str">
        <f t="shared" si="11"/>
        <v>公共部分装修</v>
      </c>
      <c r="R36" s="753" t="s">
        <v>25</v>
      </c>
      <c r="S36" s="754">
        <f t="shared" si="12"/>
        <v>100</v>
      </c>
      <c r="T36" s="753" t="s">
        <v>25</v>
      </c>
      <c r="U36" s="754">
        <f t="shared" si="13"/>
        <v>100</v>
      </c>
      <c r="V36" s="753" t="s">
        <v>25</v>
      </c>
      <c r="W36" s="754">
        <f t="shared" si="14"/>
        <v>100</v>
      </c>
      <c r="X36" s="1900"/>
      <c r="Y36" s="3141"/>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281"/>
      <c r="Q37" s="1899" t="str">
        <f t="shared" si="11"/>
        <v>成新度</v>
      </c>
      <c r="R37" s="753" t="s">
        <v>25</v>
      </c>
      <c r="S37" s="754" t="e">
        <f t="shared" si="12"/>
        <v>#N/A</v>
      </c>
      <c r="T37" s="753" t="s">
        <v>25</v>
      </c>
      <c r="U37" s="754" t="e">
        <f t="shared" si="13"/>
        <v>#N/A</v>
      </c>
      <c r="V37" s="753" t="s">
        <v>25</v>
      </c>
      <c r="W37" s="754" t="e">
        <f t="shared" si="14"/>
        <v>#N/A</v>
      </c>
      <c r="X37" s="1900"/>
      <c r="Y37" s="3141"/>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281"/>
      <c r="Q38" s="1887" t="str">
        <f t="shared" si="11"/>
        <v>写字楼等级</v>
      </c>
      <c r="R38" s="749" t="s">
        <v>25</v>
      </c>
      <c r="S38" s="750">
        <f t="shared" si="12"/>
        <v>100</v>
      </c>
      <c r="T38" s="749" t="s">
        <v>25</v>
      </c>
      <c r="U38" s="750">
        <f t="shared" si="13"/>
        <v>100</v>
      </c>
      <c r="V38" s="749" t="s">
        <v>25</v>
      </c>
      <c r="W38" s="750">
        <f t="shared" si="14"/>
        <v>100</v>
      </c>
      <c r="X38" s="751"/>
      <c r="Y38" s="3141"/>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281" t="s">
        <v>2373</v>
      </c>
      <c r="Q39" s="1899" t="str">
        <f t="shared" si="11"/>
        <v>物业管理</v>
      </c>
      <c r="R39" s="753" t="s">
        <v>25</v>
      </c>
      <c r="S39" s="754">
        <f t="shared" si="12"/>
        <v>100</v>
      </c>
      <c r="T39" s="753" t="s">
        <v>25</v>
      </c>
      <c r="U39" s="754">
        <f t="shared" si="13"/>
        <v>100</v>
      </c>
      <c r="V39" s="753" t="s">
        <v>25</v>
      </c>
      <c r="W39" s="754">
        <f t="shared" si="14"/>
        <v>100</v>
      </c>
      <c r="X39" s="1900"/>
      <c r="Y39" s="3141" t="s">
        <v>2373</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281"/>
      <c r="Q40" s="1899" t="str">
        <f t="shared" si="11"/>
        <v>市政基础设施</v>
      </c>
      <c r="R40" s="753" t="s">
        <v>25</v>
      </c>
      <c r="S40" s="754">
        <f t="shared" si="12"/>
        <v>100</v>
      </c>
      <c r="T40" s="753" t="s">
        <v>25</v>
      </c>
      <c r="U40" s="754">
        <f t="shared" si="13"/>
        <v>100</v>
      </c>
      <c r="V40" s="753" t="s">
        <v>25</v>
      </c>
      <c r="W40" s="754">
        <f t="shared" si="14"/>
        <v>100</v>
      </c>
      <c r="X40" s="1900"/>
      <c r="Y40" s="3141"/>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281"/>
      <c r="Q41" s="1899" t="str">
        <f t="shared" si="11"/>
        <v>层高</v>
      </c>
      <c r="R41" s="753" t="s">
        <v>25</v>
      </c>
      <c r="S41" s="754">
        <f t="shared" si="12"/>
        <v>100</v>
      </c>
      <c r="T41" s="753" t="s">
        <v>25</v>
      </c>
      <c r="U41" s="754">
        <f t="shared" si="13"/>
        <v>100</v>
      </c>
      <c r="V41" s="753" t="s">
        <v>25</v>
      </c>
      <c r="W41" s="754">
        <f t="shared" si="14"/>
        <v>100</v>
      </c>
      <c r="X41" s="1900"/>
      <c r="Y41" s="3141"/>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281"/>
      <c r="Q42" s="755" t="str">
        <f t="shared" si="11"/>
        <v>单套建筑面积</v>
      </c>
      <c r="R42" s="756" t="s">
        <v>25</v>
      </c>
      <c r="S42" s="757">
        <f t="shared" si="12"/>
        <v>100</v>
      </c>
      <c r="T42" s="756" t="s">
        <v>25</v>
      </c>
      <c r="U42" s="757">
        <f t="shared" si="13"/>
        <v>100</v>
      </c>
      <c r="V42" s="756" t="s">
        <v>25</v>
      </c>
      <c r="W42" s="757">
        <f t="shared" si="14"/>
        <v>100</v>
      </c>
      <c r="X42" s="758"/>
      <c r="Y42" s="3141"/>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281"/>
      <c r="Q43" s="1899" t="str">
        <f t="shared" si="11"/>
        <v>内部装修</v>
      </c>
      <c r="R43" s="753" t="s">
        <v>25</v>
      </c>
      <c r="S43" s="754">
        <f t="shared" si="12"/>
        <v>100</v>
      </c>
      <c r="T43" s="753" t="s">
        <v>25</v>
      </c>
      <c r="U43" s="754">
        <f t="shared" si="13"/>
        <v>100</v>
      </c>
      <c r="V43" s="753" t="s">
        <v>25</v>
      </c>
      <c r="W43" s="754">
        <f t="shared" si="14"/>
        <v>100</v>
      </c>
      <c r="X43" s="1900"/>
      <c r="Y43" s="3141"/>
      <c r="Z43" s="1902" t="str">
        <f t="shared" si="15"/>
        <v>内部装修</v>
      </c>
      <c r="AA43" s="1903">
        <f t="shared" si="3"/>
        <v>1</v>
      </c>
      <c r="AB43" s="1903">
        <f t="shared" si="4"/>
        <v>1</v>
      </c>
      <c r="AC43" s="1903">
        <f t="shared" si="5"/>
        <v>1</v>
      </c>
    </row>
    <row r="44" spans="1:29" ht="15">
      <c r="A44" s="453"/>
      <c r="B44" s="402" t="s">
        <v>2384</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281"/>
      <c r="Q44" s="1899" t="str">
        <f t="shared" si="11"/>
        <v>内部装修维护情况</v>
      </c>
      <c r="R44" s="753" t="s">
        <v>25</v>
      </c>
      <c r="S44" s="754">
        <f t="shared" si="12"/>
        <v>100</v>
      </c>
      <c r="T44" s="753" t="s">
        <v>25</v>
      </c>
      <c r="U44" s="754">
        <f t="shared" si="13"/>
        <v>100</v>
      </c>
      <c r="V44" s="753" t="s">
        <v>25</v>
      </c>
      <c r="W44" s="754">
        <f t="shared" si="14"/>
        <v>100</v>
      </c>
      <c r="X44" s="1900"/>
      <c r="Y44" s="314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281"/>
      <c r="Q45" s="1887">
        <f t="shared" si="11"/>
        <v>111</v>
      </c>
      <c r="R45" s="749" t="s">
        <v>25</v>
      </c>
      <c r="S45" s="750">
        <f t="shared" si="12"/>
        <v>100</v>
      </c>
      <c r="T45" s="749" t="s">
        <v>25</v>
      </c>
      <c r="U45" s="750">
        <f t="shared" si="13"/>
        <v>100</v>
      </c>
      <c r="V45" s="749" t="s">
        <v>25</v>
      </c>
      <c r="W45" s="750">
        <f t="shared" si="14"/>
        <v>100</v>
      </c>
      <c r="X45" s="751"/>
      <c r="Y45" s="314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281"/>
      <c r="Q46" s="1899">
        <f t="shared" si="11"/>
        <v>111</v>
      </c>
      <c r="R46" s="753" t="s">
        <v>25</v>
      </c>
      <c r="S46" s="754">
        <f t="shared" si="12"/>
        <v>100</v>
      </c>
      <c r="T46" s="753" t="s">
        <v>25</v>
      </c>
      <c r="U46" s="754">
        <f t="shared" si="13"/>
        <v>100</v>
      </c>
      <c r="V46" s="753" t="s">
        <v>25</v>
      </c>
      <c r="W46" s="754">
        <f t="shared" si="14"/>
        <v>100</v>
      </c>
      <c r="X46" s="1900"/>
      <c r="Y46" s="314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282"/>
      <c r="Q47" s="1899">
        <f t="shared" si="11"/>
        <v>111</v>
      </c>
      <c r="R47" s="753" t="s">
        <v>25</v>
      </c>
      <c r="S47" s="754">
        <f t="shared" si="12"/>
        <v>100</v>
      </c>
      <c r="T47" s="753" t="s">
        <v>25</v>
      </c>
      <c r="U47" s="754">
        <f t="shared" si="13"/>
        <v>100</v>
      </c>
      <c r="V47" s="753" t="s">
        <v>25</v>
      </c>
      <c r="W47" s="754">
        <f t="shared" si="14"/>
        <v>100</v>
      </c>
      <c r="X47" s="1900"/>
      <c r="Y47" s="3142"/>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131" t="str">
        <f>A48</f>
        <v>成交单价（元/平方米）</v>
      </c>
      <c r="Q48" s="3133"/>
      <c r="R48" s="3129">
        <f>E48</f>
        <v>0</v>
      </c>
      <c r="S48" s="3129"/>
      <c r="T48" s="3129">
        <f>G48</f>
        <v>0</v>
      </c>
      <c r="U48" s="3129"/>
      <c r="V48" s="3129">
        <f>I48</f>
        <v>0</v>
      </c>
      <c r="W48" s="3129"/>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131" t="str">
        <f>A49</f>
        <v>比较价值（元/平方米）</v>
      </c>
      <c r="Q49" s="3133"/>
      <c r="R49" s="3129" t="e">
        <f>IF(E1="售价",ROUND(PRODUCT(R48,AA7:AA47),0),ROUND(PRODUCT(R48,AA7:AA47),1))</f>
        <v>#DIV/0!</v>
      </c>
      <c r="S49" s="3129"/>
      <c r="T49" s="3129" t="e">
        <f>IF(E1="售价",ROUND(PRODUCT(T48,AB7:AB47),0),ROUND(PRODUCT(T48,AB7:AB47),1))</f>
        <v>#DIV/0!</v>
      </c>
      <c r="U49" s="3129"/>
      <c r="V49" s="3129" t="e">
        <f>IF(E1="售价",ROUND(PRODUCT(V48,AC7:AC47),0),ROUND(PRODUCT(V48,AC7:AC47),1))</f>
        <v>#DIV/0!</v>
      </c>
      <c r="W49" s="3129"/>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279" t="str">
        <f>A50</f>
        <v>估价对象XX用房的比较价值（楼面单价，元/平方米）</v>
      </c>
      <c r="Q50" s="3131"/>
      <c r="R50" s="3132" t="e">
        <f>IF(E1="售价",ROUND(AVERAGE(R49:V49),0),ROUND(AVERAGE(R49:V49),1))</f>
        <v>#DIV/0!</v>
      </c>
      <c r="S50" s="3132"/>
      <c r="T50" s="3132"/>
      <c r="U50" s="3132"/>
      <c r="V50" s="3132"/>
      <c r="W50" s="313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2016-5</v>
      </c>
      <c r="D59" s="1679">
        <f>EDATE(C59,-1)</f>
        <v>42461</v>
      </c>
      <c r="E59" s="1679">
        <f t="shared" ref="E59:O59" si="16">EDATE(D59,-1)</f>
        <v>42430</v>
      </c>
      <c r="F59" s="1679">
        <f t="shared" si="16"/>
        <v>42401</v>
      </c>
      <c r="G59" s="1679">
        <f t="shared" si="16"/>
        <v>42370</v>
      </c>
      <c r="H59" s="1679">
        <f t="shared" si="16"/>
        <v>42339</v>
      </c>
      <c r="I59" s="1679">
        <f t="shared" si="16"/>
        <v>42309</v>
      </c>
      <c r="J59" s="1679">
        <f t="shared" si="16"/>
        <v>42278</v>
      </c>
      <c r="K59" s="1679">
        <f t="shared" si="16"/>
        <v>42248</v>
      </c>
      <c r="L59" s="1679">
        <f t="shared" si="16"/>
        <v>42217</v>
      </c>
      <c r="M59" s="1679">
        <f t="shared" si="16"/>
        <v>42186</v>
      </c>
      <c r="N59" s="1679">
        <f t="shared" si="16"/>
        <v>42156</v>
      </c>
      <c r="O59" s="1679">
        <f t="shared" si="16"/>
        <v>42125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估价对象为北京市房地产，为所有。根据《不动产权证书》[]，估价对象建筑面积为189.28平方米，（分摊）出让国有建设用地使用权面积为平方米。估价对象用途为住宅。</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2016年5月20日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60" t="s">
        <v>2343</v>
      </c>
      <c r="D4" s="3161"/>
      <c r="E4" s="3162" t="s">
        <v>2344</v>
      </c>
      <c r="F4" s="3163"/>
      <c r="G4" s="3160" t="s">
        <v>2345</v>
      </c>
      <c r="H4" s="3161"/>
      <c r="I4" s="3160" t="s">
        <v>2346</v>
      </c>
      <c r="J4" s="3161"/>
      <c r="K4" s="594"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58" t="s">
        <v>2345</v>
      </c>
      <c r="AC4" s="3157" t="s">
        <v>2346</v>
      </c>
    </row>
    <row r="5" spans="1:29" ht="15">
      <c r="A5" s="383"/>
      <c r="B5" s="384"/>
      <c r="C5" s="3278" t="s">
        <v>2349</v>
      </c>
      <c r="D5" s="3146"/>
      <c r="E5" s="3277" t="s">
        <v>2350</v>
      </c>
      <c r="F5" s="3172"/>
      <c r="G5" s="3278" t="s">
        <v>2351</v>
      </c>
      <c r="H5" s="3146"/>
      <c r="I5" s="3278" t="s">
        <v>2352</v>
      </c>
      <c r="J5" s="3146"/>
      <c r="K5" s="594"/>
      <c r="L5" s="1243"/>
      <c r="M5" s="1244"/>
      <c r="N5" s="1244"/>
      <c r="O5" s="1244"/>
      <c r="P5" s="3166"/>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594" t="s">
        <v>2354</v>
      </c>
      <c r="L6" s="1243"/>
      <c r="M6" s="1244"/>
      <c r="N6" s="1244"/>
      <c r="O6" s="1244"/>
      <c r="P6" s="3168"/>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391"/>
      <c r="F7" s="392">
        <f>SUMIF(52:52,YEAR(E7)&amp;"-"&amp;MONTH(E7),53:53)</f>
        <v>0</v>
      </c>
      <c r="G7" s="391"/>
      <c r="H7" s="390">
        <f>SUMIF(52:52,YEAR(G7)&amp;"-"&amp;MONTH(G7),53:53)</f>
        <v>0</v>
      </c>
      <c r="I7" s="391"/>
      <c r="J7" s="390">
        <f>SUMIF(52:52,YEAR(I7)&amp;"-"&amp;MONTH(I7),53:53)</f>
        <v>0</v>
      </c>
      <c r="K7" s="595"/>
      <c r="L7" s="1245"/>
      <c r="M7" s="1246"/>
      <c r="N7" s="1246"/>
      <c r="O7" s="1246"/>
      <c r="P7" s="3147" t="s">
        <v>2356</v>
      </c>
      <c r="Q7" s="3155"/>
      <c r="R7" s="749" t="s">
        <v>25</v>
      </c>
      <c r="S7" s="750">
        <f t="shared" ref="S7:S15" si="0">F7</f>
        <v>0</v>
      </c>
      <c r="T7" s="749" t="s">
        <v>25</v>
      </c>
      <c r="U7" s="750">
        <f t="shared" ref="U7:U15" si="1">H7</f>
        <v>0</v>
      </c>
      <c r="V7" s="749" t="s">
        <v>25</v>
      </c>
      <c r="W7" s="750">
        <f t="shared" ref="W7:W15" si="2">J7</f>
        <v>0</v>
      </c>
      <c r="X7" s="751"/>
      <c r="Y7" s="3147" t="s">
        <v>2356</v>
      </c>
      <c r="Z7" s="3148"/>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147" t="s">
        <v>2359</v>
      </c>
      <c r="Q8" s="3148"/>
      <c r="R8" s="749" t="s">
        <v>25</v>
      </c>
      <c r="S8" s="750">
        <f t="shared" si="0"/>
        <v>100</v>
      </c>
      <c r="T8" s="749" t="s">
        <v>25</v>
      </c>
      <c r="U8" s="750">
        <f t="shared" si="1"/>
        <v>100</v>
      </c>
      <c r="V8" s="749" t="s">
        <v>25</v>
      </c>
      <c r="W8" s="750">
        <f t="shared" si="2"/>
        <v>100</v>
      </c>
      <c r="X8" s="751"/>
      <c r="Y8" s="3147" t="s">
        <v>2359</v>
      </c>
      <c r="Z8" s="3148"/>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133"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133"/>
      <c r="Q10" s="1887" t="str">
        <f t="shared" si="6"/>
        <v>土地使用年限（年）</v>
      </c>
      <c r="R10" s="749" t="s">
        <v>25</v>
      </c>
      <c r="S10" s="750">
        <f t="shared" si="0"/>
        <v>100</v>
      </c>
      <c r="T10" s="749" t="s">
        <v>25</v>
      </c>
      <c r="U10" s="750">
        <f t="shared" si="1"/>
        <v>100</v>
      </c>
      <c r="V10" s="749" t="s">
        <v>25</v>
      </c>
      <c r="W10" s="750">
        <f t="shared" si="2"/>
        <v>100</v>
      </c>
      <c r="X10" s="751"/>
      <c r="Y10" s="2971"/>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133"/>
      <c r="Q11" s="1887" t="str">
        <f t="shared" si="6"/>
        <v>容积率</v>
      </c>
      <c r="R11" s="749" t="s">
        <v>25</v>
      </c>
      <c r="S11" s="750" t="e">
        <f t="shared" si="0"/>
        <v>#N/A</v>
      </c>
      <c r="T11" s="749" t="s">
        <v>25</v>
      </c>
      <c r="U11" s="750" t="e">
        <f t="shared" si="1"/>
        <v>#N/A</v>
      </c>
      <c r="V11" s="749" t="s">
        <v>25</v>
      </c>
      <c r="W11" s="750" t="e">
        <f t="shared" si="2"/>
        <v>#N/A</v>
      </c>
      <c r="X11" s="751"/>
      <c r="Y11" s="297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133"/>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133"/>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3133"/>
      <c r="Q14" s="1887">
        <f t="shared" si="6"/>
        <v>111</v>
      </c>
      <c r="R14" s="749" t="s">
        <v>25</v>
      </c>
      <c r="S14" s="750">
        <f t="shared" si="0"/>
        <v>100</v>
      </c>
      <c r="T14" s="749" t="s">
        <v>25</v>
      </c>
      <c r="U14" s="750">
        <f t="shared" si="1"/>
        <v>100</v>
      </c>
      <c r="V14" s="749" t="s">
        <v>25</v>
      </c>
      <c r="W14" s="750">
        <f t="shared" si="2"/>
        <v>100</v>
      </c>
      <c r="X14" s="751"/>
      <c r="Y14" s="2971"/>
      <c r="Z14" s="23">
        <f t="shared" si="7"/>
        <v>111</v>
      </c>
      <c r="AA14" s="752">
        <f t="shared" si="3"/>
        <v>1</v>
      </c>
      <c r="AB14" s="752">
        <f t="shared" si="4"/>
        <v>1</v>
      </c>
      <c r="AC14" s="752">
        <f t="shared" si="5"/>
        <v>1</v>
      </c>
    </row>
    <row r="15" spans="1:29" ht="57">
      <c r="A15" s="419" t="s">
        <v>2366</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136" t="s">
        <v>2367</v>
      </c>
      <c r="Q15" s="1899" t="str">
        <f t="shared" si="6"/>
        <v>产业集聚程度</v>
      </c>
      <c r="R15" s="753" t="s">
        <v>25</v>
      </c>
      <c r="S15" s="754">
        <f t="shared" si="0"/>
        <v>100</v>
      </c>
      <c r="T15" s="753" t="s">
        <v>25</v>
      </c>
      <c r="U15" s="754">
        <f t="shared" si="1"/>
        <v>100</v>
      </c>
      <c r="V15" s="753" t="s">
        <v>25</v>
      </c>
      <c r="W15" s="754">
        <f t="shared" si="2"/>
        <v>100</v>
      </c>
      <c r="X15" s="1900"/>
      <c r="Y15" s="3136"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137"/>
      <c r="Q16" s="1899"/>
      <c r="R16" s="753"/>
      <c r="S16" s="754"/>
      <c r="T16" s="753"/>
      <c r="U16" s="754"/>
      <c r="V16" s="753"/>
      <c r="W16" s="754"/>
      <c r="X16" s="1900"/>
      <c r="Y16" s="3137"/>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137"/>
      <c r="Q17" s="1899" t="str">
        <f>B17</f>
        <v>交通便捷度</v>
      </c>
      <c r="R17" s="753" t="s">
        <v>25</v>
      </c>
      <c r="S17" s="754">
        <f>F17</f>
        <v>100</v>
      </c>
      <c r="T17" s="753" t="s">
        <v>25</v>
      </c>
      <c r="U17" s="754">
        <f>H17</f>
        <v>100</v>
      </c>
      <c r="V17" s="753" t="s">
        <v>25</v>
      </c>
      <c r="W17" s="754">
        <f>J17</f>
        <v>100</v>
      </c>
      <c r="X17" s="1900"/>
      <c r="Y17" s="313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137"/>
      <c r="Q18" s="1899"/>
      <c r="R18" s="753"/>
      <c r="S18" s="754"/>
      <c r="T18" s="753"/>
      <c r="U18" s="754"/>
      <c r="V18" s="753"/>
      <c r="W18" s="754"/>
      <c r="X18" s="1900"/>
      <c r="Y18" s="3137"/>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137"/>
      <c r="Q19" s="1899" t="str">
        <f>B19</f>
        <v>公共配套设施</v>
      </c>
      <c r="R19" s="753" t="s">
        <v>25</v>
      </c>
      <c r="S19" s="754">
        <f>F19</f>
        <v>100</v>
      </c>
      <c r="T19" s="753" t="s">
        <v>25</v>
      </c>
      <c r="U19" s="754">
        <f>H19</f>
        <v>100</v>
      </c>
      <c r="V19" s="753" t="s">
        <v>25</v>
      </c>
      <c r="W19" s="754">
        <f>J19</f>
        <v>100</v>
      </c>
      <c r="X19" s="1900"/>
      <c r="Y19" s="313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137"/>
      <c r="Q20" s="1899"/>
      <c r="R20" s="753"/>
      <c r="S20" s="754"/>
      <c r="T20" s="753"/>
      <c r="U20" s="754"/>
      <c r="V20" s="753"/>
      <c r="W20" s="754"/>
      <c r="X20" s="1900"/>
      <c r="Y20" s="3137"/>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137"/>
      <c r="Q21" s="1899" t="str">
        <f>B21</f>
        <v>基础设施水平</v>
      </c>
      <c r="R21" s="753" t="s">
        <v>25</v>
      </c>
      <c r="S21" s="754">
        <f>F21</f>
        <v>100</v>
      </c>
      <c r="T21" s="753" t="s">
        <v>25</v>
      </c>
      <c r="U21" s="754">
        <f>H21</f>
        <v>100</v>
      </c>
      <c r="V21" s="753" t="s">
        <v>25</v>
      </c>
      <c r="W21" s="754">
        <f>J21</f>
        <v>100</v>
      </c>
      <c r="X21" s="1900"/>
      <c r="Y21" s="313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137"/>
      <c r="Q22" s="1899"/>
      <c r="R22" s="753"/>
      <c r="S22" s="754"/>
      <c r="T22" s="753"/>
      <c r="U22" s="754"/>
      <c r="V22" s="753"/>
      <c r="W22" s="754"/>
      <c r="X22" s="1900"/>
      <c r="Y22" s="3137"/>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137"/>
      <c r="Q23" s="1899" t="str">
        <f>B23</f>
        <v>环境质量</v>
      </c>
      <c r="R23" s="753" t="s">
        <v>25</v>
      </c>
      <c r="S23" s="754">
        <f>F23</f>
        <v>100</v>
      </c>
      <c r="T23" s="753" t="s">
        <v>25</v>
      </c>
      <c r="U23" s="754">
        <f>H23</f>
        <v>100</v>
      </c>
      <c r="V23" s="753" t="s">
        <v>25</v>
      </c>
      <c r="W23" s="754">
        <f>J23</f>
        <v>100</v>
      </c>
      <c r="X23" s="1900"/>
      <c r="Y23" s="313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137"/>
      <c r="Q24" s="1899"/>
      <c r="R24" s="753"/>
      <c r="S24" s="754"/>
      <c r="T24" s="753"/>
      <c r="U24" s="754"/>
      <c r="V24" s="753"/>
      <c r="W24" s="754"/>
      <c r="X24" s="1900"/>
      <c r="Y24" s="313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137"/>
      <c r="Q25" s="1899">
        <f>B25</f>
        <v>111</v>
      </c>
      <c r="R25" s="753" t="s">
        <v>25</v>
      </c>
      <c r="S25" s="754">
        <f>F25</f>
        <v>100</v>
      </c>
      <c r="T25" s="753" t="s">
        <v>25</v>
      </c>
      <c r="U25" s="754">
        <f>H25</f>
        <v>100</v>
      </c>
      <c r="V25" s="753" t="s">
        <v>25</v>
      </c>
      <c r="W25" s="754">
        <f>J25</f>
        <v>100</v>
      </c>
      <c r="X25" s="1900"/>
      <c r="Y25" s="313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137"/>
      <c r="Q26" s="1899">
        <f t="shared" ref="Q26:Q40" si="11">B26</f>
        <v>111</v>
      </c>
      <c r="R26" s="753" t="s">
        <v>25</v>
      </c>
      <c r="S26" s="754">
        <f>F26</f>
        <v>100</v>
      </c>
      <c r="T26" s="753" t="s">
        <v>25</v>
      </c>
      <c r="U26" s="754">
        <f>H26</f>
        <v>100</v>
      </c>
      <c r="V26" s="753" t="s">
        <v>25</v>
      </c>
      <c r="W26" s="754">
        <f>J26</f>
        <v>100</v>
      </c>
      <c r="X26" s="1900"/>
      <c r="Y26" s="313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137"/>
      <c r="Q27" s="1887">
        <f t="shared" si="11"/>
        <v>111</v>
      </c>
      <c r="R27" s="749" t="s">
        <v>25</v>
      </c>
      <c r="S27" s="750">
        <f>F27</f>
        <v>100</v>
      </c>
      <c r="T27" s="749" t="s">
        <v>25</v>
      </c>
      <c r="U27" s="750">
        <f>H27</f>
        <v>100</v>
      </c>
      <c r="V27" s="749" t="s">
        <v>25</v>
      </c>
      <c r="W27" s="750">
        <f>J27</f>
        <v>100</v>
      </c>
      <c r="X27" s="751"/>
      <c r="Y27" s="313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137"/>
      <c r="Q28" s="1899">
        <f t="shared" si="11"/>
        <v>111</v>
      </c>
      <c r="R28" s="753" t="s">
        <v>25</v>
      </c>
      <c r="S28" s="754">
        <f t="shared" ref="S28:S40" si="12">F28</f>
        <v>100</v>
      </c>
      <c r="T28" s="753" t="s">
        <v>25</v>
      </c>
      <c r="U28" s="754">
        <f t="shared" ref="U28:U40" si="13">H28</f>
        <v>100</v>
      </c>
      <c r="V28" s="753" t="s">
        <v>25</v>
      </c>
      <c r="W28" s="754">
        <f t="shared" ref="W28:W40" si="14">J28</f>
        <v>100</v>
      </c>
      <c r="X28" s="1900"/>
      <c r="Y28" s="3137"/>
      <c r="Z28" s="1902">
        <f t="shared" ref="Z28:Z40" si="15">Q28</f>
        <v>111</v>
      </c>
      <c r="AA28" s="1903">
        <f t="shared" si="3"/>
        <v>1</v>
      </c>
      <c r="AB28" s="1903">
        <f t="shared" si="4"/>
        <v>1</v>
      </c>
      <c r="AC28" s="1903">
        <f t="shared" si="5"/>
        <v>1</v>
      </c>
    </row>
    <row r="29" spans="1:29" ht="15">
      <c r="A29" s="447" t="s">
        <v>2371</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286" t="s">
        <v>2373</v>
      </c>
      <c r="Q29" s="1899" t="str">
        <f t="shared" si="11"/>
        <v>建筑类型</v>
      </c>
      <c r="R29" s="753" t="s">
        <v>25</v>
      </c>
      <c r="S29" s="754">
        <f t="shared" si="12"/>
        <v>100</v>
      </c>
      <c r="T29" s="753" t="s">
        <v>25</v>
      </c>
      <c r="U29" s="754">
        <f t="shared" si="13"/>
        <v>100</v>
      </c>
      <c r="V29" s="753" t="s">
        <v>25</v>
      </c>
      <c r="W29" s="754">
        <f t="shared" si="14"/>
        <v>100</v>
      </c>
      <c r="X29" s="1900"/>
      <c r="Y29" s="3141"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141"/>
      <c r="Q30" s="755" t="str">
        <f t="shared" si="11"/>
        <v>项目建筑规模</v>
      </c>
      <c r="R30" s="756" t="s">
        <v>25</v>
      </c>
      <c r="S30" s="757" t="e">
        <f t="shared" si="12"/>
        <v>#N/A</v>
      </c>
      <c r="T30" s="756" t="s">
        <v>25</v>
      </c>
      <c r="U30" s="757" t="e">
        <f t="shared" si="13"/>
        <v>#N/A</v>
      </c>
      <c r="V30" s="756" t="s">
        <v>25</v>
      </c>
      <c r="W30" s="757" t="e">
        <f t="shared" si="14"/>
        <v>#N/A</v>
      </c>
      <c r="X30" s="758"/>
      <c r="Y30" s="3141"/>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141"/>
      <c r="Q31" s="1899" t="str">
        <f t="shared" si="11"/>
        <v>建筑结构</v>
      </c>
      <c r="R31" s="753" t="s">
        <v>25</v>
      </c>
      <c r="S31" s="754">
        <f t="shared" si="12"/>
        <v>100</v>
      </c>
      <c r="T31" s="753" t="s">
        <v>25</v>
      </c>
      <c r="U31" s="754">
        <f t="shared" si="13"/>
        <v>100</v>
      </c>
      <c r="V31" s="753" t="s">
        <v>25</v>
      </c>
      <c r="W31" s="754">
        <f t="shared" si="14"/>
        <v>100</v>
      </c>
      <c r="X31" s="1900"/>
      <c r="Y31" s="3141"/>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141"/>
      <c r="Q32" s="1899" t="str">
        <f t="shared" si="11"/>
        <v>公共部分装修</v>
      </c>
      <c r="R32" s="753" t="s">
        <v>25</v>
      </c>
      <c r="S32" s="754">
        <f t="shared" si="12"/>
        <v>100</v>
      </c>
      <c r="T32" s="753" t="s">
        <v>25</v>
      </c>
      <c r="U32" s="754">
        <f t="shared" si="13"/>
        <v>100</v>
      </c>
      <c r="V32" s="753" t="s">
        <v>25</v>
      </c>
      <c r="W32" s="754">
        <f t="shared" si="14"/>
        <v>100</v>
      </c>
      <c r="X32" s="1900"/>
      <c r="Y32" s="3141"/>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141"/>
      <c r="Q33" s="1899" t="str">
        <f t="shared" si="11"/>
        <v>成新度</v>
      </c>
      <c r="R33" s="753" t="s">
        <v>25</v>
      </c>
      <c r="S33" s="754" t="e">
        <f t="shared" si="12"/>
        <v>#N/A</v>
      </c>
      <c r="T33" s="753" t="s">
        <v>25</v>
      </c>
      <c r="U33" s="754" t="e">
        <f t="shared" si="13"/>
        <v>#N/A</v>
      </c>
      <c r="V33" s="753" t="s">
        <v>25</v>
      </c>
      <c r="W33" s="754" t="e">
        <f t="shared" si="14"/>
        <v>#N/A</v>
      </c>
      <c r="X33" s="1900"/>
      <c r="Y33" s="3141"/>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141"/>
      <c r="Q34" s="1887" t="str">
        <f t="shared" si="11"/>
        <v>物业管理</v>
      </c>
      <c r="R34" s="749" t="s">
        <v>25</v>
      </c>
      <c r="S34" s="750">
        <f t="shared" si="12"/>
        <v>100</v>
      </c>
      <c r="T34" s="749" t="s">
        <v>25</v>
      </c>
      <c r="U34" s="750">
        <f t="shared" si="13"/>
        <v>100</v>
      </c>
      <c r="V34" s="749" t="s">
        <v>25</v>
      </c>
      <c r="W34" s="750">
        <f t="shared" si="14"/>
        <v>100</v>
      </c>
      <c r="X34" s="751"/>
      <c r="Y34" s="3141"/>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141" t="s">
        <v>2373</v>
      </c>
      <c r="Q35" s="1899" t="str">
        <f t="shared" si="11"/>
        <v>市政基础设施</v>
      </c>
      <c r="R35" s="753" t="s">
        <v>25</v>
      </c>
      <c r="S35" s="754">
        <f t="shared" si="12"/>
        <v>100</v>
      </c>
      <c r="T35" s="753" t="s">
        <v>25</v>
      </c>
      <c r="U35" s="754">
        <f t="shared" si="13"/>
        <v>100</v>
      </c>
      <c r="V35" s="753" t="s">
        <v>25</v>
      </c>
      <c r="W35" s="754">
        <f t="shared" si="14"/>
        <v>100</v>
      </c>
      <c r="X35" s="1900"/>
      <c r="Y35" s="3141"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141"/>
      <c r="Q36" s="1899" t="str">
        <f t="shared" si="11"/>
        <v>内部装修</v>
      </c>
      <c r="R36" s="753" t="s">
        <v>25</v>
      </c>
      <c r="S36" s="754">
        <f t="shared" si="12"/>
        <v>100</v>
      </c>
      <c r="T36" s="753" t="s">
        <v>25</v>
      </c>
      <c r="U36" s="754">
        <f t="shared" si="13"/>
        <v>100</v>
      </c>
      <c r="V36" s="753" t="s">
        <v>25</v>
      </c>
      <c r="W36" s="754">
        <f t="shared" si="14"/>
        <v>100</v>
      </c>
      <c r="X36" s="1900"/>
      <c r="Y36" s="3141"/>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141"/>
      <c r="Q37" s="1899" t="str">
        <f t="shared" si="11"/>
        <v>内部装修状况</v>
      </c>
      <c r="R37" s="753" t="s">
        <v>25</v>
      </c>
      <c r="S37" s="754">
        <f t="shared" si="12"/>
        <v>0</v>
      </c>
      <c r="T37" s="753" t="s">
        <v>25</v>
      </c>
      <c r="U37" s="754">
        <f t="shared" si="13"/>
        <v>0</v>
      </c>
      <c r="V37" s="753" t="s">
        <v>25</v>
      </c>
      <c r="W37" s="754">
        <f t="shared" si="14"/>
        <v>0</v>
      </c>
      <c r="X37" s="1900"/>
      <c r="Y37" s="314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141"/>
      <c r="Q38" s="755">
        <f t="shared" si="11"/>
        <v>111</v>
      </c>
      <c r="R38" s="756" t="s">
        <v>25</v>
      </c>
      <c r="S38" s="757">
        <f t="shared" si="12"/>
        <v>100</v>
      </c>
      <c r="T38" s="756" t="s">
        <v>25</v>
      </c>
      <c r="U38" s="757">
        <f t="shared" si="13"/>
        <v>100</v>
      </c>
      <c r="V38" s="756" t="s">
        <v>25</v>
      </c>
      <c r="W38" s="757">
        <f t="shared" si="14"/>
        <v>100</v>
      </c>
      <c r="X38" s="758"/>
      <c r="Y38" s="314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141"/>
      <c r="Q39" s="1899">
        <f t="shared" si="11"/>
        <v>111</v>
      </c>
      <c r="R39" s="753" t="s">
        <v>25</v>
      </c>
      <c r="S39" s="754">
        <f t="shared" si="12"/>
        <v>100</v>
      </c>
      <c r="T39" s="753" t="s">
        <v>25</v>
      </c>
      <c r="U39" s="754">
        <f t="shared" si="13"/>
        <v>100</v>
      </c>
      <c r="V39" s="753" t="s">
        <v>25</v>
      </c>
      <c r="W39" s="754">
        <f t="shared" si="14"/>
        <v>100</v>
      </c>
      <c r="X39" s="1900"/>
      <c r="Y39" s="314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142"/>
      <c r="Q40" s="1899">
        <f t="shared" si="11"/>
        <v>111</v>
      </c>
      <c r="R40" s="753" t="s">
        <v>25</v>
      </c>
      <c r="S40" s="754">
        <f t="shared" si="12"/>
        <v>100</v>
      </c>
      <c r="T40" s="753" t="s">
        <v>25</v>
      </c>
      <c r="U40" s="754">
        <f t="shared" si="13"/>
        <v>100</v>
      </c>
      <c r="V40" s="753" t="s">
        <v>25</v>
      </c>
      <c r="W40" s="754">
        <f t="shared" si="14"/>
        <v>100</v>
      </c>
      <c r="X40" s="1900"/>
      <c r="Y40" s="3142"/>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133" t="str">
        <f>A41</f>
        <v>成交单价（元/平方米）</v>
      </c>
      <c r="Q41" s="3133"/>
      <c r="R41" s="3129">
        <f>E41</f>
        <v>0</v>
      </c>
      <c r="S41" s="3129"/>
      <c r="T41" s="3129">
        <f>G41</f>
        <v>0</v>
      </c>
      <c r="U41" s="3129"/>
      <c r="V41" s="3129">
        <f>I41</f>
        <v>0</v>
      </c>
      <c r="W41" s="3129"/>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133" t="str">
        <f>A42</f>
        <v>比较价值（元/平方米）</v>
      </c>
      <c r="Q42" s="3133"/>
      <c r="R42" s="3129" t="e">
        <f>IF(E1="售价",ROUND(PRODUCT(R41,AA7:AA40),0),ROUND(PRODUCT(R41,AA7:AA40),1))</f>
        <v>#DIV/0!</v>
      </c>
      <c r="S42" s="3129"/>
      <c r="T42" s="3129" t="e">
        <f>IF(E1="售价",ROUND(PRODUCT(T41,AB7:AB40),0),ROUND(PRODUCT(T41,AB7:AB40),1))</f>
        <v>#DIV/0!</v>
      </c>
      <c r="U42" s="3129"/>
      <c r="V42" s="3129" t="e">
        <f>IF(E1="售价",ROUND(PRODUCT(V41,AC7:AC40),0),ROUND(PRODUCT(V41,AC7:AC40),1))</f>
        <v>#DIV/0!</v>
      </c>
      <c r="W42" s="3129"/>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130" t="str">
        <f>A43</f>
        <v>估价对象XX用房的比较价值（楼面单价，元/平方米）</v>
      </c>
      <c r="Q43" s="3131"/>
      <c r="R43" s="3132" t="e">
        <f>IF(E1="售价",ROUND(AVERAGE(R42:V42),0),ROUND(AVERAGE(R42:V42),1))</f>
        <v>#DIV/0!</v>
      </c>
      <c r="S43" s="3132"/>
      <c r="T43" s="3132"/>
      <c r="U43" s="3132"/>
      <c r="V43" s="3132"/>
      <c r="W43" s="313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2016-5</v>
      </c>
      <c r="D52" s="1679">
        <f>EDATE(C52,-1)</f>
        <v>42461</v>
      </c>
      <c r="E52" s="1680">
        <f t="shared" ref="E52:O52" si="16">EDATE(D52,-1)</f>
        <v>42430</v>
      </c>
      <c r="F52" s="1680">
        <f t="shared" si="16"/>
        <v>42401</v>
      </c>
      <c r="G52" s="1680">
        <f t="shared" si="16"/>
        <v>42370</v>
      </c>
      <c r="H52" s="1680">
        <f t="shared" si="16"/>
        <v>42339</v>
      </c>
      <c r="I52" s="1680">
        <f t="shared" si="16"/>
        <v>42309</v>
      </c>
      <c r="J52" s="1680">
        <f t="shared" si="16"/>
        <v>42278</v>
      </c>
      <c r="K52" s="1680">
        <f t="shared" si="16"/>
        <v>42248</v>
      </c>
      <c r="L52" s="1680">
        <f t="shared" si="16"/>
        <v>42217</v>
      </c>
      <c r="M52" s="1680">
        <f t="shared" si="16"/>
        <v>42186</v>
      </c>
      <c r="N52" s="1680">
        <f t="shared" si="16"/>
        <v>42156</v>
      </c>
      <c r="O52" s="1680">
        <f t="shared" si="16"/>
        <v>42125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2341</v>
      </c>
      <c r="D3" s="378">
        <f>IF(C1="仅计算典型户型",'数据-取费表'!E5,'数据-取费表'!B5)</f>
        <v>189.28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160" t="s">
        <v>2343</v>
      </c>
      <c r="D4" s="3161"/>
      <c r="E4" s="3162" t="s">
        <v>2344</v>
      </c>
      <c r="F4" s="3163"/>
      <c r="G4" s="3160" t="s">
        <v>2345</v>
      </c>
      <c r="H4" s="3161"/>
      <c r="I4" s="3160" t="s">
        <v>2346</v>
      </c>
      <c r="J4" s="3161"/>
      <c r="K4" s="594" t="s">
        <v>2347</v>
      </c>
      <c r="L4" s="1514"/>
      <c r="M4" s="425"/>
      <c r="N4" s="425"/>
      <c r="O4" s="425"/>
      <c r="P4" s="3164" t="s">
        <v>2348</v>
      </c>
      <c r="Q4" s="3165"/>
      <c r="R4" s="3149" t="s">
        <v>2344</v>
      </c>
      <c r="S4" s="3150"/>
      <c r="T4" s="3149" t="s">
        <v>2345</v>
      </c>
      <c r="U4" s="3150"/>
      <c r="V4" s="3170" t="s">
        <v>2346</v>
      </c>
      <c r="W4" s="3170"/>
      <c r="X4" s="1900"/>
      <c r="Y4" s="3149" t="s">
        <v>2348</v>
      </c>
      <c r="Z4" s="3150"/>
      <c r="AA4" s="3157" t="s">
        <v>2344</v>
      </c>
      <c r="AB4" s="3158" t="s">
        <v>2345</v>
      </c>
      <c r="AC4" s="3157" t="s">
        <v>2346</v>
      </c>
    </row>
    <row r="5" spans="1:29" ht="15">
      <c r="A5" s="383"/>
      <c r="B5" s="384"/>
      <c r="C5" s="3278" t="s">
        <v>2349</v>
      </c>
      <c r="D5" s="3146"/>
      <c r="E5" s="3277" t="s">
        <v>2350</v>
      </c>
      <c r="F5" s="3172"/>
      <c r="G5" s="3278" t="s">
        <v>2351</v>
      </c>
      <c r="H5" s="3146"/>
      <c r="I5" s="3278" t="s">
        <v>2352</v>
      </c>
      <c r="J5" s="3146"/>
      <c r="K5" s="594"/>
      <c r="L5" s="1514"/>
      <c r="M5" s="425"/>
      <c r="N5" s="425"/>
      <c r="O5" s="425"/>
      <c r="P5" s="3166"/>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594" t="s">
        <v>2354</v>
      </c>
      <c r="L6" s="1514"/>
      <c r="M6" s="425"/>
      <c r="N6" s="425"/>
      <c r="O6" s="425"/>
      <c r="P6" s="3168"/>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391"/>
      <c r="F7" s="392">
        <f>SUMIF(48:48,YEAR(E7)&amp;"-"&amp;MONTH(E7),49:49)</f>
        <v>0</v>
      </c>
      <c r="G7" s="391"/>
      <c r="H7" s="390">
        <f>SUMIF(48:48,YEAR(G7)&amp;"-"&amp;MONTH(G7),49:49)</f>
        <v>0</v>
      </c>
      <c r="I7" s="391"/>
      <c r="J7" s="390">
        <f>SUMIF(48:48,YEAR(I7)&amp;"-"&amp;MONTH(I7),49:49)</f>
        <v>0</v>
      </c>
      <c r="K7" s="595"/>
      <c r="L7" s="1515"/>
      <c r="M7" s="1516"/>
      <c r="N7" s="1516"/>
      <c r="O7" s="1516"/>
      <c r="P7" s="3147" t="s">
        <v>2356</v>
      </c>
      <c r="Q7" s="3155"/>
      <c r="R7" s="749" t="s">
        <v>25</v>
      </c>
      <c r="S7" s="750">
        <f t="shared" ref="S7:S14" si="0">F7</f>
        <v>0</v>
      </c>
      <c r="T7" s="749" t="s">
        <v>25</v>
      </c>
      <c r="U7" s="750">
        <f t="shared" ref="U7:U14" si="1">H7</f>
        <v>0</v>
      </c>
      <c r="V7" s="749" t="s">
        <v>25</v>
      </c>
      <c r="W7" s="750">
        <f t="shared" ref="W7:W14" si="2">J7</f>
        <v>0</v>
      </c>
      <c r="X7" s="751"/>
      <c r="Y7" s="3147" t="s">
        <v>2356</v>
      </c>
      <c r="Z7" s="3148"/>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147" t="s">
        <v>2359</v>
      </c>
      <c r="Q8" s="3148"/>
      <c r="R8" s="749" t="s">
        <v>25</v>
      </c>
      <c r="S8" s="750">
        <f t="shared" si="0"/>
        <v>0</v>
      </c>
      <c r="T8" s="749" t="s">
        <v>25</v>
      </c>
      <c r="U8" s="750">
        <f t="shared" si="1"/>
        <v>0</v>
      </c>
      <c r="V8" s="749" t="s">
        <v>25</v>
      </c>
      <c r="W8" s="750">
        <f t="shared" si="2"/>
        <v>0</v>
      </c>
      <c r="X8" s="751"/>
      <c r="Y8" s="3147" t="s">
        <v>2359</v>
      </c>
      <c r="Z8" s="3148"/>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133" t="s">
        <v>2362</v>
      </c>
      <c r="Q9" s="1887" t="str">
        <f t="shared" ref="Q9:Q14" si="6">B9</f>
        <v>用途</v>
      </c>
      <c r="R9" s="749" t="s">
        <v>25</v>
      </c>
      <c r="S9" s="750">
        <f t="shared" si="0"/>
        <v>100</v>
      </c>
      <c r="T9" s="749" t="s">
        <v>25</v>
      </c>
      <c r="U9" s="750">
        <f t="shared" si="1"/>
        <v>100</v>
      </c>
      <c r="V9" s="749" t="s">
        <v>25</v>
      </c>
      <c r="W9" s="750">
        <f t="shared" si="2"/>
        <v>100</v>
      </c>
      <c r="X9" s="751"/>
      <c r="Y9" s="2971"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133"/>
      <c r="Q10" s="1887" t="str">
        <f t="shared" si="6"/>
        <v>土地使用年限（年）</v>
      </c>
      <c r="R10" s="749" t="s">
        <v>25</v>
      </c>
      <c r="S10" s="750">
        <f t="shared" si="0"/>
        <v>100</v>
      </c>
      <c r="T10" s="749" t="s">
        <v>25</v>
      </c>
      <c r="U10" s="750">
        <f t="shared" si="1"/>
        <v>100</v>
      </c>
      <c r="V10" s="749" t="s">
        <v>25</v>
      </c>
      <c r="W10" s="750">
        <f t="shared" si="2"/>
        <v>100</v>
      </c>
      <c r="X10" s="751"/>
      <c r="Y10" s="29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133"/>
      <c r="Q11" s="1887">
        <f t="shared" si="6"/>
        <v>111</v>
      </c>
      <c r="R11" s="749" t="s">
        <v>25</v>
      </c>
      <c r="S11" s="750">
        <f t="shared" si="0"/>
        <v>100</v>
      </c>
      <c r="T11" s="749" t="s">
        <v>25</v>
      </c>
      <c r="U11" s="750">
        <f t="shared" si="1"/>
        <v>100</v>
      </c>
      <c r="V11" s="749" t="s">
        <v>25</v>
      </c>
      <c r="W11" s="750">
        <f t="shared" si="2"/>
        <v>100</v>
      </c>
      <c r="X11" s="751"/>
      <c r="Y11" s="29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133"/>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133"/>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14">
      <c r="A14" s="380" t="s">
        <v>2366</v>
      </c>
      <c r="B14" s="613" t="s">
        <v>2510</v>
      </c>
      <c r="C14" s="1480" t="str">
        <f>IF(B1="工业",估价对象房地状况!G4,估价对象房地状况!C6)</f>
        <v>估价对象紧邻城市主干道—新华西街，周边有316路、372路、582路、666路等多条公交线路通过，综合评价交通便捷度较好。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136" t="s">
        <v>2367</v>
      </c>
      <c r="Q14" s="1899" t="str">
        <f t="shared" si="6"/>
        <v>交通便捷度</v>
      </c>
      <c r="R14" s="753" t="s">
        <v>25</v>
      </c>
      <c r="S14" s="754">
        <f t="shared" si="0"/>
        <v>100</v>
      </c>
      <c r="T14" s="753" t="s">
        <v>25</v>
      </c>
      <c r="U14" s="754">
        <f t="shared" si="1"/>
        <v>100</v>
      </c>
      <c r="V14" s="753" t="s">
        <v>25</v>
      </c>
      <c r="W14" s="754">
        <f t="shared" si="2"/>
        <v>100</v>
      </c>
      <c r="X14" s="1900"/>
      <c r="Y14" s="3136"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137"/>
      <c r="Q15" s="1899"/>
      <c r="R15" s="753"/>
      <c r="S15" s="754"/>
      <c r="T15" s="753"/>
      <c r="U15" s="754"/>
      <c r="V15" s="753"/>
      <c r="W15" s="754"/>
      <c r="X15" s="1900"/>
      <c r="Y15" s="3137"/>
      <c r="Z15" s="1902"/>
      <c r="AA15" s="1903">
        <v>1</v>
      </c>
      <c r="AB15" s="1903">
        <v>1</v>
      </c>
      <c r="AC15" s="1903">
        <v>1</v>
      </c>
    </row>
    <row r="16" spans="1:29" ht="42.75">
      <c r="A16" s="383"/>
      <c r="B16" s="615" t="s">
        <v>2482</v>
      </c>
      <c r="C16" s="1482" t="str">
        <f>IF(B1="工业",估价对象房地状况!G5,估价对象房地状况!C7)</f>
        <v>估价对象所在区域公共配套设施齐全</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137"/>
      <c r="Q16" s="1899" t="str">
        <f>B16</f>
        <v>公共配套设施</v>
      </c>
      <c r="R16" s="753" t="s">
        <v>25</v>
      </c>
      <c r="S16" s="754">
        <f>F16</f>
        <v>100</v>
      </c>
      <c r="T16" s="753" t="s">
        <v>25</v>
      </c>
      <c r="U16" s="754">
        <f>H16</f>
        <v>100</v>
      </c>
      <c r="V16" s="753" t="s">
        <v>25</v>
      </c>
      <c r="W16" s="754">
        <f>J16</f>
        <v>100</v>
      </c>
      <c r="X16" s="1900"/>
      <c r="Y16" s="313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137"/>
      <c r="Q17" s="1899"/>
      <c r="R17" s="753"/>
      <c r="S17" s="754"/>
      <c r="T17" s="753"/>
      <c r="U17" s="754"/>
      <c r="V17" s="753"/>
      <c r="W17" s="754"/>
      <c r="X17" s="1900"/>
      <c r="Y17" s="3137"/>
      <c r="Z17" s="1902"/>
      <c r="AA17" s="1903">
        <v>1</v>
      </c>
      <c r="AB17" s="1903">
        <v>1</v>
      </c>
      <c r="AC17" s="1903">
        <v>1</v>
      </c>
    </row>
    <row r="18" spans="1:29" ht="42.75">
      <c r="A18" s="383"/>
      <c r="B18" s="617" t="s">
        <v>2483</v>
      </c>
      <c r="C18" s="1482" t="str">
        <f>IF(B1="工业",估价对象房地状况!G6,估价对象房地状况!C8)</f>
        <v>估价对象所在区域基础设施水平达到七通一平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137"/>
      <c r="Q18" s="1899" t="str">
        <f>B18</f>
        <v>基础设施水平</v>
      </c>
      <c r="R18" s="753" t="s">
        <v>25</v>
      </c>
      <c r="S18" s="754">
        <f>F18</f>
        <v>100</v>
      </c>
      <c r="T18" s="753" t="s">
        <v>25</v>
      </c>
      <c r="U18" s="754">
        <f>H18</f>
        <v>100</v>
      </c>
      <c r="V18" s="753" t="s">
        <v>25</v>
      </c>
      <c r="W18" s="754">
        <f>J18</f>
        <v>100</v>
      </c>
      <c r="X18" s="1900"/>
      <c r="Y18" s="313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137"/>
      <c r="Q19" s="1899"/>
      <c r="R19" s="753"/>
      <c r="S19" s="754"/>
      <c r="T19" s="753"/>
      <c r="U19" s="754"/>
      <c r="V19" s="753"/>
      <c r="W19" s="754"/>
      <c r="X19" s="1900"/>
      <c r="Y19" s="3137"/>
      <c r="Z19" s="1902"/>
      <c r="AA19" s="1903">
        <v>1</v>
      </c>
      <c r="AB19" s="1903">
        <v>1</v>
      </c>
      <c r="AC19" s="1903">
        <v>1</v>
      </c>
    </row>
    <row r="20" spans="1:29" ht="99.75">
      <c r="A20" s="383"/>
      <c r="B20" s="615" t="s">
        <v>2511</v>
      </c>
      <c r="C20" s="1482" t="str">
        <f>IF(B1="工业",估价对象房地状况!G7,估价对象房地状况!C9)</f>
        <v>区域自然环境：西海子公园、通惠河；人文环境北京市通州区博物馆、新华书店；综合评价环境状况较好。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137"/>
      <c r="Q20" s="1899" t="str">
        <f>B20</f>
        <v>自然及人文环境</v>
      </c>
      <c r="R20" s="753" t="s">
        <v>25</v>
      </c>
      <c r="S20" s="754">
        <f>F20</f>
        <v>100</v>
      </c>
      <c r="T20" s="753" t="s">
        <v>25</v>
      </c>
      <c r="U20" s="754">
        <f>H20</f>
        <v>100</v>
      </c>
      <c r="V20" s="753" t="s">
        <v>25</v>
      </c>
      <c r="W20" s="754">
        <f>J20</f>
        <v>100</v>
      </c>
      <c r="X20" s="1900"/>
      <c r="Y20" s="313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137"/>
      <c r="Q21" s="1899"/>
      <c r="R21" s="753"/>
      <c r="S21" s="754"/>
      <c r="T21" s="753"/>
      <c r="U21" s="754"/>
      <c r="V21" s="753"/>
      <c r="W21" s="754"/>
      <c r="X21" s="1900"/>
      <c r="Y21" s="3137"/>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137"/>
      <c r="Q22" s="1899" t="str">
        <f>B22</f>
        <v>楼层</v>
      </c>
      <c r="R22" s="753" t="s">
        <v>25</v>
      </c>
      <c r="S22" s="754">
        <f>F22</f>
        <v>100</v>
      </c>
      <c r="T22" s="753" t="s">
        <v>25</v>
      </c>
      <c r="U22" s="754">
        <f>H22</f>
        <v>100</v>
      </c>
      <c r="V22" s="753" t="s">
        <v>25</v>
      </c>
      <c r="W22" s="754">
        <f>J22</f>
        <v>100</v>
      </c>
      <c r="X22" s="1900"/>
      <c r="Y22" s="313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137"/>
      <c r="Q23" s="1899">
        <f>B23</f>
        <v>111</v>
      </c>
      <c r="R23" s="753" t="s">
        <v>25</v>
      </c>
      <c r="S23" s="754">
        <f>F23</f>
        <v>100</v>
      </c>
      <c r="T23" s="753" t="s">
        <v>25</v>
      </c>
      <c r="U23" s="754">
        <f>H23</f>
        <v>100</v>
      </c>
      <c r="V23" s="753" t="s">
        <v>25</v>
      </c>
      <c r="W23" s="754">
        <f>J23</f>
        <v>100</v>
      </c>
      <c r="X23" s="1900"/>
      <c r="Y23" s="313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137"/>
      <c r="Q24" s="1899">
        <f t="shared" ref="Q24:Q36" si="11">B24</f>
        <v>111</v>
      </c>
      <c r="R24" s="753" t="s">
        <v>25</v>
      </c>
      <c r="S24" s="754">
        <f>F24</f>
        <v>100</v>
      </c>
      <c r="T24" s="753" t="s">
        <v>25</v>
      </c>
      <c r="U24" s="754">
        <f>H24</f>
        <v>100</v>
      </c>
      <c r="V24" s="753" t="s">
        <v>25</v>
      </c>
      <c r="W24" s="754">
        <f>J24</f>
        <v>100</v>
      </c>
      <c r="X24" s="1900"/>
      <c r="Y24" s="313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137"/>
      <c r="Q25" s="1887">
        <f t="shared" si="11"/>
        <v>111</v>
      </c>
      <c r="R25" s="749" t="s">
        <v>25</v>
      </c>
      <c r="S25" s="750">
        <f>F25</f>
        <v>100</v>
      </c>
      <c r="T25" s="749" t="s">
        <v>25</v>
      </c>
      <c r="U25" s="750">
        <f>H25</f>
        <v>100</v>
      </c>
      <c r="V25" s="749" t="s">
        <v>25</v>
      </c>
      <c r="W25" s="750">
        <f>J25</f>
        <v>100</v>
      </c>
      <c r="X25" s="751"/>
      <c r="Y25" s="3137"/>
      <c r="Z25" s="23">
        <f>Q25</f>
        <v>111</v>
      </c>
      <c r="AA25" s="1903">
        <f>D25/F25</f>
        <v>1</v>
      </c>
      <c r="AB25" s="1903">
        <f>D25/H25</f>
        <v>1</v>
      </c>
      <c r="AC25" s="1903">
        <f>D25/J25</f>
        <v>1</v>
      </c>
    </row>
    <row r="26" spans="1:29" ht="15">
      <c r="A26" s="635" t="s">
        <v>2371</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286"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141"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141"/>
      <c r="Q27" s="755" t="str">
        <f t="shared" si="11"/>
        <v>项目停车位配比</v>
      </c>
      <c r="R27" s="756" t="s">
        <v>25</v>
      </c>
      <c r="S27" s="757">
        <f t="shared" si="12"/>
        <v>100</v>
      </c>
      <c r="T27" s="756" t="s">
        <v>25</v>
      </c>
      <c r="U27" s="757">
        <f t="shared" si="13"/>
        <v>100</v>
      </c>
      <c r="V27" s="756" t="s">
        <v>25</v>
      </c>
      <c r="W27" s="757">
        <f t="shared" si="14"/>
        <v>100</v>
      </c>
      <c r="X27" s="758"/>
      <c r="Y27" s="3141"/>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141"/>
      <c r="Q28" s="1899" t="str">
        <f t="shared" si="11"/>
        <v>公共部分装修</v>
      </c>
      <c r="R28" s="753" t="s">
        <v>25</v>
      </c>
      <c r="S28" s="754">
        <f t="shared" si="12"/>
        <v>100</v>
      </c>
      <c r="T28" s="753" t="s">
        <v>25</v>
      </c>
      <c r="U28" s="754">
        <f t="shared" si="13"/>
        <v>100</v>
      </c>
      <c r="V28" s="753" t="s">
        <v>25</v>
      </c>
      <c r="W28" s="754">
        <f t="shared" si="14"/>
        <v>100</v>
      </c>
      <c r="X28" s="1900"/>
      <c r="Y28" s="3141"/>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141"/>
      <c r="Q29" s="1899" t="str">
        <f t="shared" si="11"/>
        <v>成新率</v>
      </c>
      <c r="R29" s="753" t="s">
        <v>25</v>
      </c>
      <c r="S29" s="754" t="e">
        <f t="shared" si="12"/>
        <v>#N/A</v>
      </c>
      <c r="T29" s="753" t="s">
        <v>25</v>
      </c>
      <c r="U29" s="754" t="e">
        <f t="shared" si="13"/>
        <v>#N/A</v>
      </c>
      <c r="V29" s="753" t="s">
        <v>25</v>
      </c>
      <c r="W29" s="754" t="e">
        <f t="shared" si="14"/>
        <v>#N/A</v>
      </c>
      <c r="X29" s="1900"/>
      <c r="Y29" s="3141"/>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141"/>
      <c r="Q30" s="1899" t="str">
        <f t="shared" si="11"/>
        <v>物业等级</v>
      </c>
      <c r="R30" s="753" t="s">
        <v>25</v>
      </c>
      <c r="S30" s="754">
        <f t="shared" si="12"/>
        <v>100</v>
      </c>
      <c r="T30" s="753" t="s">
        <v>25</v>
      </c>
      <c r="U30" s="754">
        <f t="shared" si="13"/>
        <v>100</v>
      </c>
      <c r="V30" s="753" t="s">
        <v>25</v>
      </c>
      <c r="W30" s="754">
        <f t="shared" si="14"/>
        <v>100</v>
      </c>
      <c r="X30" s="1900"/>
      <c r="Y30" s="3141"/>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141"/>
      <c r="Q31" s="1887" t="str">
        <f t="shared" si="11"/>
        <v>停车位面积</v>
      </c>
      <c r="R31" s="749" t="s">
        <v>25</v>
      </c>
      <c r="S31" s="750" t="e">
        <f t="shared" si="12"/>
        <v>#N/A</v>
      </c>
      <c r="T31" s="749" t="s">
        <v>25</v>
      </c>
      <c r="U31" s="750" t="e">
        <f t="shared" si="13"/>
        <v>#N/A</v>
      </c>
      <c r="V31" s="749" t="s">
        <v>25</v>
      </c>
      <c r="W31" s="750" t="e">
        <f t="shared" si="14"/>
        <v>#N/A</v>
      </c>
      <c r="X31" s="751"/>
      <c r="Y31" s="3141"/>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141" t="s">
        <v>2373</v>
      </c>
      <c r="Q32" s="1899" t="str">
        <f t="shared" si="11"/>
        <v>车位类型</v>
      </c>
      <c r="R32" s="753" t="s">
        <v>25</v>
      </c>
      <c r="S32" s="754">
        <f t="shared" si="12"/>
        <v>100</v>
      </c>
      <c r="T32" s="753" t="s">
        <v>25</v>
      </c>
      <c r="U32" s="754">
        <f t="shared" si="13"/>
        <v>100</v>
      </c>
      <c r="V32" s="753" t="s">
        <v>25</v>
      </c>
      <c r="W32" s="754">
        <f t="shared" si="14"/>
        <v>100</v>
      </c>
      <c r="X32" s="1900"/>
      <c r="Y32" s="3141"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141"/>
      <c r="Q33" s="1899" t="str">
        <f t="shared" si="11"/>
        <v>是否直接入户</v>
      </c>
      <c r="R33" s="753" t="s">
        <v>25</v>
      </c>
      <c r="S33" s="754">
        <f t="shared" si="12"/>
        <v>100</v>
      </c>
      <c r="T33" s="753" t="s">
        <v>25</v>
      </c>
      <c r="U33" s="754">
        <f t="shared" si="13"/>
        <v>100</v>
      </c>
      <c r="V33" s="753" t="s">
        <v>25</v>
      </c>
      <c r="W33" s="754">
        <f t="shared" si="14"/>
        <v>100</v>
      </c>
      <c r="X33" s="1900"/>
      <c r="Y33" s="314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141"/>
      <c r="Q34" s="1899">
        <f t="shared" si="11"/>
        <v>111</v>
      </c>
      <c r="R34" s="753" t="s">
        <v>25</v>
      </c>
      <c r="S34" s="754">
        <f t="shared" si="12"/>
        <v>100</v>
      </c>
      <c r="T34" s="753" t="s">
        <v>25</v>
      </c>
      <c r="U34" s="754">
        <f t="shared" si="13"/>
        <v>100</v>
      </c>
      <c r="V34" s="753" t="s">
        <v>25</v>
      </c>
      <c r="W34" s="754">
        <f t="shared" si="14"/>
        <v>100</v>
      </c>
      <c r="X34" s="1900"/>
      <c r="Y34" s="314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141"/>
      <c r="Q35" s="755">
        <f t="shared" si="11"/>
        <v>111</v>
      </c>
      <c r="R35" s="756" t="s">
        <v>25</v>
      </c>
      <c r="S35" s="757">
        <f t="shared" si="12"/>
        <v>100</v>
      </c>
      <c r="T35" s="756" t="s">
        <v>25</v>
      </c>
      <c r="U35" s="757">
        <f t="shared" si="13"/>
        <v>100</v>
      </c>
      <c r="V35" s="756" t="s">
        <v>25</v>
      </c>
      <c r="W35" s="757">
        <f t="shared" si="14"/>
        <v>100</v>
      </c>
      <c r="X35" s="758"/>
      <c r="Y35" s="314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141"/>
      <c r="Q36" s="1899">
        <f t="shared" si="11"/>
        <v>111</v>
      </c>
      <c r="R36" s="753" t="s">
        <v>25</v>
      </c>
      <c r="S36" s="754">
        <f t="shared" si="12"/>
        <v>100</v>
      </c>
      <c r="T36" s="753" t="s">
        <v>25</v>
      </c>
      <c r="U36" s="754">
        <f t="shared" si="13"/>
        <v>100</v>
      </c>
      <c r="V36" s="753" t="s">
        <v>25</v>
      </c>
      <c r="W36" s="754">
        <f t="shared" si="14"/>
        <v>100</v>
      </c>
      <c r="X36" s="1900"/>
      <c r="Y36" s="3141"/>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133" t="str">
        <f>A37</f>
        <v>成交单价</v>
      </c>
      <c r="Q37" s="3133"/>
      <c r="R37" s="3129">
        <f>E37</f>
        <v>0</v>
      </c>
      <c r="S37" s="3129"/>
      <c r="T37" s="3129">
        <f>G37</f>
        <v>0</v>
      </c>
      <c r="U37" s="3129"/>
      <c r="V37" s="3129">
        <f>I37</f>
        <v>0</v>
      </c>
      <c r="W37" s="3129"/>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133" t="str">
        <f>A38</f>
        <v>比较价值</v>
      </c>
      <c r="Q38" s="3133"/>
      <c r="R38" s="3129" t="e">
        <f>IF(E1="售价",ROUND(PRODUCT(R37,AA7:AA36),0),ROUND(PRODUCT(R37,AA7:AA36),1))</f>
        <v>#DIV/0!</v>
      </c>
      <c r="S38" s="3129"/>
      <c r="T38" s="3129" t="e">
        <f>IF(E1="售价",ROUND(PRODUCT(T37,AB7:AB36),0),ROUND(PRODUCT(T37,AB7:AB36),1))</f>
        <v>#DIV/0!</v>
      </c>
      <c r="U38" s="3129"/>
      <c r="V38" s="3129" t="e">
        <f>IF(E1="售价",ROUND(PRODUCT(V37,AC7:AC36),0),ROUND(PRODUCT(V37,AC7:AC36),1))</f>
        <v>#DIV/0!</v>
      </c>
      <c r="W38" s="3129"/>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130" t="str">
        <f>A39</f>
        <v>估价对象XX用房的比较价值（楼面单价，元/平方米）</v>
      </c>
      <c r="Q39" s="3131"/>
      <c r="R39" s="3132" t="e">
        <f>IF(E1="售价",ROUND(AVERAGE(R38:V38),0),ROUND(AVERAGE(R38:V38),1))</f>
        <v>#DIV/0!</v>
      </c>
      <c r="S39" s="3132"/>
      <c r="T39" s="3132"/>
      <c r="U39" s="3132"/>
      <c r="V39" s="3132"/>
      <c r="W39" s="313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2016-5</v>
      </c>
      <c r="D48" s="1679">
        <f>EDATE(C48,-1)</f>
        <v>42461</v>
      </c>
      <c r="E48" s="1679">
        <f t="shared" ref="E48:O48" si="16">EDATE(D48,-1)</f>
        <v>42430</v>
      </c>
      <c r="F48" s="1679">
        <f t="shared" si="16"/>
        <v>42401</v>
      </c>
      <c r="G48" s="1679">
        <f t="shared" si="16"/>
        <v>42370</v>
      </c>
      <c r="H48" s="1679">
        <f t="shared" si="16"/>
        <v>42339</v>
      </c>
      <c r="I48" s="1679">
        <f t="shared" si="16"/>
        <v>42309</v>
      </c>
      <c r="J48" s="1679">
        <f t="shared" si="16"/>
        <v>42278</v>
      </c>
      <c r="K48" s="1679">
        <f t="shared" si="16"/>
        <v>42248</v>
      </c>
      <c r="L48" s="1679">
        <f t="shared" si="16"/>
        <v>42217</v>
      </c>
      <c r="M48" s="1679">
        <f t="shared" si="16"/>
        <v>42186</v>
      </c>
      <c r="N48" s="1679">
        <f t="shared" si="16"/>
        <v>42156</v>
      </c>
      <c r="O48" s="1679">
        <f t="shared" si="16"/>
        <v>42125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79"/>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2341</v>
      </c>
      <c r="D3" s="378">
        <f>IF(C1="仅计算典型户型",'数据-取费表'!E5,'数据-取费表'!B5)</f>
        <v>189.28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60" t="s">
        <v>2343</v>
      </c>
      <c r="D4" s="3161"/>
      <c r="E4" s="3162" t="s">
        <v>2344</v>
      </c>
      <c r="F4" s="3163"/>
      <c r="G4" s="3160" t="s">
        <v>2345</v>
      </c>
      <c r="H4" s="3161"/>
      <c r="I4" s="3160" t="s">
        <v>2346</v>
      </c>
      <c r="J4" s="3161"/>
      <c r="K4" s="594"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58" t="s">
        <v>2345</v>
      </c>
      <c r="AC4" s="3157" t="s">
        <v>2346</v>
      </c>
    </row>
    <row r="5" spans="1:29" ht="15">
      <c r="A5" s="383"/>
      <c r="B5" s="384"/>
      <c r="C5" s="3278" t="s">
        <v>2349</v>
      </c>
      <c r="D5" s="3146"/>
      <c r="E5" s="3277" t="s">
        <v>2350</v>
      </c>
      <c r="F5" s="3172"/>
      <c r="G5" s="3278" t="s">
        <v>2351</v>
      </c>
      <c r="H5" s="3146"/>
      <c r="I5" s="3278" t="s">
        <v>2352</v>
      </c>
      <c r="J5" s="3146"/>
      <c r="K5" s="594"/>
      <c r="L5" s="1243"/>
      <c r="M5" s="1244"/>
      <c r="N5" s="1244"/>
      <c r="O5" s="1244"/>
      <c r="P5" s="3166"/>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594" t="s">
        <v>2354</v>
      </c>
      <c r="L6" s="1243"/>
      <c r="M6" s="1244"/>
      <c r="N6" s="1244"/>
      <c r="O6" s="1244"/>
      <c r="P6" s="3168"/>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147" t="s">
        <v>2356</v>
      </c>
      <c r="Q7" s="3155"/>
      <c r="R7" s="749" t="s">
        <v>25</v>
      </c>
      <c r="S7" s="750">
        <f t="shared" ref="S7:S14" si="0">F7</f>
        <v>0</v>
      </c>
      <c r="T7" s="749" t="s">
        <v>25</v>
      </c>
      <c r="U7" s="750">
        <f t="shared" ref="U7:U14" si="1">H7</f>
        <v>0</v>
      </c>
      <c r="V7" s="749" t="s">
        <v>25</v>
      </c>
      <c r="W7" s="750">
        <f t="shared" ref="W7:W14" si="2">J7</f>
        <v>0</v>
      </c>
      <c r="X7" s="751"/>
      <c r="Y7" s="3147" t="s">
        <v>2356</v>
      </c>
      <c r="Z7" s="3148"/>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147" t="s">
        <v>2359</v>
      </c>
      <c r="Q8" s="3148"/>
      <c r="R8" s="749" t="s">
        <v>25</v>
      </c>
      <c r="S8" s="750">
        <f t="shared" si="0"/>
        <v>0</v>
      </c>
      <c r="T8" s="749" t="s">
        <v>25</v>
      </c>
      <c r="U8" s="750">
        <f t="shared" si="1"/>
        <v>0</v>
      </c>
      <c r="V8" s="749" t="s">
        <v>25</v>
      </c>
      <c r="W8" s="750">
        <f t="shared" si="2"/>
        <v>0</v>
      </c>
      <c r="X8" s="751"/>
      <c r="Y8" s="3147" t="s">
        <v>2359</v>
      </c>
      <c r="Z8" s="3148"/>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133" t="s">
        <v>2362</v>
      </c>
      <c r="Q9" s="1887" t="str">
        <f t="shared" ref="Q9:Q14" si="6">B9</f>
        <v>用途</v>
      </c>
      <c r="R9" s="749" t="s">
        <v>25</v>
      </c>
      <c r="S9" s="750">
        <f t="shared" si="0"/>
        <v>100</v>
      </c>
      <c r="T9" s="749" t="s">
        <v>25</v>
      </c>
      <c r="U9" s="750">
        <f t="shared" si="1"/>
        <v>100</v>
      </c>
      <c r="V9" s="749" t="s">
        <v>25</v>
      </c>
      <c r="W9" s="750">
        <f t="shared" si="2"/>
        <v>100</v>
      </c>
      <c r="X9" s="751"/>
      <c r="Y9" s="2971"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133"/>
      <c r="Q10" s="1887" t="str">
        <f t="shared" si="6"/>
        <v>土地使用年限（年）</v>
      </c>
      <c r="R10" s="749" t="s">
        <v>25</v>
      </c>
      <c r="S10" s="750">
        <f t="shared" si="0"/>
        <v>100</v>
      </c>
      <c r="T10" s="749" t="s">
        <v>25</v>
      </c>
      <c r="U10" s="750">
        <f t="shared" si="1"/>
        <v>100</v>
      </c>
      <c r="V10" s="749" t="s">
        <v>25</v>
      </c>
      <c r="W10" s="750">
        <f t="shared" si="2"/>
        <v>100</v>
      </c>
      <c r="X10" s="751"/>
      <c r="Y10" s="2971"/>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133"/>
      <c r="Q11" s="1887">
        <f t="shared" si="6"/>
        <v>111</v>
      </c>
      <c r="R11" s="749" t="s">
        <v>25</v>
      </c>
      <c r="S11" s="750">
        <f t="shared" si="0"/>
        <v>100</v>
      </c>
      <c r="T11" s="749" t="s">
        <v>25</v>
      </c>
      <c r="U11" s="750">
        <f t="shared" si="1"/>
        <v>100</v>
      </c>
      <c r="V11" s="749" t="s">
        <v>25</v>
      </c>
      <c r="W11" s="750">
        <f t="shared" si="2"/>
        <v>100</v>
      </c>
      <c r="X11" s="751"/>
      <c r="Y11" s="2971"/>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133"/>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133"/>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14">
      <c r="A14" s="419" t="s">
        <v>2366</v>
      </c>
      <c r="B14" s="26" t="s">
        <v>2510</v>
      </c>
      <c r="C14" s="2478" t="str">
        <f>IF(B1="工业",估价对象房地状况!G4,估价对象房地状况!C6)</f>
        <v>估价对象紧邻城市主干道—新华西街，周边有316路、372路、582路、666路等多条公交线路通过，综合评价交通便捷度较好。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136" t="s">
        <v>2367</v>
      </c>
      <c r="Q14" s="1899" t="str">
        <f t="shared" si="6"/>
        <v>交通便捷度</v>
      </c>
      <c r="R14" s="753" t="s">
        <v>25</v>
      </c>
      <c r="S14" s="754">
        <f t="shared" si="0"/>
        <v>100</v>
      </c>
      <c r="T14" s="753" t="s">
        <v>25</v>
      </c>
      <c r="U14" s="754">
        <f t="shared" si="1"/>
        <v>100</v>
      </c>
      <c r="V14" s="753" t="s">
        <v>25</v>
      </c>
      <c r="W14" s="754">
        <f t="shared" si="2"/>
        <v>100</v>
      </c>
      <c r="X14" s="1900"/>
      <c r="Y14" s="3136"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137"/>
      <c r="Q15" s="1899"/>
      <c r="R15" s="753"/>
      <c r="S15" s="754"/>
      <c r="T15" s="753"/>
      <c r="U15" s="754"/>
      <c r="V15" s="753"/>
      <c r="W15" s="754"/>
      <c r="X15" s="1900"/>
      <c r="Y15" s="3137"/>
      <c r="Z15" s="1902"/>
      <c r="AA15" s="1903">
        <v>1</v>
      </c>
      <c r="AB15" s="1903">
        <v>1</v>
      </c>
      <c r="AC15" s="1903">
        <v>1</v>
      </c>
    </row>
    <row r="16" spans="1:29" ht="42.75">
      <c r="A16" s="408"/>
      <c r="B16" s="615" t="s">
        <v>2482</v>
      </c>
      <c r="C16" s="2406" t="str">
        <f>IF(B1="工业",估价对象房地状况!G5,估价对象房地状况!C7)</f>
        <v>估价对象所在区域公共配套设施齐全</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137"/>
      <c r="Q16" s="1899" t="str">
        <f>B16</f>
        <v>公共配套设施</v>
      </c>
      <c r="R16" s="753" t="s">
        <v>25</v>
      </c>
      <c r="S16" s="754">
        <f>F16</f>
        <v>100</v>
      </c>
      <c r="T16" s="753" t="s">
        <v>25</v>
      </c>
      <c r="U16" s="754">
        <f>H16</f>
        <v>100</v>
      </c>
      <c r="V16" s="753" t="s">
        <v>25</v>
      </c>
      <c r="W16" s="754">
        <f>J16</f>
        <v>100</v>
      </c>
      <c r="X16" s="1900"/>
      <c r="Y16" s="313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137"/>
      <c r="Q17" s="1899"/>
      <c r="R17" s="753"/>
      <c r="S17" s="754"/>
      <c r="T17" s="753"/>
      <c r="U17" s="754"/>
      <c r="V17" s="753"/>
      <c r="W17" s="754"/>
      <c r="X17" s="1900"/>
      <c r="Y17" s="3137"/>
      <c r="Z17" s="1902"/>
      <c r="AA17" s="1903">
        <v>1</v>
      </c>
      <c r="AB17" s="1903">
        <v>1</v>
      </c>
      <c r="AC17" s="1903">
        <v>1</v>
      </c>
    </row>
    <row r="18" spans="1:29" ht="42.75">
      <c r="A18" s="408"/>
      <c r="B18" s="617" t="s">
        <v>2483</v>
      </c>
      <c r="C18" s="2406" t="str">
        <f>IF(B1="工业",估价对象房地状况!G6,估价对象房地状况!C8)</f>
        <v>估价对象所在区域基础设施水平达到七通一平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137"/>
      <c r="Q18" s="1899" t="str">
        <f>B18</f>
        <v>基础设施水平</v>
      </c>
      <c r="R18" s="753" t="s">
        <v>25</v>
      </c>
      <c r="S18" s="754">
        <f>F18</f>
        <v>100</v>
      </c>
      <c r="T18" s="753" t="s">
        <v>25</v>
      </c>
      <c r="U18" s="754">
        <f>H18</f>
        <v>100</v>
      </c>
      <c r="V18" s="753" t="s">
        <v>25</v>
      </c>
      <c r="W18" s="754">
        <f>J18</f>
        <v>100</v>
      </c>
      <c r="X18" s="1900"/>
      <c r="Y18" s="313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137"/>
      <c r="Q19" s="1899"/>
      <c r="R19" s="753"/>
      <c r="S19" s="754"/>
      <c r="T19" s="753"/>
      <c r="U19" s="754"/>
      <c r="V19" s="753"/>
      <c r="W19" s="754"/>
      <c r="X19" s="1900"/>
      <c r="Y19" s="3137"/>
      <c r="Z19" s="1902"/>
      <c r="AA19" s="1903">
        <v>1</v>
      </c>
      <c r="AB19" s="1903">
        <v>1</v>
      </c>
      <c r="AC19" s="1903">
        <v>1</v>
      </c>
    </row>
    <row r="20" spans="1:29" ht="99.75">
      <c r="A20" s="408"/>
      <c r="B20" s="431" t="s">
        <v>2511</v>
      </c>
      <c r="C20" s="2406" t="str">
        <f>IF(B1="工业",估价对象房地状况!G7,估价对象房地状况!C9)</f>
        <v>区域自然环境：西海子公园、通惠河；人文环境北京市通州区博物馆、新华书店；综合评价环境状况较好。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137"/>
      <c r="Q20" s="1899" t="str">
        <f>B20</f>
        <v>自然及人文环境</v>
      </c>
      <c r="R20" s="753" t="s">
        <v>25</v>
      </c>
      <c r="S20" s="754">
        <f>F20</f>
        <v>100</v>
      </c>
      <c r="T20" s="753" t="s">
        <v>25</v>
      </c>
      <c r="U20" s="754">
        <f>H20</f>
        <v>100</v>
      </c>
      <c r="V20" s="753" t="s">
        <v>25</v>
      </c>
      <c r="W20" s="754">
        <f>J20</f>
        <v>100</v>
      </c>
      <c r="X20" s="1900"/>
      <c r="Y20" s="313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137"/>
      <c r="Q21" s="1899"/>
      <c r="R21" s="753"/>
      <c r="S21" s="754"/>
      <c r="T21" s="753"/>
      <c r="U21" s="754"/>
      <c r="V21" s="753"/>
      <c r="W21" s="754"/>
      <c r="X21" s="1900"/>
      <c r="Y21" s="3137"/>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137"/>
      <c r="Q22" s="1899" t="str">
        <f>B22</f>
        <v>楼层</v>
      </c>
      <c r="R22" s="753" t="s">
        <v>25</v>
      </c>
      <c r="S22" s="754">
        <f>F22</f>
        <v>100</v>
      </c>
      <c r="T22" s="753" t="s">
        <v>25</v>
      </c>
      <c r="U22" s="754">
        <f>H22</f>
        <v>100</v>
      </c>
      <c r="V22" s="753" t="s">
        <v>25</v>
      </c>
      <c r="W22" s="754">
        <f>J22</f>
        <v>100</v>
      </c>
      <c r="X22" s="1900"/>
      <c r="Y22" s="313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137"/>
      <c r="Q23" s="1899">
        <f>B23</f>
        <v>111</v>
      </c>
      <c r="R23" s="753" t="s">
        <v>25</v>
      </c>
      <c r="S23" s="754">
        <f>F23</f>
        <v>100</v>
      </c>
      <c r="T23" s="753" t="s">
        <v>25</v>
      </c>
      <c r="U23" s="754">
        <f>H23</f>
        <v>100</v>
      </c>
      <c r="V23" s="753" t="s">
        <v>25</v>
      </c>
      <c r="W23" s="754">
        <f>J23</f>
        <v>100</v>
      </c>
      <c r="X23" s="1900"/>
      <c r="Y23" s="313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137"/>
      <c r="Q24" s="1899">
        <f t="shared" ref="Q24:Q34" si="11">B24</f>
        <v>111</v>
      </c>
      <c r="R24" s="753" t="s">
        <v>25</v>
      </c>
      <c r="S24" s="754">
        <f>F24</f>
        <v>100</v>
      </c>
      <c r="T24" s="753" t="s">
        <v>25</v>
      </c>
      <c r="U24" s="754">
        <f>H24</f>
        <v>100</v>
      </c>
      <c r="V24" s="753" t="s">
        <v>25</v>
      </c>
      <c r="W24" s="754">
        <f>J24</f>
        <v>100</v>
      </c>
      <c r="X24" s="1900"/>
      <c r="Y24" s="3137"/>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137"/>
      <c r="Q25" s="1887">
        <f t="shared" si="11"/>
        <v>111</v>
      </c>
      <c r="R25" s="749" t="s">
        <v>25</v>
      </c>
      <c r="S25" s="750">
        <f>F25</f>
        <v>100</v>
      </c>
      <c r="T25" s="749" t="s">
        <v>25</v>
      </c>
      <c r="U25" s="750">
        <f>H25</f>
        <v>100</v>
      </c>
      <c r="V25" s="749" t="s">
        <v>25</v>
      </c>
      <c r="W25" s="750">
        <f>J25</f>
        <v>100</v>
      </c>
      <c r="X25" s="751"/>
      <c r="Y25" s="3137"/>
      <c r="Z25" s="23">
        <f>Q25</f>
        <v>111</v>
      </c>
      <c r="AA25" s="1903">
        <f>D25/F25</f>
        <v>1</v>
      </c>
      <c r="AB25" s="1903">
        <f>D25/H25</f>
        <v>1</v>
      </c>
      <c r="AC25" s="1903">
        <f>D25/J25</f>
        <v>1</v>
      </c>
    </row>
    <row r="26" spans="1:29" ht="15">
      <c r="A26" s="447" t="s">
        <v>2371</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286"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141"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141"/>
      <c r="Q27" s="755" t="str">
        <f t="shared" si="11"/>
        <v>成新率</v>
      </c>
      <c r="R27" s="756" t="s">
        <v>25</v>
      </c>
      <c r="S27" s="757" t="e">
        <f t="shared" si="12"/>
        <v>#N/A</v>
      </c>
      <c r="T27" s="756" t="s">
        <v>25</v>
      </c>
      <c r="U27" s="757" t="e">
        <f t="shared" si="13"/>
        <v>#N/A</v>
      </c>
      <c r="V27" s="756" t="s">
        <v>25</v>
      </c>
      <c r="W27" s="757" t="e">
        <f t="shared" si="14"/>
        <v>#N/A</v>
      </c>
      <c r="X27" s="758"/>
      <c r="Y27" s="3141"/>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141"/>
      <c r="Q28" s="1899" t="str">
        <f t="shared" si="11"/>
        <v>物业等级</v>
      </c>
      <c r="R28" s="753" t="s">
        <v>25</v>
      </c>
      <c r="S28" s="754">
        <f t="shared" si="12"/>
        <v>100</v>
      </c>
      <c r="T28" s="753" t="s">
        <v>25</v>
      </c>
      <c r="U28" s="754">
        <f t="shared" si="13"/>
        <v>100</v>
      </c>
      <c r="V28" s="753" t="s">
        <v>25</v>
      </c>
      <c r="W28" s="754">
        <f t="shared" si="14"/>
        <v>100</v>
      </c>
      <c r="X28" s="1900"/>
      <c r="Y28" s="3141"/>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141"/>
      <c r="Q29" s="1899" t="str">
        <f t="shared" si="11"/>
        <v>有无电梯</v>
      </c>
      <c r="R29" s="753" t="s">
        <v>25</v>
      </c>
      <c r="S29" s="754">
        <f t="shared" si="12"/>
        <v>100</v>
      </c>
      <c r="T29" s="753" t="s">
        <v>25</v>
      </c>
      <c r="U29" s="754">
        <f t="shared" si="13"/>
        <v>100</v>
      </c>
      <c r="V29" s="753" t="s">
        <v>25</v>
      </c>
      <c r="W29" s="754">
        <f t="shared" si="14"/>
        <v>100</v>
      </c>
      <c r="X29" s="1900"/>
      <c r="Y29" s="3141"/>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141"/>
      <c r="Q30" s="1899" t="str">
        <f t="shared" si="11"/>
        <v>建筑面积</v>
      </c>
      <c r="R30" s="753" t="s">
        <v>25</v>
      </c>
      <c r="S30" s="754" t="e">
        <f t="shared" si="12"/>
        <v>#N/A</v>
      </c>
      <c r="T30" s="753" t="s">
        <v>25</v>
      </c>
      <c r="U30" s="754" t="e">
        <f t="shared" si="13"/>
        <v>#N/A</v>
      </c>
      <c r="V30" s="753" t="s">
        <v>25</v>
      </c>
      <c r="W30" s="754" t="e">
        <f t="shared" si="14"/>
        <v>#N/A</v>
      </c>
      <c r="X30" s="1900"/>
      <c r="Y30" s="3141"/>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141"/>
      <c r="Q31" s="1887" t="str">
        <f t="shared" si="11"/>
        <v>是否封闭</v>
      </c>
      <c r="R31" s="749" t="s">
        <v>25</v>
      </c>
      <c r="S31" s="750">
        <f t="shared" si="12"/>
        <v>100</v>
      </c>
      <c r="T31" s="749" t="s">
        <v>25</v>
      </c>
      <c r="U31" s="750">
        <f t="shared" si="13"/>
        <v>100</v>
      </c>
      <c r="V31" s="749" t="s">
        <v>25</v>
      </c>
      <c r="W31" s="750">
        <f t="shared" si="14"/>
        <v>100</v>
      </c>
      <c r="X31" s="751"/>
      <c r="Y31" s="314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141" t="s">
        <v>2373</v>
      </c>
      <c r="Q32" s="1899">
        <f t="shared" si="11"/>
        <v>111</v>
      </c>
      <c r="R32" s="753" t="s">
        <v>25</v>
      </c>
      <c r="S32" s="754">
        <f t="shared" si="12"/>
        <v>100</v>
      </c>
      <c r="T32" s="753" t="s">
        <v>25</v>
      </c>
      <c r="U32" s="754">
        <f t="shared" si="13"/>
        <v>100</v>
      </c>
      <c r="V32" s="753" t="s">
        <v>25</v>
      </c>
      <c r="W32" s="754">
        <f t="shared" si="14"/>
        <v>100</v>
      </c>
      <c r="X32" s="1900"/>
      <c r="Y32" s="3141" t="s">
        <v>2373</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141"/>
      <c r="Q33" s="1899">
        <f t="shared" si="11"/>
        <v>111</v>
      </c>
      <c r="R33" s="753" t="s">
        <v>25</v>
      </c>
      <c r="S33" s="754">
        <f t="shared" si="12"/>
        <v>100</v>
      </c>
      <c r="T33" s="753" t="s">
        <v>25</v>
      </c>
      <c r="U33" s="754">
        <f t="shared" si="13"/>
        <v>100</v>
      </c>
      <c r="V33" s="753" t="s">
        <v>25</v>
      </c>
      <c r="W33" s="754">
        <f t="shared" si="14"/>
        <v>100</v>
      </c>
      <c r="X33" s="1900"/>
      <c r="Y33" s="3141"/>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141"/>
      <c r="Q34" s="1899">
        <f t="shared" si="11"/>
        <v>111</v>
      </c>
      <c r="R34" s="753" t="s">
        <v>25</v>
      </c>
      <c r="S34" s="754">
        <f t="shared" si="12"/>
        <v>100</v>
      </c>
      <c r="T34" s="753" t="s">
        <v>25</v>
      </c>
      <c r="U34" s="754">
        <f t="shared" si="13"/>
        <v>100</v>
      </c>
      <c r="V34" s="753" t="s">
        <v>25</v>
      </c>
      <c r="W34" s="754">
        <f t="shared" si="14"/>
        <v>100</v>
      </c>
      <c r="X34" s="1900"/>
      <c r="Y34" s="3141"/>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133" t="str">
        <f>A35</f>
        <v>成交单价（元/平方米）</v>
      </c>
      <c r="Q35" s="3133"/>
      <c r="R35" s="3129">
        <f>E35</f>
        <v>0</v>
      </c>
      <c r="S35" s="3129"/>
      <c r="T35" s="3129">
        <f>G35</f>
        <v>0</v>
      </c>
      <c r="U35" s="3129"/>
      <c r="V35" s="3129">
        <f>I35</f>
        <v>0</v>
      </c>
      <c r="W35" s="3129"/>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133" t="str">
        <f>A36</f>
        <v>比较价值（元/平方米）</v>
      </c>
      <c r="Q36" s="3133"/>
      <c r="R36" s="3129" t="e">
        <f>IF(E1="售价",ROUND(PRODUCT(R35,AA7:AA34),0),ROUND(PRODUCT(R35,AA7:AA34),1))</f>
        <v>#DIV/0!</v>
      </c>
      <c r="S36" s="3129"/>
      <c r="T36" s="3129" t="e">
        <f>IF(E1="售价",ROUND(PRODUCT(T35,AB7:AB34),0),ROUND(PRODUCT(T35,AB7:AB34),1))</f>
        <v>#DIV/0!</v>
      </c>
      <c r="U36" s="3129"/>
      <c r="V36" s="3129" t="e">
        <f>IF(E1="售价",ROUND(PRODUCT(V35,AC7:AC34),0),ROUND(PRODUCT(V35,AC7:AC34),1))</f>
        <v>#DIV/0!</v>
      </c>
      <c r="W36" s="3129"/>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130" t="str">
        <f>A37</f>
        <v>估价对象XX用房的比较价值（楼面单价，元/平方米）</v>
      </c>
      <c r="Q37" s="3131"/>
      <c r="R37" s="3132" t="e">
        <f>IF(E1="售价",ROUND(AVERAGE(R36:V36),0),ROUND(AVERAGE(R36:V36),1))</f>
        <v>#DIV/0!</v>
      </c>
      <c r="S37" s="3132"/>
      <c r="T37" s="3132"/>
      <c r="U37" s="3132"/>
      <c r="V37" s="3132"/>
      <c r="W37" s="313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2016-5</v>
      </c>
      <c r="D46" s="1679">
        <f>EDATE(C46,-1)</f>
        <v>42461</v>
      </c>
      <c r="E46" s="1679">
        <f t="shared" ref="E46:O46" si="16">EDATE(D46,-1)</f>
        <v>42430</v>
      </c>
      <c r="F46" s="1679">
        <f t="shared" si="16"/>
        <v>42401</v>
      </c>
      <c r="G46" s="1679">
        <f t="shared" si="16"/>
        <v>42370</v>
      </c>
      <c r="H46" s="1679">
        <f t="shared" si="16"/>
        <v>42339</v>
      </c>
      <c r="I46" s="1679">
        <f t="shared" si="16"/>
        <v>42309</v>
      </c>
      <c r="J46" s="1679">
        <f t="shared" si="16"/>
        <v>42278</v>
      </c>
      <c r="K46" s="1679">
        <f t="shared" si="16"/>
        <v>42248</v>
      </c>
      <c r="L46" s="1679">
        <f t="shared" si="16"/>
        <v>42217</v>
      </c>
      <c r="M46" s="1679">
        <f t="shared" si="16"/>
        <v>42186</v>
      </c>
      <c r="N46" s="1679">
        <f t="shared" si="16"/>
        <v>42156</v>
      </c>
      <c r="O46" s="1679">
        <f t="shared" si="16"/>
        <v>42125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160" t="s">
        <v>2343</v>
      </c>
      <c r="D4" s="3161"/>
      <c r="E4" s="3162" t="s">
        <v>2344</v>
      </c>
      <c r="F4" s="3163"/>
      <c r="G4" s="3160" t="s">
        <v>2345</v>
      </c>
      <c r="H4" s="3161"/>
      <c r="I4" s="3160" t="s">
        <v>2346</v>
      </c>
      <c r="J4" s="3161"/>
      <c r="K4" s="594"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58" t="s">
        <v>2345</v>
      </c>
      <c r="AC4" s="3157" t="s">
        <v>2346</v>
      </c>
    </row>
    <row r="5" spans="1:30" ht="15">
      <c r="A5" s="383"/>
      <c r="B5" s="384"/>
      <c r="C5" s="3278" t="s">
        <v>2349</v>
      </c>
      <c r="D5" s="3146"/>
      <c r="E5" s="3277" t="s">
        <v>2350</v>
      </c>
      <c r="F5" s="3172"/>
      <c r="G5" s="3278" t="s">
        <v>2351</v>
      </c>
      <c r="H5" s="3146"/>
      <c r="I5" s="3278" t="s">
        <v>2352</v>
      </c>
      <c r="J5" s="3146"/>
      <c r="K5" s="594"/>
      <c r="L5" s="1243"/>
      <c r="M5" s="1244"/>
      <c r="N5" s="1244"/>
      <c r="O5" s="1244"/>
      <c r="P5" s="3166"/>
      <c r="Q5" s="3167"/>
      <c r="R5" s="3151"/>
      <c r="S5" s="3152"/>
      <c r="T5" s="3151"/>
      <c r="U5" s="3152"/>
      <c r="V5" s="3170"/>
      <c r="W5" s="3170"/>
      <c r="X5" s="1900"/>
      <c r="Y5" s="3151"/>
      <c r="Z5" s="3152"/>
      <c r="AA5" s="3158"/>
      <c r="AB5" s="3158"/>
      <c r="AC5" s="3158"/>
    </row>
    <row r="6" spans="1:30" ht="15.75" thickBot="1">
      <c r="A6" s="385"/>
      <c r="B6" s="386"/>
      <c r="C6" s="3143" t="s">
        <v>2353</v>
      </c>
      <c r="D6" s="3144"/>
      <c r="E6" s="3173" t="s">
        <v>2353</v>
      </c>
      <c r="F6" s="3174"/>
      <c r="G6" s="3143" t="s">
        <v>2353</v>
      </c>
      <c r="H6" s="3144"/>
      <c r="I6" s="3143" t="s">
        <v>2353</v>
      </c>
      <c r="J6" s="3144"/>
      <c r="K6" s="594" t="s">
        <v>2354</v>
      </c>
      <c r="L6" s="1243"/>
      <c r="M6" s="1244"/>
      <c r="N6" s="1244"/>
      <c r="O6" s="1244"/>
      <c r="P6" s="3168"/>
      <c r="Q6" s="3169"/>
      <c r="R6" s="3151"/>
      <c r="S6" s="3152"/>
      <c r="T6" s="3153"/>
      <c r="U6" s="3154"/>
      <c r="V6" s="3170"/>
      <c r="W6" s="3170"/>
      <c r="X6" s="1900"/>
      <c r="Y6" s="3153"/>
      <c r="Z6" s="3154"/>
      <c r="AA6" s="3159"/>
      <c r="AB6" s="3159"/>
      <c r="AC6" s="3159"/>
    </row>
    <row r="7" spans="1:30" s="35" customFormat="1" ht="15.75" thickBot="1">
      <c r="A7" s="387" t="s">
        <v>2355</v>
      </c>
      <c r="B7" s="388"/>
      <c r="C7" s="389">
        <f>'数据-取费表'!B2</f>
        <v>42510</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147" t="s">
        <v>2356</v>
      </c>
      <c r="Q7" s="3155"/>
      <c r="R7" s="749" t="s">
        <v>25</v>
      </c>
      <c r="S7" s="750">
        <f t="shared" ref="S7:S15" si="0">F7</f>
        <v>0</v>
      </c>
      <c r="T7" s="749" t="s">
        <v>25</v>
      </c>
      <c r="U7" s="750">
        <f t="shared" ref="U7:U15" si="1">H7</f>
        <v>0</v>
      </c>
      <c r="V7" s="749" t="s">
        <v>25</v>
      </c>
      <c r="W7" s="750">
        <f t="shared" ref="W7:W15" si="2">J7</f>
        <v>0</v>
      </c>
      <c r="X7" s="751"/>
      <c r="Y7" s="3147" t="s">
        <v>2356</v>
      </c>
      <c r="Z7" s="3148"/>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147" t="s">
        <v>2359</v>
      </c>
      <c r="Q8" s="3148"/>
      <c r="R8" s="749" t="s">
        <v>25</v>
      </c>
      <c r="S8" s="750">
        <f t="shared" si="0"/>
        <v>0</v>
      </c>
      <c r="T8" s="749" t="s">
        <v>25</v>
      </c>
      <c r="U8" s="750">
        <f t="shared" si="1"/>
        <v>0</v>
      </c>
      <c r="V8" s="749" t="s">
        <v>25</v>
      </c>
      <c r="W8" s="750">
        <f t="shared" si="2"/>
        <v>0</v>
      </c>
      <c r="X8" s="751"/>
      <c r="Y8" s="3147" t="s">
        <v>2359</v>
      </c>
      <c r="Z8" s="3148"/>
      <c r="AA8" s="752" t="e">
        <f t="shared" ref="AA8:AA45" si="3">D8/F8</f>
        <v>#DIV/0!</v>
      </c>
      <c r="AB8" s="752" t="e">
        <f t="shared" ref="AB8:AB45" si="4">D8/H8</f>
        <v>#DIV/0!</v>
      </c>
      <c r="AC8" s="752" t="e">
        <f t="shared" ref="AC8:AC45" si="5">D8/J8</f>
        <v>#DIV/0!</v>
      </c>
    </row>
    <row r="9" spans="1:30" s="35" customFormat="1">
      <c r="A9" s="395" t="s">
        <v>2360</v>
      </c>
      <c r="B9" s="28" t="s">
        <v>2361</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133"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133"/>
      <c r="Q10" s="1887" t="str">
        <f t="shared" si="6"/>
        <v>土地使用年限（年）</v>
      </c>
      <c r="R10" s="749" t="s">
        <v>25</v>
      </c>
      <c r="S10" s="750">
        <f t="shared" si="0"/>
        <v>106</v>
      </c>
      <c r="T10" s="749" t="s">
        <v>25</v>
      </c>
      <c r="U10" s="750">
        <f t="shared" si="1"/>
        <v>106</v>
      </c>
      <c r="V10" s="749" t="s">
        <v>25</v>
      </c>
      <c r="W10" s="750">
        <f t="shared" si="2"/>
        <v>106</v>
      </c>
      <c r="X10" s="751"/>
      <c r="Y10" s="2971"/>
      <c r="Z10" s="23" t="str">
        <f t="shared" si="7"/>
        <v>土地使用年限（年）</v>
      </c>
      <c r="AA10" s="752">
        <f t="shared" si="3"/>
        <v>0.94339622641509435</v>
      </c>
      <c r="AB10" s="752">
        <f t="shared" si="4"/>
        <v>0.94339622641509435</v>
      </c>
      <c r="AC10" s="752">
        <f t="shared" si="5"/>
        <v>0.94339622641509435</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133"/>
      <c r="Q11" s="1887" t="str">
        <f t="shared" si="6"/>
        <v>容积率</v>
      </c>
      <c r="R11" s="749" t="s">
        <v>25</v>
      </c>
      <c r="S11" s="750" t="e">
        <f t="shared" si="0"/>
        <v>#N/A</v>
      </c>
      <c r="T11" s="749" t="s">
        <v>25</v>
      </c>
      <c r="U11" s="750" t="e">
        <f t="shared" si="1"/>
        <v>#N/A</v>
      </c>
      <c r="V11" s="749" t="s">
        <v>25</v>
      </c>
      <c r="W11" s="750" t="e">
        <f t="shared" si="2"/>
        <v>#N/A</v>
      </c>
      <c r="X11" s="751"/>
      <c r="Y11" s="2971"/>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133"/>
      <c r="Q12" s="1887" t="str">
        <f t="shared" si="6"/>
        <v>配建</v>
      </c>
      <c r="R12" s="749" t="s">
        <v>25</v>
      </c>
      <c r="S12" s="750">
        <f t="shared" si="0"/>
        <v>100</v>
      </c>
      <c r="T12" s="749" t="s">
        <v>25</v>
      </c>
      <c r="U12" s="750">
        <f t="shared" si="1"/>
        <v>100</v>
      </c>
      <c r="V12" s="749" t="s">
        <v>25</v>
      </c>
      <c r="W12" s="750">
        <f t="shared" si="2"/>
        <v>100</v>
      </c>
      <c r="X12" s="751"/>
      <c r="Y12" s="2971"/>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133"/>
      <c r="Q13" s="1887">
        <f t="shared" si="6"/>
        <v>111</v>
      </c>
      <c r="R13" s="749" t="s">
        <v>25</v>
      </c>
      <c r="S13" s="750">
        <f t="shared" si="0"/>
        <v>100</v>
      </c>
      <c r="T13" s="749" t="s">
        <v>25</v>
      </c>
      <c r="U13" s="750">
        <f t="shared" si="1"/>
        <v>100</v>
      </c>
      <c r="V13" s="749" t="s">
        <v>25</v>
      </c>
      <c r="W13" s="750">
        <f t="shared" si="2"/>
        <v>100</v>
      </c>
      <c r="X13" s="751"/>
      <c r="Y13" s="2971"/>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133"/>
      <c r="Q14" s="1887">
        <f t="shared" si="6"/>
        <v>111</v>
      </c>
      <c r="R14" s="749" t="s">
        <v>25</v>
      </c>
      <c r="S14" s="750">
        <f t="shared" si="0"/>
        <v>100</v>
      </c>
      <c r="T14" s="749" t="s">
        <v>25</v>
      </c>
      <c r="U14" s="750">
        <f t="shared" si="1"/>
        <v>100</v>
      </c>
      <c r="V14" s="749" t="s">
        <v>25</v>
      </c>
      <c r="W14" s="750">
        <f t="shared" si="2"/>
        <v>100</v>
      </c>
      <c r="X14" s="751"/>
      <c r="Y14" s="2971"/>
      <c r="Z14" s="23">
        <f t="shared" si="7"/>
        <v>111</v>
      </c>
      <c r="AA14" s="752">
        <f>D14/F14</f>
        <v>1</v>
      </c>
      <c r="AB14" s="752">
        <f>D14/H14</f>
        <v>1</v>
      </c>
      <c r="AC14" s="752">
        <f>D14/J14</f>
        <v>1</v>
      </c>
    </row>
    <row r="15" spans="1:30" ht="99.75">
      <c r="A15" s="380" t="s">
        <v>2366</v>
      </c>
      <c r="B15" s="1487" t="s">
        <v>1741</v>
      </c>
      <c r="C15" s="2466" t="str">
        <f>估价对象房地状况!C15</f>
        <v>估价对象周边有富力金禧花园、怡佳家园、摩卡空间、帅府园等住宅小区，综合评价居住社区成熟度较好。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136" t="s">
        <v>2367</v>
      </c>
      <c r="Q15" s="1899" t="str">
        <f t="shared" si="6"/>
        <v>居住社区成熟度</v>
      </c>
      <c r="R15" s="753" t="s">
        <v>25</v>
      </c>
      <c r="S15" s="754">
        <f t="shared" si="0"/>
        <v>100</v>
      </c>
      <c r="T15" s="753" t="s">
        <v>25</v>
      </c>
      <c r="U15" s="754">
        <f t="shared" si="1"/>
        <v>100</v>
      </c>
      <c r="V15" s="753" t="s">
        <v>25</v>
      </c>
      <c r="W15" s="754">
        <f t="shared" si="2"/>
        <v>100</v>
      </c>
      <c r="X15" s="1900"/>
      <c r="Y15" s="3136"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137"/>
      <c r="Q16" s="1899"/>
      <c r="R16" s="753"/>
      <c r="S16" s="754"/>
      <c r="T16" s="753"/>
      <c r="U16" s="754"/>
      <c r="V16" s="753"/>
      <c r="W16" s="754"/>
      <c r="X16" s="1900"/>
      <c r="Y16" s="3137"/>
      <c r="Z16" s="1902"/>
      <c r="AA16" s="1903">
        <v>1</v>
      </c>
      <c r="AB16" s="1903">
        <v>1</v>
      </c>
      <c r="AC16" s="1903">
        <v>1</v>
      </c>
    </row>
    <row r="17" spans="1:29" ht="71.25">
      <c r="A17" s="383"/>
      <c r="B17" s="1489"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137"/>
      <c r="Q17" s="1899" t="str">
        <f>B17</f>
        <v>商业繁华度</v>
      </c>
      <c r="R17" s="753" t="s">
        <v>25</v>
      </c>
      <c r="S17" s="754">
        <f>F17</f>
        <v>100</v>
      </c>
      <c r="T17" s="753" t="s">
        <v>25</v>
      </c>
      <c r="U17" s="754">
        <f>H17</f>
        <v>100</v>
      </c>
      <c r="V17" s="753" t="s">
        <v>25</v>
      </c>
      <c r="W17" s="754">
        <f>J17</f>
        <v>100</v>
      </c>
      <c r="X17" s="1900"/>
      <c r="Y17" s="3137"/>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137"/>
      <c r="Q18" s="1899"/>
      <c r="R18" s="753"/>
      <c r="S18" s="754"/>
      <c r="T18" s="753"/>
      <c r="U18" s="754"/>
      <c r="V18" s="753"/>
      <c r="W18" s="754"/>
      <c r="X18" s="1900"/>
      <c r="Y18" s="3137"/>
      <c r="Z18" s="1902"/>
      <c r="AA18" s="1903">
        <v>1</v>
      </c>
      <c r="AB18" s="1903">
        <v>1</v>
      </c>
      <c r="AC18" s="1903">
        <v>1</v>
      </c>
    </row>
    <row r="19" spans="1:29" ht="71.25">
      <c r="A19" s="383"/>
      <c r="B19" s="1489"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137"/>
      <c r="Q19" s="1899" t="str">
        <f>B19</f>
        <v>办公集聚程度</v>
      </c>
      <c r="R19" s="753" t="s">
        <v>25</v>
      </c>
      <c r="S19" s="754">
        <f>F19</f>
        <v>100</v>
      </c>
      <c r="T19" s="753" t="s">
        <v>25</v>
      </c>
      <c r="U19" s="754">
        <f>H19</f>
        <v>100</v>
      </c>
      <c r="V19" s="753" t="s">
        <v>25</v>
      </c>
      <c r="W19" s="754">
        <f>J19</f>
        <v>100</v>
      </c>
      <c r="X19" s="1900"/>
      <c r="Y19" s="313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137"/>
      <c r="Q20" s="1899"/>
      <c r="R20" s="753"/>
      <c r="S20" s="754"/>
      <c r="T20" s="753"/>
      <c r="U20" s="754"/>
      <c r="V20" s="753"/>
      <c r="W20" s="754"/>
      <c r="X20" s="1900"/>
      <c r="Y20" s="3137"/>
      <c r="Z20" s="1902"/>
      <c r="AA20" s="1903">
        <v>1</v>
      </c>
      <c r="AB20" s="1903">
        <v>1</v>
      </c>
      <c r="AC20" s="1903">
        <v>1</v>
      </c>
    </row>
    <row r="21" spans="1:29" ht="114">
      <c r="A21" s="383"/>
      <c r="B21" s="1489" t="s">
        <v>2510</v>
      </c>
      <c r="C21" s="2467" t="str">
        <f>估价对象房地状况!C18</f>
        <v>估价对象紧邻城市主干道—新华西街，周边有316路、372路、582路、666路等多条公交线路通过，综合评价交通便捷度较好。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137"/>
      <c r="Q21" s="1899" t="str">
        <f>B21</f>
        <v>交通便捷度</v>
      </c>
      <c r="R21" s="753" t="s">
        <v>25</v>
      </c>
      <c r="S21" s="754">
        <f>F21</f>
        <v>100</v>
      </c>
      <c r="T21" s="753" t="s">
        <v>25</v>
      </c>
      <c r="U21" s="754">
        <f>H21</f>
        <v>100</v>
      </c>
      <c r="V21" s="753" t="s">
        <v>25</v>
      </c>
      <c r="W21" s="754">
        <f>J21</f>
        <v>100</v>
      </c>
      <c r="X21" s="1900"/>
      <c r="Y21" s="313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137"/>
      <c r="Q22" s="1899"/>
      <c r="R22" s="753"/>
      <c r="S22" s="754"/>
      <c r="T22" s="753"/>
      <c r="U22" s="754"/>
      <c r="V22" s="753"/>
      <c r="W22" s="754"/>
      <c r="X22" s="1900"/>
      <c r="Y22" s="3137"/>
      <c r="Z22" s="1902"/>
      <c r="AA22" s="1903">
        <v>1</v>
      </c>
      <c r="AB22" s="1903">
        <v>1</v>
      </c>
      <c r="AC22" s="1903">
        <v>1</v>
      </c>
    </row>
    <row r="23" spans="1:29" ht="15">
      <c r="A23" s="383"/>
      <c r="B23" s="1492"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137"/>
      <c r="Q23" s="1899" t="str">
        <f t="shared" ref="Q23:Q37" si="8">B23</f>
        <v>区域土地利用方向</v>
      </c>
      <c r="R23" s="753" t="s">
        <v>25</v>
      </c>
      <c r="S23" s="754">
        <f>F23</f>
        <v>100</v>
      </c>
      <c r="T23" s="753" t="s">
        <v>25</v>
      </c>
      <c r="U23" s="754">
        <f>H23</f>
        <v>100</v>
      </c>
      <c r="V23" s="753" t="s">
        <v>25</v>
      </c>
      <c r="W23" s="754">
        <f>J23</f>
        <v>100</v>
      </c>
      <c r="X23" s="1900"/>
      <c r="Y23" s="313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137"/>
      <c r="Q24" s="1899"/>
      <c r="R24" s="753"/>
      <c r="S24" s="754"/>
      <c r="T24" s="753"/>
      <c r="U24" s="754"/>
      <c r="V24" s="753"/>
      <c r="W24" s="754"/>
      <c r="X24" s="1900"/>
      <c r="Y24" s="3137"/>
      <c r="Z24" s="1902"/>
      <c r="AA24" s="1903"/>
      <c r="AB24" s="1903"/>
      <c r="AC24" s="1903"/>
    </row>
    <row r="25" spans="1:29" ht="99.75">
      <c r="A25" s="383"/>
      <c r="B25" s="1491" t="s">
        <v>2551</v>
      </c>
      <c r="C25" s="2484" t="str">
        <f>估价对象房地状况!C20</f>
        <v>区域自然环境：西海子公园、通惠河；人文环境北京市通州区博物馆、新华书店；综合评价环境状况较好。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137"/>
      <c r="Q25" s="1899" t="str">
        <f t="shared" si="8"/>
        <v>自然及人文环境状况</v>
      </c>
      <c r="R25" s="753" t="s">
        <v>25</v>
      </c>
      <c r="S25" s="754">
        <f>F25</f>
        <v>100</v>
      </c>
      <c r="T25" s="753" t="s">
        <v>25</v>
      </c>
      <c r="U25" s="754">
        <f>H25</f>
        <v>100</v>
      </c>
      <c r="V25" s="753" t="s">
        <v>25</v>
      </c>
      <c r="W25" s="754">
        <f>J25</f>
        <v>100</v>
      </c>
      <c r="X25" s="1900"/>
      <c r="Y25" s="313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137"/>
      <c r="Q26" s="1899"/>
      <c r="R26" s="753"/>
      <c r="S26" s="754"/>
      <c r="T26" s="753"/>
      <c r="U26" s="754"/>
      <c r="V26" s="753"/>
      <c r="W26" s="754"/>
      <c r="X26" s="1900"/>
      <c r="Y26" s="3137"/>
      <c r="Z26" s="1902"/>
      <c r="AA26" s="1903">
        <v>1</v>
      </c>
      <c r="AB26" s="1903">
        <v>1</v>
      </c>
      <c r="AC26" s="1903">
        <v>1</v>
      </c>
    </row>
    <row r="27" spans="1:29" ht="42.75">
      <c r="A27" s="383"/>
      <c r="B27" s="1491" t="s">
        <v>2453</v>
      </c>
      <c r="C27" s="2467" t="str">
        <f>估价对象房地状况!C21</f>
        <v>估价对象所在区域公共配套设施齐全</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137"/>
      <c r="Q27" s="1887" t="str">
        <f t="shared" ref="Q27" si="9">B27</f>
        <v>公共配套设施</v>
      </c>
      <c r="R27" s="749" t="s">
        <v>25</v>
      </c>
      <c r="S27" s="750">
        <f>F27</f>
        <v>100</v>
      </c>
      <c r="T27" s="749" t="s">
        <v>25</v>
      </c>
      <c r="U27" s="750">
        <f>H27</f>
        <v>100</v>
      </c>
      <c r="V27" s="749" t="s">
        <v>25</v>
      </c>
      <c r="W27" s="750">
        <f>J27</f>
        <v>100</v>
      </c>
      <c r="X27" s="1900"/>
      <c r="Y27" s="3137"/>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137"/>
      <c r="Q28" s="1899"/>
      <c r="R28" s="753"/>
      <c r="S28" s="754"/>
      <c r="T28" s="753"/>
      <c r="U28" s="754"/>
      <c r="V28" s="753"/>
      <c r="W28" s="754"/>
      <c r="X28" s="1900"/>
      <c r="Y28" s="3137"/>
      <c r="Z28" s="23"/>
      <c r="AA28" s="1903">
        <v>1</v>
      </c>
      <c r="AB28" s="1903">
        <v>1</v>
      </c>
      <c r="AC28" s="1903">
        <v>1</v>
      </c>
    </row>
    <row r="29" spans="1:29" s="35" customFormat="1" ht="42.75">
      <c r="A29" s="633"/>
      <c r="B29" s="1491" t="s">
        <v>2454</v>
      </c>
      <c r="C29" s="2487" t="str">
        <f>估价对象房地状况!C22</f>
        <v>估价对象所在区域基础设施水平达到七通一平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137"/>
      <c r="Q29" s="1887" t="str">
        <f t="shared" si="8"/>
        <v>基础设施水平</v>
      </c>
      <c r="R29" s="749" t="s">
        <v>25</v>
      </c>
      <c r="S29" s="750">
        <f>F29</f>
        <v>100</v>
      </c>
      <c r="T29" s="749" t="s">
        <v>25</v>
      </c>
      <c r="U29" s="750">
        <f>H29</f>
        <v>100</v>
      </c>
      <c r="V29" s="749" t="s">
        <v>25</v>
      </c>
      <c r="W29" s="750">
        <f>J29</f>
        <v>100</v>
      </c>
      <c r="X29" s="751"/>
      <c r="Y29" s="3137"/>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137"/>
      <c r="Q30" s="1887"/>
      <c r="R30" s="749"/>
      <c r="S30" s="750"/>
      <c r="T30" s="749"/>
      <c r="U30" s="750"/>
      <c r="V30" s="749"/>
      <c r="W30" s="750"/>
      <c r="X30" s="751"/>
      <c r="Y30" s="3137"/>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13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137"/>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137"/>
      <c r="Q32" s="1899" t="str">
        <f t="shared" si="8"/>
        <v>毗邻道路的类型与等级</v>
      </c>
      <c r="R32" s="753" t="s">
        <v>25</v>
      </c>
      <c r="S32" s="754">
        <f t="shared" si="10"/>
        <v>100</v>
      </c>
      <c r="T32" s="753" t="s">
        <v>25</v>
      </c>
      <c r="U32" s="754">
        <f t="shared" si="11"/>
        <v>100</v>
      </c>
      <c r="V32" s="753" t="s">
        <v>25</v>
      </c>
      <c r="W32" s="754">
        <f t="shared" si="12"/>
        <v>100</v>
      </c>
      <c r="X32" s="1900"/>
      <c r="Y32" s="313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137"/>
      <c r="Q33" s="1899"/>
      <c r="R33" s="753"/>
      <c r="S33" s="754"/>
      <c r="T33" s="753"/>
      <c r="U33" s="754"/>
      <c r="V33" s="753"/>
      <c r="W33" s="754"/>
      <c r="X33" s="1900"/>
      <c r="Y33" s="3137"/>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137"/>
      <c r="Q34" s="1899" t="str">
        <f t="shared" si="8"/>
        <v>土地级别</v>
      </c>
      <c r="R34" s="753" t="s">
        <v>25</v>
      </c>
      <c r="S34" s="754">
        <f t="shared" si="10"/>
        <v>100</v>
      </c>
      <c r="T34" s="753" t="s">
        <v>25</v>
      </c>
      <c r="U34" s="754">
        <f t="shared" si="11"/>
        <v>100</v>
      </c>
      <c r="V34" s="753" t="s">
        <v>25</v>
      </c>
      <c r="W34" s="754">
        <f t="shared" si="12"/>
        <v>100</v>
      </c>
      <c r="X34" s="1900"/>
      <c r="Y34" s="313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137"/>
      <c r="Q35" s="1899">
        <f t="shared" si="8"/>
        <v>111</v>
      </c>
      <c r="R35" s="753" t="s">
        <v>25</v>
      </c>
      <c r="S35" s="754">
        <f t="shared" si="10"/>
        <v>100</v>
      </c>
      <c r="T35" s="753" t="s">
        <v>25</v>
      </c>
      <c r="U35" s="754">
        <f t="shared" si="11"/>
        <v>100</v>
      </c>
      <c r="V35" s="753" t="s">
        <v>25</v>
      </c>
      <c r="W35" s="754">
        <f t="shared" si="12"/>
        <v>100</v>
      </c>
      <c r="X35" s="1900"/>
      <c r="Y35" s="313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286" t="s">
        <v>2373</v>
      </c>
      <c r="Q36" s="1899">
        <f t="shared" si="8"/>
        <v>111</v>
      </c>
      <c r="R36" s="753" t="s">
        <v>25</v>
      </c>
      <c r="S36" s="754">
        <f t="shared" si="10"/>
        <v>100</v>
      </c>
      <c r="T36" s="753" t="s">
        <v>25</v>
      </c>
      <c r="U36" s="754">
        <f t="shared" si="11"/>
        <v>100</v>
      </c>
      <c r="V36" s="753" t="s">
        <v>25</v>
      </c>
      <c r="W36" s="754">
        <f t="shared" si="12"/>
        <v>100</v>
      </c>
      <c r="X36" s="1900"/>
      <c r="Y36" s="3141"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141"/>
      <c r="Q37" s="1899">
        <f t="shared" si="8"/>
        <v>111</v>
      </c>
      <c r="R37" s="756" t="s">
        <v>25</v>
      </c>
      <c r="S37" s="757">
        <f t="shared" si="10"/>
        <v>100</v>
      </c>
      <c r="T37" s="756" t="s">
        <v>25</v>
      </c>
      <c r="U37" s="757">
        <f t="shared" si="11"/>
        <v>100</v>
      </c>
      <c r="V37" s="756" t="s">
        <v>25</v>
      </c>
      <c r="W37" s="757">
        <f t="shared" si="12"/>
        <v>100</v>
      </c>
      <c r="X37" s="758"/>
      <c r="Y37" s="3141"/>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141"/>
      <c r="Q38" s="1899" t="str">
        <f>B38</f>
        <v>宗地面积</v>
      </c>
      <c r="R38" s="753" t="s">
        <v>25</v>
      </c>
      <c r="S38" s="754" t="e">
        <f t="shared" si="10"/>
        <v>#N/A</v>
      </c>
      <c r="T38" s="753" t="s">
        <v>25</v>
      </c>
      <c r="U38" s="754" t="e">
        <f t="shared" si="11"/>
        <v>#N/A</v>
      </c>
      <c r="V38" s="753" t="s">
        <v>25</v>
      </c>
      <c r="W38" s="754" t="e">
        <f t="shared" si="12"/>
        <v>#N/A</v>
      </c>
      <c r="X38" s="1900"/>
      <c r="Y38" s="3141"/>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141"/>
      <c r="Q39" s="1899" t="str">
        <f t="shared" ref="Q39:Q45" si="14">B39</f>
        <v>宗地形状</v>
      </c>
      <c r="R39" s="753" t="s">
        <v>25</v>
      </c>
      <c r="S39" s="754">
        <f t="shared" si="10"/>
        <v>100</v>
      </c>
      <c r="T39" s="753" t="s">
        <v>25</v>
      </c>
      <c r="U39" s="754">
        <f t="shared" si="11"/>
        <v>100</v>
      </c>
      <c r="V39" s="753" t="s">
        <v>25</v>
      </c>
      <c r="W39" s="754">
        <f t="shared" si="12"/>
        <v>100</v>
      </c>
      <c r="X39" s="1900"/>
      <c r="Y39" s="3141"/>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141"/>
      <c r="Q40" s="1899" t="str">
        <f t="shared" si="14"/>
        <v>临街宽度及深度</v>
      </c>
      <c r="R40" s="753" t="s">
        <v>25</v>
      </c>
      <c r="S40" s="754">
        <f t="shared" si="10"/>
        <v>100</v>
      </c>
      <c r="T40" s="753" t="s">
        <v>25</v>
      </c>
      <c r="U40" s="754">
        <f t="shared" si="11"/>
        <v>100</v>
      </c>
      <c r="V40" s="753" t="s">
        <v>25</v>
      </c>
      <c r="W40" s="754">
        <f t="shared" si="12"/>
        <v>100</v>
      </c>
      <c r="X40" s="1900"/>
      <c r="Y40" s="3141"/>
      <c r="Z40" s="1902" t="str">
        <f t="shared" si="13"/>
        <v>临街宽度及深度</v>
      </c>
      <c r="AA40" s="1903">
        <f t="shared" si="3"/>
        <v>1</v>
      </c>
      <c r="AB40" s="1903">
        <f t="shared" si="4"/>
        <v>1</v>
      </c>
      <c r="AC40" s="1903">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141"/>
      <c r="Q41" s="1899" t="str">
        <f t="shared" si="14"/>
        <v>宗地开发程度</v>
      </c>
      <c r="R41" s="749" t="s">
        <v>25</v>
      </c>
      <c r="S41" s="750">
        <f t="shared" si="10"/>
        <v>100</v>
      </c>
      <c r="T41" s="749" t="s">
        <v>25</v>
      </c>
      <c r="U41" s="750">
        <f t="shared" si="11"/>
        <v>100</v>
      </c>
      <c r="V41" s="749" t="s">
        <v>25</v>
      </c>
      <c r="W41" s="750">
        <f t="shared" si="12"/>
        <v>100</v>
      </c>
      <c r="X41" s="751"/>
      <c r="Y41" s="3141"/>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141" t="s">
        <v>2373</v>
      </c>
      <c r="Q42" s="1899" t="str">
        <f t="shared" si="14"/>
        <v>工程地质条件</v>
      </c>
      <c r="R42" s="753" t="s">
        <v>25</v>
      </c>
      <c r="S42" s="754">
        <f t="shared" si="10"/>
        <v>100</v>
      </c>
      <c r="T42" s="753" t="s">
        <v>25</v>
      </c>
      <c r="U42" s="754">
        <f t="shared" si="11"/>
        <v>100</v>
      </c>
      <c r="V42" s="753" t="s">
        <v>25</v>
      </c>
      <c r="W42" s="754">
        <f t="shared" si="12"/>
        <v>100</v>
      </c>
      <c r="X42" s="1900"/>
      <c r="Y42" s="3141" t="s">
        <v>2373</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141"/>
      <c r="Q43" s="1899">
        <f t="shared" si="14"/>
        <v>111</v>
      </c>
      <c r="R43" s="753" t="s">
        <v>25</v>
      </c>
      <c r="S43" s="754">
        <f t="shared" si="10"/>
        <v>100</v>
      </c>
      <c r="T43" s="753" t="s">
        <v>25</v>
      </c>
      <c r="U43" s="754">
        <f t="shared" si="11"/>
        <v>100</v>
      </c>
      <c r="V43" s="753" t="s">
        <v>25</v>
      </c>
      <c r="W43" s="754">
        <f t="shared" si="12"/>
        <v>100</v>
      </c>
      <c r="X43" s="1900"/>
      <c r="Y43" s="3141"/>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141"/>
      <c r="Q44" s="1899">
        <f t="shared" si="14"/>
        <v>111</v>
      </c>
      <c r="R44" s="753" t="s">
        <v>25</v>
      </c>
      <c r="S44" s="754">
        <f t="shared" si="10"/>
        <v>100</v>
      </c>
      <c r="T44" s="753" t="s">
        <v>25</v>
      </c>
      <c r="U44" s="754">
        <f t="shared" si="11"/>
        <v>100</v>
      </c>
      <c r="V44" s="753" t="s">
        <v>25</v>
      </c>
      <c r="W44" s="754">
        <f t="shared" si="12"/>
        <v>100</v>
      </c>
      <c r="X44" s="1900"/>
      <c r="Y44" s="3141"/>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141"/>
      <c r="Q45" s="1899">
        <f t="shared" si="14"/>
        <v>111</v>
      </c>
      <c r="R45" s="756" t="s">
        <v>25</v>
      </c>
      <c r="S45" s="757">
        <f t="shared" si="10"/>
        <v>100</v>
      </c>
      <c r="T45" s="756" t="s">
        <v>25</v>
      </c>
      <c r="U45" s="757">
        <f t="shared" si="11"/>
        <v>100</v>
      </c>
      <c r="V45" s="756" t="s">
        <v>25</v>
      </c>
      <c r="W45" s="757">
        <f t="shared" si="12"/>
        <v>100</v>
      </c>
      <c r="X45" s="758"/>
      <c r="Y45" s="3141"/>
      <c r="Z45" s="759">
        <f t="shared" si="13"/>
        <v>111</v>
      </c>
      <c r="AA45" s="1903">
        <f t="shared" si="3"/>
        <v>1</v>
      </c>
      <c r="AB45" s="1903">
        <f t="shared" si="4"/>
        <v>1</v>
      </c>
      <c r="AC45" s="1903">
        <f t="shared" si="5"/>
        <v>1</v>
      </c>
    </row>
    <row r="46" spans="1:29" ht="15">
      <c r="A46" s="460" t="s">
        <v>2521</v>
      </c>
      <c r="B46" s="2491" t="s">
        <v>2558</v>
      </c>
      <c r="C46" s="665" t="s">
        <v>1</v>
      </c>
      <c r="D46" s="462"/>
      <c r="E46" s="463"/>
      <c r="F46" s="464"/>
      <c r="G46" s="465"/>
      <c r="H46" s="466"/>
      <c r="I46" s="463"/>
      <c r="J46" s="466"/>
      <c r="K46" s="762"/>
      <c r="L46" s="1256"/>
      <c r="M46" s="1257"/>
      <c r="N46" s="1244"/>
      <c r="O46" s="1257"/>
      <c r="P46" s="3133" t="str">
        <f>A46</f>
        <v>成交单价</v>
      </c>
      <c r="Q46" s="3133"/>
      <c r="R46" s="3170">
        <f>E46</f>
        <v>0</v>
      </c>
      <c r="S46" s="3170"/>
      <c r="T46" s="3170">
        <f>G46</f>
        <v>0</v>
      </c>
      <c r="U46" s="3170"/>
      <c r="V46" s="3170">
        <f>I46</f>
        <v>0</v>
      </c>
      <c r="W46" s="3170"/>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133" t="str">
        <f>A47</f>
        <v>比较价值（元/平方米）</v>
      </c>
      <c r="Q47" s="3133"/>
      <c r="R47" s="3287" t="e">
        <f>ROUND(PRODUCT(R46,AA7:AA45),0)</f>
        <v>#DIV/0!</v>
      </c>
      <c r="S47" s="3287"/>
      <c r="T47" s="3287" t="e">
        <f>ROUND(PRODUCT(T46,AB7:AB45),0)</f>
        <v>#DIV/0!</v>
      </c>
      <c r="U47" s="3287"/>
      <c r="V47" s="3287" t="e">
        <f>ROUND(PRODUCT(V46,AC7:AC45),0)</f>
        <v>#DIV/0!</v>
      </c>
      <c r="W47" s="3287"/>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130" t="str">
        <f>A48</f>
        <v>估价对象XX用房的比较价值（楼面单价，元/平方米）</v>
      </c>
      <c r="Q48" s="3131"/>
      <c r="R48" s="3288" t="e">
        <f>ROUND(AVERAGE(R47:V47),0)</f>
        <v>#DIV/0!</v>
      </c>
      <c r="S48" s="3288"/>
      <c r="T48" s="3288"/>
      <c r="U48" s="3288"/>
      <c r="V48" s="3288"/>
      <c r="W48" s="328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2016-5-1</v>
      </c>
      <c r="D68" s="1670">
        <f>EDATE(C68,-3)</f>
        <v>42401</v>
      </c>
      <c r="E68" s="1670">
        <f t="shared" ref="E68:O68" si="18">EDATE(D68,-3)</f>
        <v>42309</v>
      </c>
      <c r="F68" s="1670">
        <f t="shared" si="18"/>
        <v>42217</v>
      </c>
      <c r="G68" s="1670">
        <f t="shared" si="18"/>
        <v>42125</v>
      </c>
      <c r="H68" s="1670">
        <f t="shared" si="18"/>
        <v>42036</v>
      </c>
      <c r="I68" s="1670">
        <f t="shared" si="18"/>
        <v>41944</v>
      </c>
      <c r="J68" s="1670">
        <f t="shared" si="18"/>
        <v>41852</v>
      </c>
      <c r="K68" s="1670">
        <f t="shared" si="18"/>
        <v>41760</v>
      </c>
      <c r="L68" s="1670">
        <f t="shared" si="18"/>
        <v>41671</v>
      </c>
      <c r="M68" s="1670">
        <f t="shared" si="18"/>
        <v>41579</v>
      </c>
      <c r="N68" s="1670">
        <f t="shared" si="18"/>
        <v>41487</v>
      </c>
      <c r="O68" s="1670">
        <f t="shared" si="18"/>
        <v>41395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5" t="s">
        <v>2578</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6" t="s">
        <v>2579</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160" t="s">
        <v>2343</v>
      </c>
      <c r="D4" s="3161"/>
      <c r="E4" s="3162" t="s">
        <v>2344</v>
      </c>
      <c r="F4" s="3163"/>
      <c r="G4" s="3160" t="s">
        <v>2345</v>
      </c>
      <c r="H4" s="3161"/>
      <c r="I4" s="3160" t="s">
        <v>2346</v>
      </c>
      <c r="J4" s="3161"/>
      <c r="K4" s="594" t="s">
        <v>2347</v>
      </c>
      <c r="L4" s="1243"/>
      <c r="M4" s="1244"/>
      <c r="N4" s="1244"/>
      <c r="O4" s="1244"/>
      <c r="P4" s="3164" t="s">
        <v>2348</v>
      </c>
      <c r="Q4" s="3165"/>
      <c r="R4" s="3149" t="s">
        <v>2344</v>
      </c>
      <c r="S4" s="3150"/>
      <c r="T4" s="3149" t="s">
        <v>2345</v>
      </c>
      <c r="U4" s="3150"/>
      <c r="V4" s="3170" t="s">
        <v>2346</v>
      </c>
      <c r="W4" s="3170"/>
      <c r="X4" s="1900"/>
      <c r="Y4" s="3149" t="s">
        <v>2348</v>
      </c>
      <c r="Z4" s="3150"/>
      <c r="AA4" s="3157" t="s">
        <v>2344</v>
      </c>
      <c r="AB4" s="3158" t="s">
        <v>2345</v>
      </c>
      <c r="AC4" s="3157" t="s">
        <v>2346</v>
      </c>
    </row>
    <row r="5" spans="1:29" ht="15">
      <c r="A5" s="383"/>
      <c r="B5" s="384"/>
      <c r="C5" s="3278" t="s">
        <v>2349</v>
      </c>
      <c r="D5" s="3146"/>
      <c r="E5" s="3277" t="s">
        <v>2350</v>
      </c>
      <c r="F5" s="3172"/>
      <c r="G5" s="3278" t="s">
        <v>2351</v>
      </c>
      <c r="H5" s="3146"/>
      <c r="I5" s="3278" t="s">
        <v>2352</v>
      </c>
      <c r="J5" s="3146"/>
      <c r="K5" s="594"/>
      <c r="L5" s="1243"/>
      <c r="M5" s="1244"/>
      <c r="N5" s="1244"/>
      <c r="O5" s="1244"/>
      <c r="P5" s="3166"/>
      <c r="Q5" s="3167"/>
      <c r="R5" s="3151"/>
      <c r="S5" s="3152"/>
      <c r="T5" s="3151"/>
      <c r="U5" s="3152"/>
      <c r="V5" s="3170"/>
      <c r="W5" s="3170"/>
      <c r="X5" s="1900"/>
      <c r="Y5" s="3151"/>
      <c r="Z5" s="3152"/>
      <c r="AA5" s="3158"/>
      <c r="AB5" s="3158"/>
      <c r="AC5" s="3158"/>
    </row>
    <row r="6" spans="1:29" ht="15.75" thickBot="1">
      <c r="A6" s="385"/>
      <c r="B6" s="386"/>
      <c r="C6" s="3143" t="s">
        <v>2353</v>
      </c>
      <c r="D6" s="3144"/>
      <c r="E6" s="3173" t="s">
        <v>2353</v>
      </c>
      <c r="F6" s="3174"/>
      <c r="G6" s="3143" t="s">
        <v>2353</v>
      </c>
      <c r="H6" s="3144"/>
      <c r="I6" s="3143" t="s">
        <v>2353</v>
      </c>
      <c r="J6" s="3144"/>
      <c r="K6" s="594" t="s">
        <v>2354</v>
      </c>
      <c r="L6" s="1243"/>
      <c r="M6" s="1244"/>
      <c r="N6" s="1244"/>
      <c r="O6" s="1244"/>
      <c r="P6" s="3168"/>
      <c r="Q6" s="3169"/>
      <c r="R6" s="3151"/>
      <c r="S6" s="3152"/>
      <c r="T6" s="3153"/>
      <c r="U6" s="3154"/>
      <c r="V6" s="3170"/>
      <c r="W6" s="3170"/>
      <c r="X6" s="1900"/>
      <c r="Y6" s="3153"/>
      <c r="Z6" s="3154"/>
      <c r="AA6" s="3159"/>
      <c r="AB6" s="3159"/>
      <c r="AC6" s="3159"/>
    </row>
    <row r="7" spans="1:29" s="35" customFormat="1" ht="15.75" thickBot="1">
      <c r="A7" s="387" t="s">
        <v>2355</v>
      </c>
      <c r="B7" s="388"/>
      <c r="C7" s="389">
        <f>'数据-取费表'!B2</f>
        <v>42510</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147" t="s">
        <v>2356</v>
      </c>
      <c r="Q7" s="3155"/>
      <c r="R7" s="749" t="s">
        <v>25</v>
      </c>
      <c r="S7" s="750">
        <f t="shared" ref="S7:S15" si="0">F7</f>
        <v>0</v>
      </c>
      <c r="T7" s="749" t="s">
        <v>25</v>
      </c>
      <c r="U7" s="750">
        <f t="shared" ref="U7:U15" si="1">H7</f>
        <v>0</v>
      </c>
      <c r="V7" s="749" t="s">
        <v>25</v>
      </c>
      <c r="W7" s="750">
        <f t="shared" ref="W7:W15" si="2">J7</f>
        <v>0</v>
      </c>
      <c r="X7" s="751"/>
      <c r="Y7" s="3147" t="s">
        <v>2356</v>
      </c>
      <c r="Z7" s="3148"/>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147" t="s">
        <v>2359</v>
      </c>
      <c r="Q8" s="3148"/>
      <c r="R8" s="749" t="s">
        <v>25</v>
      </c>
      <c r="S8" s="750">
        <f t="shared" si="0"/>
        <v>0</v>
      </c>
      <c r="T8" s="749" t="s">
        <v>25</v>
      </c>
      <c r="U8" s="750">
        <f t="shared" si="1"/>
        <v>0</v>
      </c>
      <c r="V8" s="749" t="s">
        <v>25</v>
      </c>
      <c r="W8" s="750">
        <f t="shared" si="2"/>
        <v>0</v>
      </c>
      <c r="X8" s="751"/>
      <c r="Y8" s="3147" t="s">
        <v>2359</v>
      </c>
      <c r="Z8" s="3148"/>
      <c r="AA8" s="752" t="e">
        <f t="shared" ref="AA8:AA40" si="3">D8/F8</f>
        <v>#DIV/0!</v>
      </c>
      <c r="AB8" s="752" t="e">
        <f t="shared" ref="AB8:AB40" si="4">D8/H8</f>
        <v>#DIV/0!</v>
      </c>
      <c r="AC8" s="752" t="e">
        <f t="shared" ref="AC8:AC40" si="5">D8/J8</f>
        <v>#DIV/0!</v>
      </c>
    </row>
    <row r="9" spans="1:29" s="35" customFormat="1">
      <c r="A9" s="395" t="s">
        <v>2360</v>
      </c>
      <c r="B9" s="28" t="s">
        <v>2361</v>
      </c>
      <c r="C9" s="2483" t="s">
        <v>2593</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133" t="s">
        <v>2362</v>
      </c>
      <c r="Q9" s="1887" t="str">
        <f t="shared" ref="Q9:Q15" si="6">B9</f>
        <v>用途</v>
      </c>
      <c r="R9" s="749" t="s">
        <v>25</v>
      </c>
      <c r="S9" s="750">
        <f t="shared" si="0"/>
        <v>100</v>
      </c>
      <c r="T9" s="749" t="s">
        <v>25</v>
      </c>
      <c r="U9" s="750">
        <f t="shared" si="1"/>
        <v>100</v>
      </c>
      <c r="V9" s="749" t="s">
        <v>25</v>
      </c>
      <c r="W9" s="750">
        <f t="shared" si="2"/>
        <v>100</v>
      </c>
      <c r="X9" s="751"/>
      <c r="Y9" s="2971"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133"/>
      <c r="Q10" s="1887" t="str">
        <f t="shared" si="6"/>
        <v>土地使用年限（年）</v>
      </c>
      <c r="R10" s="749" t="s">
        <v>25</v>
      </c>
      <c r="S10" s="750">
        <f t="shared" si="0"/>
        <v>106</v>
      </c>
      <c r="T10" s="749" t="s">
        <v>25</v>
      </c>
      <c r="U10" s="750">
        <f t="shared" si="1"/>
        <v>106</v>
      </c>
      <c r="V10" s="749" t="s">
        <v>25</v>
      </c>
      <c r="W10" s="750">
        <f t="shared" si="2"/>
        <v>106</v>
      </c>
      <c r="X10" s="751"/>
      <c r="Y10" s="2971"/>
      <c r="Z10" s="23" t="str">
        <f t="shared" si="7"/>
        <v>土地使用年限（年）</v>
      </c>
      <c r="AA10" s="752">
        <f t="shared" si="3"/>
        <v>0.94339622641509435</v>
      </c>
      <c r="AB10" s="752">
        <f t="shared" si="4"/>
        <v>0.94339622641509435</v>
      </c>
      <c r="AC10" s="752">
        <f t="shared" si="5"/>
        <v>0.94339622641509435</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133"/>
      <c r="Q11" s="1887" t="str">
        <f t="shared" si="6"/>
        <v>容积率</v>
      </c>
      <c r="R11" s="749" t="s">
        <v>25</v>
      </c>
      <c r="S11" s="750" t="e">
        <f t="shared" si="0"/>
        <v>#N/A</v>
      </c>
      <c r="T11" s="749" t="s">
        <v>25</v>
      </c>
      <c r="U11" s="750" t="e">
        <f t="shared" si="1"/>
        <v>#N/A</v>
      </c>
      <c r="V11" s="749" t="s">
        <v>25</v>
      </c>
      <c r="W11" s="750" t="e">
        <f t="shared" si="2"/>
        <v>#N/A</v>
      </c>
      <c r="X11" s="751"/>
      <c r="Y11" s="2971"/>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133"/>
      <c r="Q12" s="1887">
        <f t="shared" si="6"/>
        <v>111</v>
      </c>
      <c r="R12" s="749" t="s">
        <v>25</v>
      </c>
      <c r="S12" s="750">
        <f t="shared" si="0"/>
        <v>100</v>
      </c>
      <c r="T12" s="749" t="s">
        <v>25</v>
      </c>
      <c r="U12" s="750">
        <f t="shared" si="1"/>
        <v>100</v>
      </c>
      <c r="V12" s="749" t="s">
        <v>25</v>
      </c>
      <c r="W12" s="750">
        <f t="shared" si="2"/>
        <v>100</v>
      </c>
      <c r="X12" s="751"/>
      <c r="Y12" s="2971"/>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133"/>
      <c r="Q13" s="1887">
        <f t="shared" si="6"/>
        <v>111</v>
      </c>
      <c r="R13" s="749" t="s">
        <v>25</v>
      </c>
      <c r="S13" s="750">
        <f t="shared" si="0"/>
        <v>100</v>
      </c>
      <c r="T13" s="749" t="s">
        <v>25</v>
      </c>
      <c r="U13" s="750">
        <f t="shared" si="1"/>
        <v>100</v>
      </c>
      <c r="V13" s="749" t="s">
        <v>25</v>
      </c>
      <c r="W13" s="750">
        <f t="shared" si="2"/>
        <v>100</v>
      </c>
      <c r="X13" s="751"/>
      <c r="Y13" s="2971"/>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133"/>
      <c r="Q14" s="1887">
        <f t="shared" si="6"/>
        <v>111</v>
      </c>
      <c r="R14" s="749" t="s">
        <v>25</v>
      </c>
      <c r="S14" s="750">
        <f t="shared" si="0"/>
        <v>100</v>
      </c>
      <c r="T14" s="749" t="s">
        <v>25</v>
      </c>
      <c r="U14" s="750">
        <f t="shared" si="1"/>
        <v>100</v>
      </c>
      <c r="V14" s="749" t="s">
        <v>25</v>
      </c>
      <c r="W14" s="750">
        <f t="shared" si="2"/>
        <v>100</v>
      </c>
      <c r="X14" s="751"/>
      <c r="Y14" s="2971"/>
      <c r="Z14" s="23">
        <f t="shared" si="7"/>
        <v>111</v>
      </c>
      <c r="AA14" s="752">
        <f t="shared" si="3"/>
        <v>1</v>
      </c>
      <c r="AB14" s="752">
        <f t="shared" si="4"/>
        <v>1</v>
      </c>
      <c r="AC14" s="752">
        <f t="shared" si="5"/>
        <v>1</v>
      </c>
    </row>
    <row r="15" spans="1:29" ht="57">
      <c r="A15" s="419" t="s">
        <v>2366</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136" t="s">
        <v>2367</v>
      </c>
      <c r="Q15" s="1899" t="str">
        <f t="shared" si="6"/>
        <v>产业集聚程度</v>
      </c>
      <c r="R15" s="753" t="s">
        <v>25</v>
      </c>
      <c r="S15" s="754">
        <f t="shared" si="0"/>
        <v>100</v>
      </c>
      <c r="T15" s="753" t="s">
        <v>25</v>
      </c>
      <c r="U15" s="754">
        <f t="shared" si="1"/>
        <v>100</v>
      </c>
      <c r="V15" s="753" t="s">
        <v>25</v>
      </c>
      <c r="W15" s="754">
        <f t="shared" si="2"/>
        <v>100</v>
      </c>
      <c r="X15" s="1900"/>
      <c r="Y15" s="3136"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137"/>
      <c r="Q16" s="1899"/>
      <c r="R16" s="753"/>
      <c r="S16" s="754"/>
      <c r="T16" s="753"/>
      <c r="U16" s="754"/>
      <c r="V16" s="753"/>
      <c r="W16" s="754"/>
      <c r="X16" s="1900"/>
      <c r="Y16" s="3137"/>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137"/>
      <c r="Q17" s="1899" t="str">
        <f>B17</f>
        <v>交通便捷度</v>
      </c>
      <c r="R17" s="753" t="s">
        <v>25</v>
      </c>
      <c r="S17" s="754">
        <f>F17</f>
        <v>100</v>
      </c>
      <c r="T17" s="753" t="s">
        <v>25</v>
      </c>
      <c r="U17" s="754">
        <f>H17</f>
        <v>100</v>
      </c>
      <c r="V17" s="753" t="s">
        <v>25</v>
      </c>
      <c r="W17" s="754">
        <f>J17</f>
        <v>100</v>
      </c>
      <c r="X17" s="1900"/>
      <c r="Y17" s="313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137"/>
      <c r="Q18" s="1899"/>
      <c r="R18" s="753"/>
      <c r="S18" s="754"/>
      <c r="T18" s="753"/>
      <c r="U18" s="754"/>
      <c r="V18" s="753"/>
      <c r="W18" s="754"/>
      <c r="X18" s="1900"/>
      <c r="Y18" s="3137"/>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137"/>
      <c r="Q19" s="1899" t="str">
        <f t="shared" ref="Q19:Q33" si="8">B19</f>
        <v>区域土地利用方向</v>
      </c>
      <c r="R19" s="753" t="s">
        <v>25</v>
      </c>
      <c r="S19" s="754">
        <f>F19</f>
        <v>100</v>
      </c>
      <c r="T19" s="753" t="s">
        <v>25</v>
      </c>
      <c r="U19" s="754">
        <f>H19</f>
        <v>100</v>
      </c>
      <c r="V19" s="753" t="s">
        <v>25</v>
      </c>
      <c r="W19" s="754">
        <f>J19</f>
        <v>100</v>
      </c>
      <c r="X19" s="1900"/>
      <c r="Y19" s="313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137"/>
      <c r="Q20" s="1899"/>
      <c r="R20" s="753"/>
      <c r="S20" s="754"/>
      <c r="T20" s="753"/>
      <c r="U20" s="754"/>
      <c r="V20" s="753"/>
      <c r="W20" s="754"/>
      <c r="X20" s="1900"/>
      <c r="Y20" s="3137"/>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137"/>
      <c r="Q21" s="1899" t="str">
        <f t="shared" si="8"/>
        <v>环境状况</v>
      </c>
      <c r="R21" s="753" t="s">
        <v>25</v>
      </c>
      <c r="S21" s="754">
        <f>F21</f>
        <v>100</v>
      </c>
      <c r="T21" s="753" t="s">
        <v>25</v>
      </c>
      <c r="U21" s="754">
        <f>H21</f>
        <v>100</v>
      </c>
      <c r="V21" s="753" t="s">
        <v>25</v>
      </c>
      <c r="W21" s="754">
        <f>J21</f>
        <v>100</v>
      </c>
      <c r="X21" s="1900"/>
      <c r="Y21" s="313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137"/>
      <c r="Q22" s="1899"/>
      <c r="R22" s="753"/>
      <c r="S22" s="754"/>
      <c r="T22" s="753"/>
      <c r="U22" s="754"/>
      <c r="V22" s="753"/>
      <c r="W22" s="754"/>
      <c r="X22" s="1900"/>
      <c r="Y22" s="3137"/>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137"/>
      <c r="Q23" s="1887" t="str">
        <f t="shared" si="8"/>
        <v>公共配套设施</v>
      </c>
      <c r="R23" s="749" t="s">
        <v>25</v>
      </c>
      <c r="S23" s="750">
        <f>F23</f>
        <v>100</v>
      </c>
      <c r="T23" s="749" t="s">
        <v>25</v>
      </c>
      <c r="U23" s="750">
        <f>H23</f>
        <v>100</v>
      </c>
      <c r="V23" s="749" t="s">
        <v>25</v>
      </c>
      <c r="W23" s="750">
        <f>J23</f>
        <v>100</v>
      </c>
      <c r="X23" s="751"/>
      <c r="Y23" s="3137"/>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137"/>
      <c r="Q24" s="1887"/>
      <c r="R24" s="749"/>
      <c r="S24" s="750"/>
      <c r="T24" s="749"/>
      <c r="U24" s="750"/>
      <c r="V24" s="749"/>
      <c r="W24" s="750"/>
      <c r="X24" s="751"/>
      <c r="Y24" s="3137"/>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137"/>
      <c r="Q25" s="1887" t="str">
        <f t="shared" ref="Q25" si="9">B25</f>
        <v>基础设施水平</v>
      </c>
      <c r="R25" s="749" t="s">
        <v>25</v>
      </c>
      <c r="S25" s="750">
        <f>F25</f>
        <v>100</v>
      </c>
      <c r="T25" s="749" t="s">
        <v>25</v>
      </c>
      <c r="U25" s="750">
        <f>H25</f>
        <v>100</v>
      </c>
      <c r="V25" s="749" t="s">
        <v>25</v>
      </c>
      <c r="W25" s="750">
        <f>J25</f>
        <v>100</v>
      </c>
      <c r="X25" s="751"/>
      <c r="Y25" s="3137"/>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137"/>
      <c r="Q26" s="1887"/>
      <c r="R26" s="749"/>
      <c r="S26" s="750"/>
      <c r="T26" s="749"/>
      <c r="U26" s="750"/>
      <c r="V26" s="749"/>
      <c r="W26" s="750"/>
      <c r="X26" s="751"/>
      <c r="Y26" s="3137"/>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13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137"/>
      <c r="Z27" s="1902" t="str">
        <f t="shared" ref="Z27:Z40" si="13">Q27</f>
        <v>临街状况</v>
      </c>
      <c r="AA27" s="1903">
        <f t="shared" si="3"/>
        <v>1</v>
      </c>
      <c r="AB27" s="1903">
        <f t="shared" si="4"/>
        <v>1</v>
      </c>
      <c r="AC27" s="1903">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137"/>
      <c r="Q28" s="1899" t="str">
        <f t="shared" si="8"/>
        <v>毗邻道路的类型与等级</v>
      </c>
      <c r="R28" s="753" t="s">
        <v>25</v>
      </c>
      <c r="S28" s="754">
        <f t="shared" si="10"/>
        <v>100</v>
      </c>
      <c r="T28" s="753" t="s">
        <v>25</v>
      </c>
      <c r="U28" s="754">
        <f t="shared" si="11"/>
        <v>100</v>
      </c>
      <c r="V28" s="753" t="s">
        <v>25</v>
      </c>
      <c r="W28" s="754">
        <f t="shared" si="12"/>
        <v>100</v>
      </c>
      <c r="X28" s="1900"/>
      <c r="Y28" s="313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137"/>
      <c r="Q29" s="1899"/>
      <c r="R29" s="753"/>
      <c r="S29" s="754"/>
      <c r="T29" s="753"/>
      <c r="U29" s="754"/>
      <c r="V29" s="753"/>
      <c r="W29" s="754"/>
      <c r="X29" s="1900"/>
      <c r="Y29" s="3137"/>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137"/>
      <c r="Q30" s="1899" t="str">
        <f t="shared" si="8"/>
        <v>土地级别</v>
      </c>
      <c r="R30" s="753" t="s">
        <v>25</v>
      </c>
      <c r="S30" s="754">
        <f t="shared" si="10"/>
        <v>100</v>
      </c>
      <c r="T30" s="753" t="s">
        <v>25</v>
      </c>
      <c r="U30" s="754">
        <f t="shared" si="11"/>
        <v>100</v>
      </c>
      <c r="V30" s="753" t="s">
        <v>25</v>
      </c>
      <c r="W30" s="754">
        <f t="shared" si="12"/>
        <v>100</v>
      </c>
      <c r="X30" s="1900"/>
      <c r="Y30" s="3137"/>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137"/>
      <c r="Q31" s="1899">
        <f t="shared" si="8"/>
        <v>111</v>
      </c>
      <c r="R31" s="753" t="s">
        <v>25</v>
      </c>
      <c r="S31" s="754">
        <f t="shared" si="10"/>
        <v>100</v>
      </c>
      <c r="T31" s="753" t="s">
        <v>25</v>
      </c>
      <c r="U31" s="754">
        <f t="shared" si="11"/>
        <v>100</v>
      </c>
      <c r="V31" s="753" t="s">
        <v>25</v>
      </c>
      <c r="W31" s="754">
        <f t="shared" si="12"/>
        <v>100</v>
      </c>
      <c r="X31" s="1900"/>
      <c r="Y31" s="3137"/>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286" t="s">
        <v>2373</v>
      </c>
      <c r="Q32" s="1899">
        <f t="shared" si="8"/>
        <v>111</v>
      </c>
      <c r="R32" s="753" t="s">
        <v>25</v>
      </c>
      <c r="S32" s="754">
        <f t="shared" si="10"/>
        <v>100</v>
      </c>
      <c r="T32" s="753" t="s">
        <v>25</v>
      </c>
      <c r="U32" s="754">
        <f t="shared" si="11"/>
        <v>100</v>
      </c>
      <c r="V32" s="753" t="s">
        <v>25</v>
      </c>
      <c r="W32" s="754">
        <f t="shared" si="12"/>
        <v>100</v>
      </c>
      <c r="X32" s="1900"/>
      <c r="Y32" s="3141" t="s">
        <v>2373</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141"/>
      <c r="Q33" s="1899">
        <f t="shared" si="8"/>
        <v>111</v>
      </c>
      <c r="R33" s="756" t="s">
        <v>25</v>
      </c>
      <c r="S33" s="757">
        <f t="shared" si="10"/>
        <v>100</v>
      </c>
      <c r="T33" s="756" t="s">
        <v>25</v>
      </c>
      <c r="U33" s="757">
        <f t="shared" si="11"/>
        <v>100</v>
      </c>
      <c r="V33" s="756" t="s">
        <v>25</v>
      </c>
      <c r="W33" s="757">
        <f t="shared" si="12"/>
        <v>100</v>
      </c>
      <c r="X33" s="758"/>
      <c r="Y33" s="3141"/>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141"/>
      <c r="Q34" s="1899" t="str">
        <f>B34</f>
        <v>宗地面积</v>
      </c>
      <c r="R34" s="753" t="s">
        <v>25</v>
      </c>
      <c r="S34" s="754" t="e">
        <f t="shared" si="10"/>
        <v>#N/A</v>
      </c>
      <c r="T34" s="753" t="s">
        <v>25</v>
      </c>
      <c r="U34" s="754" t="e">
        <f t="shared" si="11"/>
        <v>#N/A</v>
      </c>
      <c r="V34" s="753" t="s">
        <v>25</v>
      </c>
      <c r="W34" s="754" t="e">
        <f t="shared" si="12"/>
        <v>#N/A</v>
      </c>
      <c r="X34" s="1900"/>
      <c r="Y34" s="3141"/>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141"/>
      <c r="Q35" s="1899" t="str">
        <f t="shared" ref="Q35:Q40" si="14">B35</f>
        <v>宗地形状</v>
      </c>
      <c r="R35" s="753" t="s">
        <v>25</v>
      </c>
      <c r="S35" s="754">
        <f t="shared" si="10"/>
        <v>100</v>
      </c>
      <c r="T35" s="753" t="s">
        <v>25</v>
      </c>
      <c r="U35" s="754">
        <f t="shared" si="11"/>
        <v>100</v>
      </c>
      <c r="V35" s="753" t="s">
        <v>25</v>
      </c>
      <c r="W35" s="754">
        <f t="shared" si="12"/>
        <v>100</v>
      </c>
      <c r="X35" s="1900"/>
      <c r="Y35" s="3141"/>
      <c r="Z35" s="1902" t="str">
        <f t="shared" si="13"/>
        <v>宗地形状</v>
      </c>
      <c r="AA35" s="1903">
        <f t="shared" si="3"/>
        <v>1</v>
      </c>
      <c r="AB35" s="1903">
        <f t="shared" si="4"/>
        <v>1</v>
      </c>
      <c r="AC35" s="1903">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141"/>
      <c r="Q36" s="1899" t="str">
        <f t="shared" si="14"/>
        <v>宗地开发程度</v>
      </c>
      <c r="R36" s="749" t="s">
        <v>25</v>
      </c>
      <c r="S36" s="750">
        <f t="shared" si="10"/>
        <v>100</v>
      </c>
      <c r="T36" s="749" t="s">
        <v>25</v>
      </c>
      <c r="U36" s="750">
        <f t="shared" si="11"/>
        <v>100</v>
      </c>
      <c r="V36" s="749" t="s">
        <v>25</v>
      </c>
      <c r="W36" s="750">
        <f t="shared" si="12"/>
        <v>100</v>
      </c>
      <c r="X36" s="751"/>
      <c r="Y36" s="3141"/>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141" t="s">
        <v>2373</v>
      </c>
      <c r="Q37" s="1899" t="str">
        <f t="shared" si="14"/>
        <v>工程地质条件</v>
      </c>
      <c r="R37" s="753" t="s">
        <v>25</v>
      </c>
      <c r="S37" s="754">
        <f t="shared" si="10"/>
        <v>100</v>
      </c>
      <c r="T37" s="753" t="s">
        <v>25</v>
      </c>
      <c r="U37" s="754">
        <f t="shared" si="11"/>
        <v>100</v>
      </c>
      <c r="V37" s="753" t="s">
        <v>25</v>
      </c>
      <c r="W37" s="754">
        <f t="shared" si="12"/>
        <v>100</v>
      </c>
      <c r="X37" s="1900"/>
      <c r="Y37" s="3141" t="s">
        <v>2373</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141"/>
      <c r="Q38" s="1899">
        <f t="shared" si="14"/>
        <v>111</v>
      </c>
      <c r="R38" s="753" t="s">
        <v>25</v>
      </c>
      <c r="S38" s="754">
        <f t="shared" si="10"/>
        <v>100</v>
      </c>
      <c r="T38" s="753" t="s">
        <v>25</v>
      </c>
      <c r="U38" s="754">
        <f t="shared" si="11"/>
        <v>100</v>
      </c>
      <c r="V38" s="753" t="s">
        <v>25</v>
      </c>
      <c r="W38" s="754">
        <f t="shared" si="12"/>
        <v>100</v>
      </c>
      <c r="X38" s="1900"/>
      <c r="Y38" s="3141"/>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141"/>
      <c r="Q39" s="1899">
        <f t="shared" si="14"/>
        <v>111</v>
      </c>
      <c r="R39" s="753" t="s">
        <v>25</v>
      </c>
      <c r="S39" s="754">
        <f t="shared" si="10"/>
        <v>100</v>
      </c>
      <c r="T39" s="753" t="s">
        <v>25</v>
      </c>
      <c r="U39" s="754">
        <f t="shared" si="11"/>
        <v>100</v>
      </c>
      <c r="V39" s="753" t="s">
        <v>25</v>
      </c>
      <c r="W39" s="754">
        <f t="shared" si="12"/>
        <v>100</v>
      </c>
      <c r="X39" s="1900"/>
      <c r="Y39" s="3141"/>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141"/>
      <c r="Q40" s="1899">
        <f t="shared" si="14"/>
        <v>111</v>
      </c>
      <c r="R40" s="756" t="s">
        <v>25</v>
      </c>
      <c r="S40" s="757">
        <f t="shared" si="10"/>
        <v>100</v>
      </c>
      <c r="T40" s="756" t="s">
        <v>25</v>
      </c>
      <c r="U40" s="757">
        <f t="shared" si="11"/>
        <v>100</v>
      </c>
      <c r="V40" s="756" t="s">
        <v>25</v>
      </c>
      <c r="W40" s="757">
        <f t="shared" si="12"/>
        <v>100</v>
      </c>
      <c r="X40" s="758"/>
      <c r="Y40" s="3141"/>
      <c r="Z40" s="759">
        <f t="shared" si="13"/>
        <v>111</v>
      </c>
      <c r="AA40" s="1903">
        <f t="shared" si="3"/>
        <v>1</v>
      </c>
      <c r="AB40" s="1903">
        <f t="shared" si="4"/>
        <v>1</v>
      </c>
      <c r="AC40" s="1903">
        <f t="shared" si="5"/>
        <v>1</v>
      </c>
    </row>
    <row r="41" spans="1:29" ht="15">
      <c r="A41" s="460" t="s">
        <v>2521</v>
      </c>
      <c r="B41" s="2491" t="s">
        <v>2596</v>
      </c>
      <c r="C41" s="665" t="s">
        <v>1</v>
      </c>
      <c r="D41" s="462"/>
      <c r="E41" s="463"/>
      <c r="F41" s="464"/>
      <c r="G41" s="465"/>
      <c r="H41" s="466"/>
      <c r="I41" s="463"/>
      <c r="J41" s="466"/>
      <c r="K41" s="762"/>
      <c r="L41" s="1256"/>
      <c r="M41" s="1244"/>
      <c r="N41" s="1244"/>
      <c r="O41" s="1257"/>
      <c r="P41" s="3133" t="str">
        <f>A41</f>
        <v>成交单价</v>
      </c>
      <c r="Q41" s="3133"/>
      <c r="R41" s="3170">
        <f>E41</f>
        <v>0</v>
      </c>
      <c r="S41" s="3170"/>
      <c r="T41" s="3170">
        <f>G41</f>
        <v>0</v>
      </c>
      <c r="U41" s="3170"/>
      <c r="V41" s="3170">
        <f>I41</f>
        <v>0</v>
      </c>
      <c r="W41" s="3170"/>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133" t="str">
        <f>A42</f>
        <v>比较价值（元/平方米）</v>
      </c>
      <c r="Q42" s="3133"/>
      <c r="R42" s="3287" t="e">
        <f>ROUND(PRODUCT(R41,AA7:AA40),0)</f>
        <v>#DIV/0!</v>
      </c>
      <c r="S42" s="3287"/>
      <c r="T42" s="3287" t="e">
        <f>ROUND(PRODUCT(T41,AB7:AB40),0)</f>
        <v>#DIV/0!</v>
      </c>
      <c r="U42" s="3287"/>
      <c r="V42" s="3287" t="e">
        <f>ROUND(PRODUCT(V41,AC7:AC40),0)</f>
        <v>#DIV/0!</v>
      </c>
      <c r="W42" s="3287"/>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130" t="str">
        <f>A43</f>
        <v>估价对象XX用房的比较价值（楼面单价，元/平方米）</v>
      </c>
      <c r="Q43" s="3131"/>
      <c r="R43" s="3288" t="e">
        <f>ROUND(AVERAGE(R42:V42),0)</f>
        <v>#DIV/0!</v>
      </c>
      <c r="S43" s="3288"/>
      <c r="T43" s="3288"/>
      <c r="U43" s="3288"/>
      <c r="V43" s="3288"/>
      <c r="W43" s="328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2" t="s">
        <v>2561</v>
      </c>
      <c r="D50" s="2493"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2016-5-1</v>
      </c>
      <c r="D63" s="1670">
        <f>EDATE(C63,-3)</f>
        <v>42401</v>
      </c>
      <c r="E63" s="1670">
        <f t="shared" ref="E63:O63" si="18">EDATE(D63,-3)</f>
        <v>42309</v>
      </c>
      <c r="F63" s="1670">
        <f t="shared" si="18"/>
        <v>42217</v>
      </c>
      <c r="G63" s="1670">
        <f t="shared" si="18"/>
        <v>42125</v>
      </c>
      <c r="H63" s="1670">
        <f t="shared" si="18"/>
        <v>42036</v>
      </c>
      <c r="I63" s="1670">
        <f t="shared" si="18"/>
        <v>41944</v>
      </c>
      <c r="J63" s="1670">
        <f t="shared" si="18"/>
        <v>41852</v>
      </c>
      <c r="K63" s="1670">
        <f t="shared" si="18"/>
        <v>41760</v>
      </c>
      <c r="L63" s="1670">
        <f t="shared" si="18"/>
        <v>41671</v>
      </c>
      <c r="M63" s="1670">
        <f t="shared" si="18"/>
        <v>41579</v>
      </c>
      <c r="N63" s="1670">
        <f t="shared" si="18"/>
        <v>41487</v>
      </c>
      <c r="O63" s="1670">
        <f t="shared" si="18"/>
        <v>41395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5" t="s">
        <v>2578</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1" t="s">
        <v>2598</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289" t="s">
        <v>787</v>
      </c>
      <c r="B1" s="3289"/>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估价对象紧邻城市主干道—新华西街，周边有316路、372路、582路、666路等多条公交线路通过，综合评价交通便捷度较好。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估价对象所在区域公共配套设施齐全</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区域自然环境：西海子公园、通惠河；人文环境北京市通州区博物馆、新华书店；综合评价环境状况较好。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估价对象紧邻城市主干道—新华西街，周边有316路、372路、582路、666路等多条公交线路通过，综合评价交通便捷度较好。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估价对象所在区域公共配套设施齐全</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区域自然环境：西海子公园、通惠河；人文环境北京市通州区博物馆、新华书店；综合评价环境状况较好。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估价对象周边有富力金禧花园、怡佳家园、摩卡空间、帅府园等住宅小区，综合评价居住社区成熟度较好。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6.5000000000000002E-2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估价对象紧邻城市主干道—新华西街，周边有316路、372路、582路、666路等多条公交线路通过，综合评价交通便捷度较好。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估价对象所在区域公共配套设施齐全</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区域自然环境：西海子公园、通惠河；人文环境北京市通州区博物馆、新华书店；综合评价环境状况较好。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89" t="s">
        <v>105</v>
      </c>
      <c r="B1" s="3289"/>
      <c r="C1" s="3289"/>
      <c r="D1" s="3289"/>
      <c r="E1" s="3289"/>
      <c r="F1" s="328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90" t="s">
        <v>118</v>
      </c>
      <c r="B2" s="3290"/>
      <c r="C2" s="3290"/>
      <c r="D2" s="3290"/>
      <c r="E2" s="3290"/>
      <c r="F2" s="329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9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9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10240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293" t="s">
        <v>132</v>
      </c>
      <c r="B18" s="907" t="s">
        <v>517</v>
      </c>
      <c r="C18" s="908" t="s">
        <v>518</v>
      </c>
      <c r="D18" s="909"/>
      <c r="E18" s="907">
        <v>1</v>
      </c>
      <c r="F18" s="910" t="s">
        <v>519</v>
      </c>
      <c r="G18" s="911"/>
      <c r="H18" s="903"/>
      <c r="I18" s="903"/>
    </row>
    <row r="19" spans="1:9" s="912" customFormat="1" ht="19.5" customHeight="1">
      <c r="A19" s="3293"/>
      <c r="B19" s="3293" t="s">
        <v>520</v>
      </c>
      <c r="C19" s="908" t="s">
        <v>521</v>
      </c>
      <c r="D19" s="909"/>
      <c r="E19" s="907">
        <v>0.9</v>
      </c>
      <c r="F19" s="910" t="s">
        <v>522</v>
      </c>
      <c r="G19" s="911"/>
      <c r="H19" s="903"/>
      <c r="I19" s="903"/>
    </row>
    <row r="20" spans="1:9" s="912" customFormat="1" ht="19.5" customHeight="1">
      <c r="A20" s="3293"/>
      <c r="B20" s="3293"/>
      <c r="C20" s="908" t="s">
        <v>523</v>
      </c>
      <c r="D20" s="909"/>
      <c r="E20" s="907">
        <v>1.1000000000000001</v>
      </c>
      <c r="F20" s="910" t="s">
        <v>524</v>
      </c>
      <c r="G20" s="911"/>
      <c r="H20" s="903"/>
      <c r="I20" s="903"/>
    </row>
    <row r="21" spans="1:9" s="912" customFormat="1" ht="19.5" customHeight="1">
      <c r="A21" s="3293"/>
      <c r="B21" s="3293"/>
      <c r="C21" s="908" t="s">
        <v>525</v>
      </c>
      <c r="D21" s="909"/>
      <c r="E21" s="907">
        <v>0.8</v>
      </c>
      <c r="F21" s="910" t="s">
        <v>526</v>
      </c>
      <c r="G21" s="911"/>
      <c r="H21" s="903"/>
      <c r="I21" s="903"/>
    </row>
    <row r="22" spans="1:9" s="912" customFormat="1" ht="19.5" customHeight="1">
      <c r="A22" s="3293"/>
      <c r="B22" s="3293"/>
      <c r="C22" s="908" t="s">
        <v>527</v>
      </c>
      <c r="D22" s="909"/>
      <c r="E22" s="907">
        <v>0.5</v>
      </c>
      <c r="F22" s="910"/>
      <c r="G22" s="911"/>
      <c r="H22" s="903"/>
      <c r="I22" s="903"/>
    </row>
    <row r="23" spans="1:9" s="912" customFormat="1" ht="19.5" customHeight="1">
      <c r="A23" s="3293" t="s">
        <v>133</v>
      </c>
      <c r="B23" s="907" t="s">
        <v>517</v>
      </c>
      <c r="C23" s="908" t="s">
        <v>528</v>
      </c>
      <c r="D23" s="909"/>
      <c r="E23" s="907">
        <v>1</v>
      </c>
      <c r="F23" s="910" t="s">
        <v>529</v>
      </c>
      <c r="G23" s="911"/>
      <c r="H23" s="903"/>
      <c r="I23" s="903"/>
    </row>
    <row r="24" spans="1:9" s="912" customFormat="1" ht="19.5" customHeight="1">
      <c r="A24" s="3293"/>
      <c r="B24" s="3293" t="s">
        <v>520</v>
      </c>
      <c r="C24" s="908" t="s">
        <v>530</v>
      </c>
      <c r="D24" s="909"/>
      <c r="E24" s="907">
        <v>0.5</v>
      </c>
      <c r="F24" s="910"/>
      <c r="G24" s="911"/>
      <c r="H24" s="903"/>
      <c r="I24" s="903"/>
    </row>
    <row r="25" spans="1:9" s="912" customFormat="1" ht="19.5" customHeight="1">
      <c r="A25" s="3293"/>
      <c r="B25" s="3293"/>
      <c r="C25" s="908" t="s">
        <v>531</v>
      </c>
      <c r="D25" s="909"/>
      <c r="E25" s="907">
        <v>1.1000000000000001</v>
      </c>
      <c r="F25" s="910"/>
      <c r="G25" s="911"/>
      <c r="H25" s="903"/>
      <c r="I25" s="903"/>
    </row>
    <row r="26" spans="1:9" s="912" customFormat="1" ht="19.5" customHeight="1">
      <c r="A26" s="3293"/>
      <c r="B26" s="3293"/>
      <c r="C26" s="908" t="s">
        <v>532</v>
      </c>
      <c r="D26" s="909"/>
      <c r="E26" s="907">
        <v>1.1000000000000001</v>
      </c>
      <c r="F26" s="910"/>
      <c r="G26" s="911"/>
      <c r="H26" s="903"/>
      <c r="I26" s="903"/>
    </row>
    <row r="27" spans="1:9" s="912" customFormat="1" ht="19.5" customHeight="1">
      <c r="A27" s="3293"/>
      <c r="B27" s="3293"/>
      <c r="C27" s="908" t="s">
        <v>533</v>
      </c>
      <c r="D27" s="909"/>
      <c r="E27" s="907">
        <v>0.9</v>
      </c>
      <c r="F27" s="910" t="s">
        <v>534</v>
      </c>
      <c r="G27" s="911"/>
      <c r="H27" s="903"/>
      <c r="I27" s="903"/>
    </row>
    <row r="28" spans="1:9" s="912" customFormat="1" ht="19.5" customHeight="1">
      <c r="A28" s="3293"/>
      <c r="B28" s="3293"/>
      <c r="C28" s="908" t="s">
        <v>535</v>
      </c>
      <c r="D28" s="909"/>
      <c r="E28" s="907">
        <v>0.9</v>
      </c>
      <c r="F28" s="910" t="s">
        <v>536</v>
      </c>
      <c r="G28" s="911"/>
      <c r="H28" s="903"/>
      <c r="I28" s="903"/>
    </row>
    <row r="29" spans="1:9" s="912" customFormat="1" ht="19.5" customHeight="1">
      <c r="A29" s="3293"/>
      <c r="B29" s="3293"/>
      <c r="C29" s="908" t="s">
        <v>537</v>
      </c>
      <c r="D29" s="909"/>
      <c r="E29" s="907">
        <v>0.9</v>
      </c>
      <c r="F29" s="910" t="s">
        <v>538</v>
      </c>
      <c r="G29" s="911"/>
      <c r="H29" s="903"/>
      <c r="I29" s="903"/>
    </row>
    <row r="30" spans="1:9" s="912" customFormat="1" ht="19.5" customHeight="1">
      <c r="A30" s="3293"/>
      <c r="B30" s="3293"/>
      <c r="C30" s="908" t="s">
        <v>539</v>
      </c>
      <c r="D30" s="909"/>
      <c r="E30" s="907">
        <v>0.9</v>
      </c>
      <c r="F30" s="910" t="s">
        <v>540</v>
      </c>
      <c r="G30" s="911"/>
      <c r="H30" s="903"/>
      <c r="I30" s="903"/>
    </row>
    <row r="31" spans="1:9" s="912" customFormat="1" ht="19.5" customHeight="1">
      <c r="A31" s="3293"/>
      <c r="B31" s="3293"/>
      <c r="C31" s="908" t="s">
        <v>541</v>
      </c>
      <c r="D31" s="909"/>
      <c r="E31" s="907">
        <v>0.8</v>
      </c>
      <c r="F31" s="910" t="s">
        <v>542</v>
      </c>
      <c r="G31" s="911"/>
      <c r="H31" s="903"/>
      <c r="I31" s="903"/>
    </row>
    <row r="32" spans="1:9" s="912" customFormat="1" ht="19.5" customHeight="1">
      <c r="A32" s="3293"/>
      <c r="B32" s="3293"/>
      <c r="C32" s="908" t="s">
        <v>543</v>
      </c>
      <c r="D32" s="909"/>
      <c r="E32" s="907">
        <v>0.8</v>
      </c>
      <c r="F32" s="910" t="s">
        <v>544</v>
      </c>
      <c r="G32" s="911"/>
      <c r="H32" s="903"/>
      <c r="I32" s="903"/>
    </row>
    <row r="33" spans="1:9" s="912" customFormat="1" ht="19.5" customHeight="1">
      <c r="A33" s="3293" t="s">
        <v>134</v>
      </c>
      <c r="B33" s="907" t="s">
        <v>517</v>
      </c>
      <c r="C33" s="908" t="s">
        <v>545</v>
      </c>
      <c r="D33" s="909"/>
      <c r="E33" s="907">
        <v>1</v>
      </c>
      <c r="F33" s="910" t="s">
        <v>546</v>
      </c>
      <c r="G33" s="911"/>
      <c r="H33" s="903"/>
      <c r="I33" s="903"/>
    </row>
    <row r="34" spans="1:9" s="912" customFormat="1" ht="19.5" customHeight="1">
      <c r="A34" s="3293"/>
      <c r="B34" s="907" t="s">
        <v>520</v>
      </c>
      <c r="C34" s="908" t="s">
        <v>547</v>
      </c>
      <c r="D34" s="909"/>
      <c r="E34" s="907">
        <v>1.5</v>
      </c>
      <c r="F34" s="910" t="s">
        <v>548</v>
      </c>
      <c r="G34" s="911"/>
      <c r="H34" s="903"/>
      <c r="I34" s="903"/>
    </row>
    <row r="35" spans="1:9" s="912" customFormat="1" ht="19.5" customHeight="1">
      <c r="A35" s="3293" t="s">
        <v>135</v>
      </c>
      <c r="B35" s="907" t="s">
        <v>517</v>
      </c>
      <c r="C35" s="908" t="s">
        <v>549</v>
      </c>
      <c r="D35" s="909"/>
      <c r="E35" s="907">
        <v>1</v>
      </c>
      <c r="F35" s="910" t="s">
        <v>550</v>
      </c>
      <c r="G35" s="911"/>
      <c r="H35" s="903"/>
      <c r="I35" s="903"/>
    </row>
    <row r="36" spans="1:9" s="912" customFormat="1" ht="19.5" customHeight="1">
      <c r="A36" s="3293"/>
      <c r="B36" s="3293" t="s">
        <v>520</v>
      </c>
      <c r="C36" s="908" t="s">
        <v>551</v>
      </c>
      <c r="D36" s="909"/>
      <c r="E36" s="907">
        <v>1</v>
      </c>
      <c r="F36" s="910" t="s">
        <v>552</v>
      </c>
      <c r="G36" s="911"/>
      <c r="H36" s="903"/>
      <c r="I36" s="903"/>
    </row>
    <row r="37" spans="1:9" s="912" customFormat="1" ht="19.5" customHeight="1">
      <c r="A37" s="3293"/>
      <c r="B37" s="3293"/>
      <c r="C37" s="908" t="s">
        <v>553</v>
      </c>
      <c r="D37" s="909"/>
      <c r="E37" s="907">
        <v>1.5</v>
      </c>
      <c r="F37" s="910" t="s">
        <v>554</v>
      </c>
      <c r="G37" s="911"/>
      <c r="H37" s="903"/>
      <c r="I37" s="903"/>
    </row>
    <row r="38" spans="1:9" s="912" customFormat="1" ht="19.5" customHeight="1">
      <c r="A38" s="3293"/>
      <c r="B38" s="3293"/>
      <c r="C38" s="908" t="s">
        <v>555</v>
      </c>
      <c r="D38" s="909"/>
      <c r="E38" s="907">
        <v>1</v>
      </c>
      <c r="F38" s="910" t="s">
        <v>556</v>
      </c>
      <c r="G38" s="911"/>
      <c r="H38" s="903"/>
      <c r="I38" s="903"/>
    </row>
    <row r="39" spans="1:9" s="912" customFormat="1" ht="19.5" customHeight="1">
      <c r="A39" s="3293"/>
      <c r="B39" s="329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293" t="s">
        <v>571</v>
      </c>
      <c r="C61" s="821" t="s">
        <v>572</v>
      </c>
      <c r="D61" s="821" t="s">
        <v>573</v>
      </c>
      <c r="E61" s="920">
        <v>0.5</v>
      </c>
      <c r="F61" s="907">
        <v>80</v>
      </c>
    </row>
    <row r="62" spans="1:8" s="903" customFormat="1" ht="24">
      <c r="A62" s="907">
        <v>2</v>
      </c>
      <c r="B62" s="3293"/>
      <c r="C62" s="821" t="s">
        <v>574</v>
      </c>
      <c r="D62" s="821" t="s">
        <v>575</v>
      </c>
      <c r="E62" s="920">
        <v>0.5</v>
      </c>
      <c r="F62" s="907">
        <v>80</v>
      </c>
    </row>
    <row r="63" spans="1:8" s="903" customFormat="1" ht="36">
      <c r="A63" s="907">
        <v>3</v>
      </c>
      <c r="B63" s="3293"/>
      <c r="C63" s="821" t="s">
        <v>576</v>
      </c>
      <c r="D63" s="821" t="s">
        <v>577</v>
      </c>
      <c r="E63" s="920">
        <v>0.5</v>
      </c>
      <c r="F63" s="907">
        <v>80</v>
      </c>
    </row>
    <row r="64" spans="1:8" s="903" customFormat="1" ht="36">
      <c r="A64" s="907">
        <v>4</v>
      </c>
      <c r="B64" s="3293"/>
      <c r="C64" s="821" t="s">
        <v>578</v>
      </c>
      <c r="D64" s="821" t="s">
        <v>579</v>
      </c>
      <c r="E64" s="920">
        <v>0.4</v>
      </c>
      <c r="F64" s="907">
        <v>60</v>
      </c>
    </row>
    <row r="65" spans="1:6" s="903" customFormat="1" ht="36">
      <c r="A65" s="907">
        <v>5</v>
      </c>
      <c r="B65" s="3293"/>
      <c r="C65" s="821" t="s">
        <v>580</v>
      </c>
      <c r="D65" s="821" t="s">
        <v>581</v>
      </c>
      <c r="E65" s="920">
        <v>0.2</v>
      </c>
      <c r="F65" s="907">
        <v>30</v>
      </c>
    </row>
    <row r="66" spans="1:6" s="903" customFormat="1" ht="36">
      <c r="A66" s="907">
        <v>6</v>
      </c>
      <c r="B66" s="3293"/>
      <c r="C66" s="821" t="s">
        <v>582</v>
      </c>
      <c r="D66" s="821" t="s">
        <v>583</v>
      </c>
      <c r="E66" s="920">
        <v>0.3</v>
      </c>
      <c r="F66" s="907">
        <v>50</v>
      </c>
    </row>
    <row r="67" spans="1:6" s="903" customFormat="1" ht="36">
      <c r="A67" s="907">
        <v>7</v>
      </c>
      <c r="B67" s="3293"/>
      <c r="C67" s="821" t="s">
        <v>584</v>
      </c>
      <c r="D67" s="821" t="s">
        <v>585</v>
      </c>
      <c r="E67" s="920">
        <v>0.2</v>
      </c>
      <c r="F67" s="907">
        <v>30</v>
      </c>
    </row>
    <row r="68" spans="1:6" s="903" customFormat="1" ht="36">
      <c r="A68" s="907">
        <v>8</v>
      </c>
      <c r="B68" s="3293"/>
      <c r="C68" s="821" t="s">
        <v>586</v>
      </c>
      <c r="D68" s="821" t="s">
        <v>587</v>
      </c>
      <c r="E68" s="920">
        <v>0.2</v>
      </c>
      <c r="F68" s="907">
        <v>30</v>
      </c>
    </row>
    <row r="69" spans="1:6" s="903" customFormat="1" ht="36">
      <c r="A69" s="907">
        <v>9</v>
      </c>
      <c r="B69" s="3293"/>
      <c r="C69" s="821" t="s">
        <v>588</v>
      </c>
      <c r="D69" s="821" t="s">
        <v>589</v>
      </c>
      <c r="E69" s="920">
        <v>0.2</v>
      </c>
      <c r="F69" s="907">
        <v>30</v>
      </c>
    </row>
    <row r="70" spans="1:6" s="903" customFormat="1" ht="48">
      <c r="A70" s="907">
        <v>10</v>
      </c>
      <c r="B70" s="3293"/>
      <c r="C70" s="821" t="s">
        <v>590</v>
      </c>
      <c r="D70" s="821" t="s">
        <v>591</v>
      </c>
      <c r="E70" s="920">
        <v>0.2</v>
      </c>
      <c r="F70" s="907">
        <v>30</v>
      </c>
    </row>
    <row r="71" spans="1:6" s="903" customFormat="1" ht="48">
      <c r="A71" s="907">
        <v>11</v>
      </c>
      <c r="B71" s="3293"/>
      <c r="C71" s="821" t="s">
        <v>592</v>
      </c>
      <c r="D71" s="821" t="s">
        <v>593</v>
      </c>
      <c r="E71" s="920">
        <v>0.2</v>
      </c>
      <c r="F71" s="907">
        <v>30</v>
      </c>
    </row>
    <row r="72" spans="1:6" s="903" customFormat="1" ht="36">
      <c r="A72" s="907">
        <v>12</v>
      </c>
      <c r="B72" s="3293"/>
      <c r="C72" s="821" t="s">
        <v>594</v>
      </c>
      <c r="D72" s="821" t="s">
        <v>595</v>
      </c>
      <c r="E72" s="920">
        <v>0.5</v>
      </c>
      <c r="F72" s="907">
        <v>80</v>
      </c>
    </row>
    <row r="73" spans="1:6" s="903" customFormat="1" ht="24">
      <c r="A73" s="907">
        <v>13</v>
      </c>
      <c r="B73" s="3293"/>
      <c r="C73" s="821" t="s">
        <v>596</v>
      </c>
      <c r="D73" s="821" t="s">
        <v>597</v>
      </c>
      <c r="E73" s="920">
        <v>0.4</v>
      </c>
      <c r="F73" s="907">
        <v>60</v>
      </c>
    </row>
    <row r="74" spans="1:6" s="903" customFormat="1" ht="24">
      <c r="A74" s="907">
        <v>14</v>
      </c>
      <c r="B74" s="3293"/>
      <c r="C74" s="821" t="s">
        <v>598</v>
      </c>
      <c r="D74" s="821" t="s">
        <v>599</v>
      </c>
      <c r="E74" s="920">
        <v>0.2</v>
      </c>
      <c r="F74" s="907">
        <v>30</v>
      </c>
    </row>
    <row r="75" spans="1:6" s="903" customFormat="1" ht="24">
      <c r="A75" s="907">
        <v>15</v>
      </c>
      <c r="B75" s="3293"/>
      <c r="C75" s="821" t="s">
        <v>600</v>
      </c>
      <c r="D75" s="821" t="s">
        <v>601</v>
      </c>
      <c r="E75" s="920">
        <v>0.2</v>
      </c>
      <c r="F75" s="907">
        <v>30</v>
      </c>
    </row>
    <row r="76" spans="1:6" s="903" customFormat="1" ht="24">
      <c r="A76" s="907">
        <v>16</v>
      </c>
      <c r="B76" s="3293" t="s">
        <v>602</v>
      </c>
      <c r="C76" s="821" t="s">
        <v>603</v>
      </c>
      <c r="D76" s="821" t="s">
        <v>604</v>
      </c>
      <c r="E76" s="920">
        <v>0.5</v>
      </c>
      <c r="F76" s="907">
        <v>80</v>
      </c>
    </row>
    <row r="77" spans="1:6" s="903" customFormat="1" ht="24">
      <c r="A77" s="907">
        <v>17</v>
      </c>
      <c r="B77" s="3293"/>
      <c r="C77" s="821" t="s">
        <v>605</v>
      </c>
      <c r="D77" s="821" t="s">
        <v>606</v>
      </c>
      <c r="E77" s="920">
        <v>0.5</v>
      </c>
      <c r="F77" s="907">
        <v>80</v>
      </c>
    </row>
    <row r="78" spans="1:6" s="903" customFormat="1" ht="24">
      <c r="A78" s="907">
        <v>18</v>
      </c>
      <c r="B78" s="3293"/>
      <c r="C78" s="821" t="s">
        <v>607</v>
      </c>
      <c r="D78" s="821" t="s">
        <v>608</v>
      </c>
      <c r="E78" s="920">
        <v>0.2</v>
      </c>
      <c r="F78" s="907">
        <v>30</v>
      </c>
    </row>
    <row r="79" spans="1:6" s="903" customFormat="1" ht="24">
      <c r="A79" s="907">
        <v>19</v>
      </c>
      <c r="B79" s="3293"/>
      <c r="C79" s="821" t="s">
        <v>609</v>
      </c>
      <c r="D79" s="821" t="s">
        <v>610</v>
      </c>
      <c r="E79" s="920">
        <v>0.5</v>
      </c>
      <c r="F79" s="907">
        <v>80</v>
      </c>
    </row>
    <row r="80" spans="1:6" s="903" customFormat="1" ht="36">
      <c r="A80" s="907">
        <v>20</v>
      </c>
      <c r="B80" s="3293"/>
      <c r="C80" s="821" t="s">
        <v>611</v>
      </c>
      <c r="D80" s="821" t="s">
        <v>612</v>
      </c>
      <c r="E80" s="920">
        <v>0.2</v>
      </c>
      <c r="F80" s="907">
        <v>30</v>
      </c>
    </row>
    <row r="81" spans="1:6" s="903" customFormat="1" ht="36">
      <c r="A81" s="907">
        <v>21</v>
      </c>
      <c r="B81" s="3293"/>
      <c r="C81" s="821" t="s">
        <v>613</v>
      </c>
      <c r="D81" s="821" t="s">
        <v>614</v>
      </c>
      <c r="E81" s="920">
        <v>0.2</v>
      </c>
      <c r="F81" s="907">
        <v>30</v>
      </c>
    </row>
    <row r="82" spans="1:6" s="903" customFormat="1" ht="48">
      <c r="A82" s="907">
        <v>22</v>
      </c>
      <c r="B82" s="3293"/>
      <c r="C82" s="821" t="s">
        <v>615</v>
      </c>
      <c r="D82" s="821" t="s">
        <v>616</v>
      </c>
      <c r="E82" s="920">
        <v>0.2</v>
      </c>
      <c r="F82" s="907">
        <v>30</v>
      </c>
    </row>
    <row r="83" spans="1:6" s="903" customFormat="1" ht="48">
      <c r="A83" s="907">
        <v>23</v>
      </c>
      <c r="B83" s="3293"/>
      <c r="C83" s="821" t="s">
        <v>617</v>
      </c>
      <c r="D83" s="821" t="s">
        <v>618</v>
      </c>
      <c r="E83" s="920">
        <v>0.2</v>
      </c>
      <c r="F83" s="907">
        <v>30</v>
      </c>
    </row>
    <row r="84" spans="1:6" s="903" customFormat="1" ht="36">
      <c r="A84" s="907">
        <v>24</v>
      </c>
      <c r="B84" s="3293"/>
      <c r="C84" s="821" t="s">
        <v>619</v>
      </c>
      <c r="D84" s="821" t="s">
        <v>620</v>
      </c>
      <c r="E84" s="920">
        <v>0.2</v>
      </c>
      <c r="F84" s="907">
        <v>30</v>
      </c>
    </row>
    <row r="85" spans="1:6" s="903" customFormat="1" ht="36">
      <c r="A85" s="907">
        <v>25</v>
      </c>
      <c r="B85" s="3293"/>
      <c r="C85" s="821" t="s">
        <v>621</v>
      </c>
      <c r="D85" s="821" t="s">
        <v>622</v>
      </c>
      <c r="E85" s="920">
        <v>0.5</v>
      </c>
      <c r="F85" s="907">
        <v>80</v>
      </c>
    </row>
    <row r="86" spans="1:6" s="903" customFormat="1" ht="36">
      <c r="A86" s="907">
        <v>26</v>
      </c>
      <c r="B86" s="3293"/>
      <c r="C86" s="821" t="s">
        <v>623</v>
      </c>
      <c r="D86" s="821" t="s">
        <v>624</v>
      </c>
      <c r="E86" s="920">
        <v>0.2</v>
      </c>
      <c r="F86" s="907">
        <v>30</v>
      </c>
    </row>
    <row r="87" spans="1:6" s="903" customFormat="1" ht="36">
      <c r="A87" s="907">
        <v>27</v>
      </c>
      <c r="B87" s="3293"/>
      <c r="C87" s="821" t="s">
        <v>625</v>
      </c>
      <c r="D87" s="821" t="s">
        <v>626</v>
      </c>
      <c r="E87" s="920">
        <v>0.2</v>
      </c>
      <c r="F87" s="907">
        <v>30</v>
      </c>
    </row>
    <row r="88" spans="1:6" s="903" customFormat="1" ht="36">
      <c r="A88" s="907">
        <v>28</v>
      </c>
      <c r="B88" s="3293"/>
      <c r="C88" s="821" t="s">
        <v>627</v>
      </c>
      <c r="D88" s="821" t="s">
        <v>628</v>
      </c>
      <c r="E88" s="920">
        <v>0.2</v>
      </c>
      <c r="F88" s="907">
        <v>30</v>
      </c>
    </row>
    <row r="89" spans="1:6" s="903" customFormat="1" ht="24">
      <c r="A89" s="907">
        <v>29</v>
      </c>
      <c r="B89" s="3293"/>
      <c r="C89" s="821" t="s">
        <v>629</v>
      </c>
      <c r="D89" s="821" t="s">
        <v>630</v>
      </c>
      <c r="E89" s="920">
        <v>0.2</v>
      </c>
      <c r="F89" s="907">
        <v>30</v>
      </c>
    </row>
    <row r="90" spans="1:6" s="903" customFormat="1" ht="24">
      <c r="A90" s="907">
        <v>30</v>
      </c>
      <c r="B90" s="3293"/>
      <c r="C90" s="821" t="s">
        <v>631</v>
      </c>
      <c r="D90" s="821" t="s">
        <v>632</v>
      </c>
      <c r="E90" s="920">
        <v>0.2</v>
      </c>
      <c r="F90" s="907">
        <v>30</v>
      </c>
    </row>
    <row r="91" spans="1:6" s="903" customFormat="1" ht="36">
      <c r="A91" s="907">
        <v>31</v>
      </c>
      <c r="B91" s="3293"/>
      <c r="C91" s="821" t="s">
        <v>633</v>
      </c>
      <c r="D91" s="821" t="s">
        <v>634</v>
      </c>
      <c r="E91" s="920">
        <v>0.2</v>
      </c>
      <c r="F91" s="907">
        <v>30</v>
      </c>
    </row>
    <row r="92" spans="1:6" s="903" customFormat="1" ht="24">
      <c r="A92" s="907">
        <v>32</v>
      </c>
      <c r="B92" s="3293" t="s">
        <v>635</v>
      </c>
      <c r="C92" s="907" t="s">
        <v>636</v>
      </c>
      <c r="D92" s="821" t="s">
        <v>637</v>
      </c>
      <c r="E92" s="920">
        <v>0.2</v>
      </c>
      <c r="F92" s="907">
        <v>30</v>
      </c>
    </row>
    <row r="93" spans="1:6" s="903" customFormat="1" ht="36">
      <c r="A93" s="907">
        <v>33</v>
      </c>
      <c r="B93" s="3293"/>
      <c r="C93" s="907" t="s">
        <v>638</v>
      </c>
      <c r="D93" s="821" t="s">
        <v>639</v>
      </c>
      <c r="E93" s="920">
        <v>0.2</v>
      </c>
      <c r="F93" s="907">
        <v>30</v>
      </c>
    </row>
    <row r="94" spans="1:6" s="903" customFormat="1" ht="48">
      <c r="A94" s="907">
        <v>34</v>
      </c>
      <c r="B94" s="3293"/>
      <c r="C94" s="907" t="s">
        <v>640</v>
      </c>
      <c r="D94" s="821" t="s">
        <v>641</v>
      </c>
      <c r="E94" s="920">
        <v>0.2</v>
      </c>
      <c r="F94" s="907">
        <v>30</v>
      </c>
    </row>
    <row r="95" spans="1:6" s="903" customFormat="1" ht="36">
      <c r="A95" s="907">
        <v>35</v>
      </c>
      <c r="B95" s="3293"/>
      <c r="C95" s="907" t="s">
        <v>642</v>
      </c>
      <c r="D95" s="821" t="s">
        <v>643</v>
      </c>
      <c r="E95" s="920">
        <v>0.2</v>
      </c>
      <c r="F95" s="907">
        <v>30</v>
      </c>
    </row>
    <row r="96" spans="1:6" s="903" customFormat="1" ht="48">
      <c r="A96" s="907">
        <v>36</v>
      </c>
      <c r="B96" s="3293"/>
      <c r="C96" s="821" t="s">
        <v>644</v>
      </c>
      <c r="D96" s="821" t="s">
        <v>645</v>
      </c>
      <c r="E96" s="920">
        <v>0.2</v>
      </c>
      <c r="F96" s="907">
        <v>30</v>
      </c>
    </row>
    <row r="97" spans="1:6" s="903" customFormat="1" ht="36">
      <c r="A97" s="907">
        <v>37</v>
      </c>
      <c r="B97" s="3293"/>
      <c r="C97" s="907" t="s">
        <v>646</v>
      </c>
      <c r="D97" s="821" t="s">
        <v>647</v>
      </c>
      <c r="E97" s="920">
        <v>0.2</v>
      </c>
      <c r="F97" s="907">
        <v>30</v>
      </c>
    </row>
    <row r="98" spans="1:6" s="903" customFormat="1" ht="36">
      <c r="A98" s="907">
        <v>38</v>
      </c>
      <c r="B98" s="3293"/>
      <c r="C98" s="907" t="s">
        <v>648</v>
      </c>
      <c r="D98" s="821" t="s">
        <v>649</v>
      </c>
      <c r="E98" s="920">
        <v>0.2</v>
      </c>
      <c r="F98" s="907">
        <v>30</v>
      </c>
    </row>
    <row r="99" spans="1:6" s="903" customFormat="1" ht="36">
      <c r="A99" s="907">
        <v>39</v>
      </c>
      <c r="B99" s="3293" t="s">
        <v>650</v>
      </c>
      <c r="C99" s="907" t="s">
        <v>651</v>
      </c>
      <c r="D99" s="821" t="s">
        <v>652</v>
      </c>
      <c r="E99" s="920">
        <v>0.3</v>
      </c>
      <c r="F99" s="907">
        <v>50</v>
      </c>
    </row>
    <row r="100" spans="1:6" s="903" customFormat="1" ht="24">
      <c r="A100" s="907">
        <v>40</v>
      </c>
      <c r="B100" s="3293"/>
      <c r="C100" s="907" t="s">
        <v>653</v>
      </c>
      <c r="D100" s="821" t="s">
        <v>654</v>
      </c>
      <c r="E100" s="920">
        <v>0.2</v>
      </c>
      <c r="F100" s="907">
        <v>30</v>
      </c>
    </row>
    <row r="101" spans="1:6" s="903" customFormat="1" ht="36">
      <c r="A101" s="907">
        <v>41</v>
      </c>
      <c r="B101" s="329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93" t="s">
        <v>665</v>
      </c>
      <c r="C105" s="907" t="s">
        <v>666</v>
      </c>
      <c r="D105" s="821" t="s">
        <v>667</v>
      </c>
      <c r="E105" s="920">
        <v>0.2</v>
      </c>
      <c r="F105" s="907">
        <v>30</v>
      </c>
    </row>
    <row r="106" spans="1:6" s="903" customFormat="1" ht="36">
      <c r="A106" s="907">
        <v>46</v>
      </c>
      <c r="B106" s="3293"/>
      <c r="C106" s="907" t="s">
        <v>668</v>
      </c>
      <c r="D106" s="821" t="s">
        <v>669</v>
      </c>
      <c r="E106" s="920">
        <v>0.2</v>
      </c>
      <c r="F106" s="907">
        <v>30</v>
      </c>
    </row>
    <row r="107" spans="1:6" s="903" customFormat="1" ht="36">
      <c r="A107" s="907">
        <v>47</v>
      </c>
      <c r="B107" s="3293" t="s">
        <v>670</v>
      </c>
      <c r="C107" s="907" t="s">
        <v>671</v>
      </c>
      <c r="D107" s="821" t="s">
        <v>672</v>
      </c>
      <c r="E107" s="920">
        <v>0.3</v>
      </c>
      <c r="F107" s="907">
        <v>50</v>
      </c>
    </row>
    <row r="108" spans="1:6" s="903" customFormat="1" ht="36">
      <c r="A108" s="907">
        <v>48</v>
      </c>
      <c r="B108" s="329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93" t="s">
        <v>681</v>
      </c>
      <c r="C111" s="907" t="s">
        <v>682</v>
      </c>
      <c r="D111" s="821" t="s">
        <v>683</v>
      </c>
      <c r="E111" s="920">
        <v>0.2</v>
      </c>
      <c r="F111" s="907">
        <v>30</v>
      </c>
    </row>
    <row r="112" spans="1:6" s="903" customFormat="1" ht="24">
      <c r="A112" s="907">
        <v>52</v>
      </c>
      <c r="B112" s="3293"/>
      <c r="C112" s="907" t="s">
        <v>684</v>
      </c>
      <c r="D112" s="821" t="s">
        <v>685</v>
      </c>
      <c r="E112" s="920">
        <v>0.2</v>
      </c>
      <c r="F112" s="907">
        <v>30</v>
      </c>
    </row>
    <row r="113" spans="1:6" s="903" customFormat="1" ht="24">
      <c r="A113" s="907">
        <v>53</v>
      </c>
      <c r="B113" s="329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93" t="s">
        <v>694</v>
      </c>
      <c r="C116" s="907" t="s">
        <v>695</v>
      </c>
      <c r="D116" s="821" t="s">
        <v>696</v>
      </c>
      <c r="E116" s="920">
        <v>0.2</v>
      </c>
      <c r="F116" s="907">
        <v>30</v>
      </c>
    </row>
    <row r="117" spans="1:6" ht="36">
      <c r="A117" s="907">
        <v>57</v>
      </c>
      <c r="B117" s="329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8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97"/>
      <c r="C2" s="2897"/>
      <c r="D2" s="2897"/>
      <c r="E2" s="2897"/>
    </row>
    <row r="3" spans="1:5" ht="13.5" customHeight="1">
      <c r="A3" s="1930"/>
      <c r="B3" s="1930"/>
      <c r="C3" s="1930"/>
      <c r="D3" s="1930"/>
      <c r="E3" s="1930"/>
    </row>
    <row r="4" spans="1:5" ht="19.5" thickBot="1">
      <c r="A4" s="2898" t="str">
        <f>IF(项目基本情况!D5="房地产市场价值","估价结果一览表（市场价值不需本页表格)","估价结果一览表")</f>
        <v>估价结果一览表</v>
      </c>
      <c r="B4" s="2898"/>
      <c r="C4" s="2898"/>
      <c r="D4" s="2898"/>
      <c r="E4" s="2898"/>
    </row>
    <row r="5" spans="1:5" ht="14.25" customHeight="1" thickTop="1">
      <c r="A5" s="1927"/>
      <c r="B5" s="1931" t="s">
        <v>742</v>
      </c>
      <c r="C5" s="2899" t="s">
        <v>783</v>
      </c>
      <c r="D5" s="2900"/>
      <c r="E5" s="1927"/>
    </row>
    <row r="6" spans="1:5" ht="14.25">
      <c r="A6" s="1927"/>
      <c r="B6" s="1932" t="str">
        <f>项目基本情况!I1</f>
        <v>北京市房地产</v>
      </c>
      <c r="C6" s="2901">
        <f>项目基本情况!C12</f>
        <v>189.28</v>
      </c>
      <c r="D6" s="2901"/>
      <c r="E6" s="1927"/>
    </row>
    <row r="7" spans="1:5" ht="14.25">
      <c r="A7" s="1927"/>
      <c r="B7" s="2895" t="s">
        <v>784</v>
      </c>
      <c r="C7" s="1933" t="str">
        <f>IF('数据-取费表'!B3="万元","总价（万元）","总价（元）")</f>
        <v>总价（元）</v>
      </c>
      <c r="D7" s="1934">
        <f ca="1">IF('数据-取费表'!E3="否",结果表!I102,'结果表 (1修多)'!I103)</f>
        <v>5892143</v>
      </c>
      <c r="E7" s="1927"/>
    </row>
    <row r="8" spans="1:5" ht="28.5">
      <c r="A8" s="1927"/>
      <c r="B8" s="2895"/>
      <c r="C8" s="1935" t="s">
        <v>1175</v>
      </c>
      <c r="D8" s="1936" t="str">
        <f ca="1">IF('数据-取费表'!B3="万元",NUMBERSTRING(INT(D7*10000),2)&amp;"元整",NUMBERSTRING(INT(D7),2)&amp;"元整")</f>
        <v>伍佰捌拾玖万贰仟壹佰肆拾叁元整</v>
      </c>
      <c r="E8" s="1927"/>
    </row>
    <row r="9" spans="1:5" ht="14.25">
      <c r="A9" s="1927"/>
      <c r="B9" s="2895"/>
      <c r="C9" s="1937" t="s">
        <v>1274</v>
      </c>
      <c r="D9" s="1934">
        <f ca="1">IF('数据-取费表'!E3="否",结果表!I103,'结果表 (1修多)'!I104)</f>
        <v>31129</v>
      </c>
      <c r="E9" s="1927"/>
    </row>
    <row r="10" spans="1:5" ht="14.25">
      <c r="A10" s="1927"/>
      <c r="B10" s="290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90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902" t="str">
        <f>IF('数据-取费表'!E3="否",结果表!F110,'结果表 (1修多)'!F111)</f>
        <v>3.房地产抵押价值</v>
      </c>
      <c r="C15" s="1928" t="str">
        <f>C7</f>
        <v>总价（元）</v>
      </c>
      <c r="D15" s="1934">
        <f ca="1">IF('数据-取费表'!E3="否",结果表!I110,'结果表 (1修多)'!I111)</f>
        <v>5892143</v>
      </c>
      <c r="E15" s="1927"/>
    </row>
    <row r="16" spans="1:5" ht="28.5">
      <c r="A16" s="1927"/>
      <c r="B16" s="2902"/>
      <c r="C16" s="1935" t="s">
        <v>1175</v>
      </c>
      <c r="D16" s="1934" t="str">
        <f ca="1">IF('数据-取费表'!B3="万元",NUMBERSTRING(INT(D15*10000),2)&amp;"元整",NUMBERSTRING(INT(D15),2)&amp;"元整")</f>
        <v>伍佰捌拾玖万贰仟壹佰肆拾叁元整</v>
      </c>
      <c r="E16" s="1927"/>
    </row>
    <row r="17" spans="1:5" ht="14.25">
      <c r="A17" s="1927"/>
      <c r="B17" s="2902"/>
      <c r="C17" s="1937" t="s">
        <v>1274</v>
      </c>
      <c r="D17" s="1934">
        <f ca="1">IF('数据-取费表'!E3="否",结果表!I111,'结果表 (1修多)'!I112)</f>
        <v>31129</v>
      </c>
      <c r="E17" s="1927"/>
    </row>
    <row r="18" spans="1:5" ht="14.25">
      <c r="A18" s="1927"/>
      <c r="B18" s="2902" t="str">
        <f>IF('数据-取费表'!E3="否",结果表!F112,'结果表 (1修多)'!F113)</f>
        <v>——</v>
      </c>
      <c r="C18" s="1928" t="str">
        <f>C7</f>
        <v>总价（元）</v>
      </c>
      <c r="D18" s="1934" t="str">
        <f>IF('数据-取费表'!E3="否",结果表!I112,'结果表 (1修多)'!I113)</f>
        <v>——</v>
      </c>
      <c r="E18" s="1927"/>
    </row>
    <row r="19" spans="1:5" ht="14.25">
      <c r="A19" s="1927"/>
      <c r="B19" s="2902"/>
      <c r="C19" s="1935" t="s">
        <v>1175</v>
      </c>
      <c r="D19" s="1934" t="e">
        <f>IF('数据-取费表'!B3="万元",NUMBERSTRING(INT(D18*10000),2)&amp;"元整",NUMBERSTRING(INT(D18),2)&amp;"元整")</f>
        <v>#VALUE!</v>
      </c>
      <c r="E19" s="1927"/>
    </row>
    <row r="20" spans="1:5" ht="14.25">
      <c r="A20" s="1927"/>
      <c r="B20" s="2902"/>
      <c r="C20" s="1937" t="s">
        <v>1274</v>
      </c>
      <c r="D20" s="1934" t="str">
        <f>IF('数据-取费表'!E3="否",结果表!I113,'结果表 (1修多)'!I114)</f>
        <v>——</v>
      </c>
      <c r="E20" s="1927"/>
    </row>
    <row r="21" spans="1:5" ht="14.25">
      <c r="A21" s="1927"/>
      <c r="B21" s="2895" t="str">
        <f>IF('数据-取费表'!E3="否",结果表!F114,'结果表 (1修多)'!F115)</f>
        <v>——</v>
      </c>
      <c r="C21" s="1933" t="str">
        <f>C7</f>
        <v>总价（元）</v>
      </c>
      <c r="D21" s="1934" t="str">
        <f>IF('数据-取费表'!E3="否",结果表!I114,'结果表 (1修多)'!I115)</f>
        <v>——</v>
      </c>
      <c r="E21" s="1927"/>
    </row>
    <row r="22" spans="1:5" ht="14.25">
      <c r="A22" s="1927"/>
      <c r="B22" s="2895"/>
      <c r="C22" s="1935" t="s">
        <v>1175</v>
      </c>
      <c r="D22" s="1936" t="e">
        <f>IF('数据-取费表'!B3="万元",NUMBERSTRING(INT(D21*10000),2)&amp;"元整",NUMBERSTRING(INT(D21),2)&amp;"元整")</f>
        <v>#VALUE!</v>
      </c>
      <c r="E22" s="1927"/>
    </row>
    <row r="23" spans="1:5" ht="15" thickBot="1">
      <c r="A23" s="1927"/>
      <c r="B23" s="289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887" t="s">
        <v>1275</v>
      </c>
      <c r="C25" s="2887"/>
      <c r="D25" s="2887"/>
      <c r="E25" s="1927"/>
    </row>
    <row r="26" spans="1:5" ht="18.75" customHeight="1" thickTop="1">
      <c r="A26" s="1927"/>
      <c r="B26" s="2890" t="s">
        <v>1174</v>
      </c>
      <c r="C26" s="2891"/>
      <c r="D26" s="2888" t="s">
        <v>1173</v>
      </c>
      <c r="E26" s="1927"/>
    </row>
    <row r="27" spans="1:5" ht="18.75" customHeight="1">
      <c r="A27" s="1927"/>
      <c r="B27" s="2892"/>
      <c r="C27" s="2893"/>
      <c r="D27" s="2889"/>
      <c r="E27" s="1927"/>
    </row>
    <row r="28" spans="1:5" ht="14.25">
      <c r="A28" s="1927"/>
      <c r="B28" s="2880" t="s">
        <v>784</v>
      </c>
      <c r="C28" s="1944" t="s">
        <v>1176</v>
      </c>
      <c r="D28" s="1945">
        <f ca="1">IF('数据-取费表'!E3="否",结果表!I102,'结果表 (1修多)'!I103)</f>
        <v>5892143</v>
      </c>
      <c r="E28" s="1927"/>
    </row>
    <row r="29" spans="1:5" ht="28.5">
      <c r="A29" s="1927"/>
      <c r="B29" s="2881"/>
      <c r="C29" s="1946" t="s">
        <v>1175</v>
      </c>
      <c r="D29" s="1947" t="str">
        <f ca="1">IF('数据-取费表'!B3="万元",NUMBERSTRING(INT(D28*10000),2)&amp;"元整",NUMBERSTRING(INT(D28),2)&amp;"元整")</f>
        <v>伍佰捌拾玖万贰仟壹佰肆拾叁元整</v>
      </c>
      <c r="E29" s="1927"/>
    </row>
    <row r="30" spans="1:5" ht="14.25">
      <c r="A30" s="1927"/>
      <c r="B30" s="2882"/>
      <c r="C30" s="1937" t="s">
        <v>1178</v>
      </c>
      <c r="D30" s="1948">
        <f ca="1">IF('数据-取费表'!E3="否",结果表!I103,'结果表 (1修多)'!I104)</f>
        <v>31129</v>
      </c>
      <c r="E30" s="1927"/>
    </row>
    <row r="31" spans="1:5" ht="14.25">
      <c r="A31" s="1927"/>
      <c r="B31" s="2885" t="str">
        <f>B10</f>
        <v>2.估价师所知悉的法定优先受偿款</v>
      </c>
      <c r="C31" s="1949" t="s">
        <v>1177</v>
      </c>
      <c r="D31" s="1950">
        <f>IF('数据-取费表'!E3="否",结果表!I105,'结果表 (1修多)'!I106)</f>
        <v>0</v>
      </c>
      <c r="E31" s="1927"/>
    </row>
    <row r="32" spans="1:5" ht="14.25">
      <c r="A32" s="1927"/>
      <c r="B32" s="289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883" t="str">
        <f>B15</f>
        <v>3.房地产抵押价值</v>
      </c>
      <c r="C36" s="1949" t="str">
        <f>C28</f>
        <v>总价</v>
      </c>
      <c r="D36" s="1950">
        <f ca="1">IF('数据-取费表'!E3="否",结果表!I110,'结果表 (1修多)'!I111)</f>
        <v>5892143</v>
      </c>
      <c r="E36" s="1927"/>
    </row>
    <row r="37" spans="1:5" ht="28.5">
      <c r="A37" s="1927"/>
      <c r="B37" s="2883"/>
      <c r="C37" s="1946" t="s">
        <v>1175</v>
      </c>
      <c r="D37" s="1951" t="str">
        <f ca="1">IF('数据-取费表'!B3="万元",NUMBERSTRING(INT(D36*10000),2)&amp;"元整",NUMBERSTRING(INT(D36),2)&amp;"元整")</f>
        <v>伍佰捌拾玖万贰仟壹佰肆拾叁元整</v>
      </c>
      <c r="E37" s="1927"/>
    </row>
    <row r="38" spans="1:5" ht="14.25">
      <c r="A38" s="1927"/>
      <c r="B38" s="2883"/>
      <c r="C38" s="1937" t="s">
        <v>1179</v>
      </c>
      <c r="D38" s="1948">
        <f ca="1">IF('数据-取费表'!E3="否",结果表!D113,'结果表 (1修多)'!D116)</f>
        <v>31129</v>
      </c>
      <c r="E38" s="1927"/>
    </row>
    <row r="39" spans="1:5" ht="14.25">
      <c r="A39" s="1927"/>
      <c r="B39" s="2884" t="str">
        <f>B18</f>
        <v>——</v>
      </c>
      <c r="C39" s="1949" t="str">
        <f>C28</f>
        <v>总价</v>
      </c>
      <c r="D39" s="1950" t="str">
        <f>IF('数据-取费表'!E3="否",结果表!I112,'结果表 (1修多)'!I113)</f>
        <v>——</v>
      </c>
      <c r="E39" s="1927"/>
    </row>
    <row r="40" spans="1:5" ht="14.25">
      <c r="A40" s="1927"/>
      <c r="B40" s="2884"/>
      <c r="C40" s="1946" t="s">
        <v>1175</v>
      </c>
      <c r="D40" s="1951" t="e">
        <f>IF('数据-取费表'!B3="万元",NUMBERSTRING(INT(D39*10000),2)&amp;"元整",NUMBERSTRING(INT(D39),2)&amp;"元整")</f>
        <v>#VALUE!</v>
      </c>
      <c r="E40" s="1927"/>
    </row>
    <row r="41" spans="1:5" ht="14.25">
      <c r="A41" s="1927"/>
      <c r="B41" s="2884"/>
      <c r="C41" s="1937" t="s">
        <v>1179</v>
      </c>
      <c r="D41" s="1948" t="str">
        <f>IF('数据-取费表'!E3="否",结果表!D115,'结果表 (1修多)'!D118)</f>
        <v>——</v>
      </c>
      <c r="E41" s="1927"/>
    </row>
    <row r="42" spans="1:5" ht="14.25">
      <c r="A42" s="1927"/>
      <c r="B42" s="2883" t="str">
        <f>B21</f>
        <v>——</v>
      </c>
      <c r="C42" s="1949" t="str">
        <f>C28</f>
        <v>总价</v>
      </c>
      <c r="D42" s="1950" t="str">
        <f>IF('数据-取费表'!E3="否",结果表!I114,'结果表 (1修多)'!I115)</f>
        <v>——</v>
      </c>
      <c r="E42" s="1927"/>
    </row>
    <row r="43" spans="1:5" ht="14.25">
      <c r="A43" s="1927"/>
      <c r="B43" s="2885"/>
      <c r="C43" s="1946" t="s">
        <v>1175</v>
      </c>
      <c r="D43" s="1952" t="e">
        <f>IF('数据-取费表'!B3="万元",NUMBERSTRING(INT(D42*10000),2)&amp;"元整",NUMBERSTRING(INT(D42),2)&amp;"元整")</f>
        <v>#VALUE!</v>
      </c>
      <c r="E43" s="1927"/>
    </row>
    <row r="44" spans="1:5" ht="15" thickBot="1">
      <c r="A44" s="1927"/>
      <c r="B44" s="288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299" t="s">
        <v>1033</v>
      </c>
      <c r="C1" s="3299"/>
      <c r="D1" s="3299"/>
      <c r="E1" s="3299"/>
      <c r="F1" s="3299"/>
      <c r="G1" s="3295" t="s">
        <v>1034</v>
      </c>
      <c r="H1" s="3295"/>
      <c r="I1" s="3295"/>
      <c r="J1" s="3295"/>
      <c r="K1" s="3295"/>
      <c r="L1" s="3295"/>
      <c r="N1" s="3295" t="s">
        <v>1035</v>
      </c>
      <c r="O1" s="3295"/>
      <c r="P1" s="3295"/>
      <c r="Q1" s="3295"/>
      <c r="R1" s="1548"/>
      <c r="S1" s="3295" t="s">
        <v>1036</v>
      </c>
      <c r="T1" s="3295"/>
      <c r="U1" s="3295"/>
      <c r="V1" s="3295"/>
      <c r="X1" s="3294" t="s">
        <v>1037</v>
      </c>
      <c r="Y1" s="3295"/>
      <c r="Z1" s="3295"/>
      <c r="AA1" s="3295"/>
      <c r="AB1" s="3295"/>
      <c r="AD1" s="3294" t="s">
        <v>1038</v>
      </c>
      <c r="AE1" s="3295"/>
      <c r="AF1" s="3295"/>
      <c r="AG1" s="3295"/>
      <c r="AH1" s="3295"/>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2812</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2807</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2813</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2809</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2804</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300">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29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29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29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29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29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29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29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29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29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29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29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301">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302"/>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302"/>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303"/>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29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29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29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29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29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29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29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29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29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29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29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29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29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29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29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29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29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29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29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29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29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29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29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29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29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29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29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29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29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29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29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29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29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29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29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29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29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29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29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29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29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29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29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29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42510</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BJ125"/>
  <sheetViews>
    <sheetView topLeftCell="A73" workbookViewId="0">
      <selection activeCell="N58" sqref="N58"/>
    </sheetView>
  </sheetViews>
  <sheetFormatPr defaultRowHeight="13.5"/>
  <cols>
    <col min="15" max="15" width="4.25" customWidth="1"/>
  </cols>
  <sheetData>
    <row r="1" spans="1:62" s="2765" customFormat="1" ht="12" customHeight="1">
      <c r="A1" s="2755"/>
      <c r="B1" s="2756" t="s">
        <v>2892</v>
      </c>
      <c r="C1" s="2757" t="s">
        <v>2893</v>
      </c>
      <c r="D1" s="2757" t="s">
        <v>2894</v>
      </c>
      <c r="E1" s="2757" t="s">
        <v>2895</v>
      </c>
      <c r="F1" s="2757" t="s">
        <v>2896</v>
      </c>
      <c r="G1" s="2758">
        <v>26</v>
      </c>
      <c r="H1" s="2757"/>
      <c r="I1" s="2757" t="s">
        <v>2897</v>
      </c>
      <c r="J1" s="2757" t="s">
        <v>2898</v>
      </c>
      <c r="K1" s="2757" t="s">
        <v>2899</v>
      </c>
      <c r="L1" s="2758">
        <v>42841.72</v>
      </c>
      <c r="M1" s="2757"/>
      <c r="N1" s="2757"/>
      <c r="O1" s="2757"/>
      <c r="P1" s="2757"/>
      <c r="Q1" s="2758">
        <v>2001</v>
      </c>
      <c r="R1" s="2758">
        <v>4</v>
      </c>
      <c r="S1" s="2758">
        <v>29</v>
      </c>
      <c r="T1" s="2758">
        <v>2071</v>
      </c>
      <c r="U1" s="2758">
        <v>4</v>
      </c>
      <c r="V1" s="2758">
        <v>28</v>
      </c>
      <c r="W1" s="2759">
        <f t="shared" ref="W1:W8" ca="1" si="0">YEAR(TODAY())-Q1+(MONTH(TODAY())-R1)/12</f>
        <v>17.166666666666668</v>
      </c>
      <c r="X1" s="2757" t="s">
        <v>2900</v>
      </c>
      <c r="Y1" s="2757" t="s">
        <v>2901</v>
      </c>
      <c r="Z1" s="2757" t="s">
        <v>2902</v>
      </c>
      <c r="AA1" s="2757" t="s">
        <v>2903</v>
      </c>
      <c r="AB1" s="2757" t="s">
        <v>2904</v>
      </c>
      <c r="AC1" s="2760">
        <v>40475</v>
      </c>
      <c r="AD1" s="2757" t="s">
        <v>2905</v>
      </c>
      <c r="AE1" s="2761"/>
      <c r="AF1" s="2762"/>
      <c r="AG1" s="2758">
        <v>60</v>
      </c>
      <c r="AH1" s="2757" t="s">
        <v>2906</v>
      </c>
      <c r="AI1" s="2757"/>
      <c r="AJ1" s="2758">
        <v>2012</v>
      </c>
      <c r="AK1" s="2758">
        <v>8</v>
      </c>
      <c r="AL1" s="2758">
        <v>29</v>
      </c>
      <c r="AM1" s="2757" t="s">
        <v>2907</v>
      </c>
      <c r="AN1" s="2757" t="s">
        <v>2908</v>
      </c>
      <c r="AO1" s="2757"/>
      <c r="AP1" s="2757"/>
      <c r="AQ1" s="2757"/>
      <c r="AR1" s="2757" t="s">
        <v>2909</v>
      </c>
      <c r="AS1" s="2757" t="s">
        <v>2910</v>
      </c>
      <c r="AT1" s="2757"/>
      <c r="AU1" s="2760"/>
      <c r="AV1" s="2757"/>
      <c r="AW1" s="2757"/>
      <c r="AX1" s="2760"/>
      <c r="AY1" s="2757"/>
      <c r="AZ1" s="2757"/>
      <c r="BA1" s="2760"/>
      <c r="BB1" s="2757">
        <v>28000</v>
      </c>
      <c r="BC1" s="2757"/>
      <c r="BD1" s="2760">
        <v>41144</v>
      </c>
      <c r="BE1" s="2757"/>
      <c r="BF1" s="2757"/>
      <c r="BG1" s="2760"/>
      <c r="BH1" s="2763" t="s">
        <v>2911</v>
      </c>
      <c r="BI1" s="2764"/>
      <c r="BJ1" s="2764"/>
    </row>
    <row r="2" spans="1:62" s="2765" customFormat="1" ht="12" customHeight="1">
      <c r="A2" s="2755"/>
      <c r="B2" s="2756" t="s">
        <v>2892</v>
      </c>
      <c r="C2" s="2757" t="s">
        <v>2912</v>
      </c>
      <c r="D2" s="2757" t="s">
        <v>2894</v>
      </c>
      <c r="E2" s="2757" t="s">
        <v>2895</v>
      </c>
      <c r="F2" s="2757" t="s">
        <v>2896</v>
      </c>
      <c r="G2" s="2758">
        <v>31</v>
      </c>
      <c r="H2" s="2757"/>
      <c r="I2" s="2757" t="s">
        <v>2897</v>
      </c>
      <c r="J2" s="2757" t="s">
        <v>2898</v>
      </c>
      <c r="K2" s="2757" t="s">
        <v>2899</v>
      </c>
      <c r="L2" s="2758">
        <v>42841.72</v>
      </c>
      <c r="M2" s="2757"/>
      <c r="N2" s="2757"/>
      <c r="O2" s="2757"/>
      <c r="P2" s="2757"/>
      <c r="Q2" s="2758">
        <v>2001</v>
      </c>
      <c r="R2" s="2758">
        <v>4</v>
      </c>
      <c r="S2" s="2758">
        <v>29</v>
      </c>
      <c r="T2" s="2758">
        <v>2071</v>
      </c>
      <c r="U2" s="2758">
        <v>4</v>
      </c>
      <c r="V2" s="2758">
        <v>28</v>
      </c>
      <c r="W2" s="2759">
        <f t="shared" ca="1" si="0"/>
        <v>17.166666666666668</v>
      </c>
      <c r="X2" s="2757" t="s">
        <v>2900</v>
      </c>
      <c r="Y2" s="2757" t="s">
        <v>2901</v>
      </c>
      <c r="Z2" s="2757" t="s">
        <v>2902</v>
      </c>
      <c r="AA2" s="2757" t="s">
        <v>2903</v>
      </c>
      <c r="AB2" s="2757" t="s">
        <v>2904</v>
      </c>
      <c r="AC2" s="2760">
        <v>40475</v>
      </c>
      <c r="AD2" s="2757" t="s">
        <v>2905</v>
      </c>
      <c r="AE2" s="2761"/>
      <c r="AF2" s="2762"/>
      <c r="AG2" s="2758">
        <v>60</v>
      </c>
      <c r="AH2" s="2757" t="s">
        <v>2906</v>
      </c>
      <c r="AI2" s="2757"/>
      <c r="AJ2" s="2758">
        <v>2012</v>
      </c>
      <c r="AK2" s="2758">
        <v>8</v>
      </c>
      <c r="AL2" s="2758">
        <v>29</v>
      </c>
      <c r="AM2" s="2757" t="s">
        <v>2907</v>
      </c>
      <c r="AN2" s="2757" t="s">
        <v>2908</v>
      </c>
      <c r="AO2" s="2757"/>
      <c r="AP2" s="2757"/>
      <c r="AQ2" s="2757"/>
      <c r="AR2" s="2757" t="s">
        <v>2909</v>
      </c>
      <c r="AS2" s="2757" t="s">
        <v>2910</v>
      </c>
      <c r="AT2" s="2757"/>
      <c r="AU2" s="2760"/>
      <c r="AV2" s="2757"/>
      <c r="AW2" s="2757"/>
      <c r="AX2" s="2760"/>
      <c r="AY2" s="2757"/>
      <c r="AZ2" s="2757"/>
      <c r="BA2" s="2760"/>
      <c r="BB2" s="2757">
        <v>26300</v>
      </c>
      <c r="BC2" s="2757"/>
      <c r="BD2" s="2760">
        <v>41144</v>
      </c>
      <c r="BE2" s="2757"/>
      <c r="BF2" s="2757"/>
      <c r="BG2" s="2760"/>
      <c r="BH2" s="2763" t="s">
        <v>2911</v>
      </c>
      <c r="BI2" s="2764"/>
      <c r="BJ2" s="2764"/>
    </row>
    <row r="3" spans="1:62" s="2765" customFormat="1" ht="12" customHeight="1">
      <c r="A3" s="2755"/>
      <c r="B3" s="2756" t="s">
        <v>2892</v>
      </c>
      <c r="C3" s="2757" t="s">
        <v>2913</v>
      </c>
      <c r="D3" s="2757" t="s">
        <v>2894</v>
      </c>
      <c r="E3" s="2757" t="s">
        <v>2895</v>
      </c>
      <c r="F3" s="2757" t="s">
        <v>2896</v>
      </c>
      <c r="G3" s="2758">
        <v>26</v>
      </c>
      <c r="H3" s="2757"/>
      <c r="I3" s="2757" t="s">
        <v>2897</v>
      </c>
      <c r="J3" s="2757" t="s">
        <v>2898</v>
      </c>
      <c r="K3" s="2757" t="s">
        <v>2899</v>
      </c>
      <c r="L3" s="2758">
        <v>42841.72</v>
      </c>
      <c r="M3" s="2757"/>
      <c r="N3" s="2757"/>
      <c r="O3" s="2757"/>
      <c r="P3" s="2757"/>
      <c r="Q3" s="2758">
        <v>2001</v>
      </c>
      <c r="R3" s="2758">
        <v>4</v>
      </c>
      <c r="S3" s="2758">
        <v>29</v>
      </c>
      <c r="T3" s="2758">
        <v>2071</v>
      </c>
      <c r="U3" s="2758">
        <v>4</v>
      </c>
      <c r="V3" s="2758">
        <v>28</v>
      </c>
      <c r="W3" s="2759">
        <f t="shared" ca="1" si="0"/>
        <v>17.166666666666668</v>
      </c>
      <c r="X3" s="2757" t="s">
        <v>2900</v>
      </c>
      <c r="Y3" s="2757" t="s">
        <v>2901</v>
      </c>
      <c r="Z3" s="2757" t="s">
        <v>2902</v>
      </c>
      <c r="AA3" s="2757" t="s">
        <v>2903</v>
      </c>
      <c r="AB3" s="2757" t="s">
        <v>2904</v>
      </c>
      <c r="AC3" s="2760">
        <v>40475</v>
      </c>
      <c r="AD3" s="2757" t="s">
        <v>2905</v>
      </c>
      <c r="AE3" s="2761"/>
      <c r="AF3" s="2762"/>
      <c r="AG3" s="2758">
        <v>60</v>
      </c>
      <c r="AH3" s="2757" t="s">
        <v>2906</v>
      </c>
      <c r="AI3" s="2757"/>
      <c r="AJ3" s="2758">
        <v>2012</v>
      </c>
      <c r="AK3" s="2758">
        <v>8</v>
      </c>
      <c r="AL3" s="2758">
        <v>29</v>
      </c>
      <c r="AM3" s="2757" t="s">
        <v>2907</v>
      </c>
      <c r="AN3" s="2757" t="s">
        <v>2908</v>
      </c>
      <c r="AO3" s="2757"/>
      <c r="AP3" s="2757"/>
      <c r="AQ3" s="2757"/>
      <c r="AR3" s="2757" t="s">
        <v>2909</v>
      </c>
      <c r="AS3" s="2757" t="s">
        <v>2910</v>
      </c>
      <c r="AT3" s="2757"/>
      <c r="AU3" s="2760"/>
      <c r="AV3" s="2757"/>
      <c r="AW3" s="2757"/>
      <c r="AX3" s="2760"/>
      <c r="AY3" s="2757"/>
      <c r="AZ3" s="2757"/>
      <c r="BA3" s="2760"/>
      <c r="BB3" s="2757">
        <v>28000</v>
      </c>
      <c r="BC3" s="2757"/>
      <c r="BD3" s="2760">
        <v>41144</v>
      </c>
      <c r="BE3" s="2757"/>
      <c r="BF3" s="2757"/>
      <c r="BG3" s="2760"/>
      <c r="BH3" s="2763" t="s">
        <v>2911</v>
      </c>
      <c r="BI3" s="2764"/>
      <c r="BJ3" s="2764"/>
    </row>
    <row r="4" spans="1:62" s="2765" customFormat="1" ht="12" customHeight="1">
      <c r="A4" s="2755"/>
      <c r="B4" s="2756" t="s">
        <v>2892</v>
      </c>
      <c r="C4" s="2757" t="s">
        <v>2914</v>
      </c>
      <c r="D4" s="2757" t="s">
        <v>2894</v>
      </c>
      <c r="E4" s="2757" t="s">
        <v>2895</v>
      </c>
      <c r="F4" s="2757" t="s">
        <v>2896</v>
      </c>
      <c r="G4" s="2758">
        <v>31</v>
      </c>
      <c r="H4" s="2757"/>
      <c r="I4" s="2757" t="s">
        <v>2897</v>
      </c>
      <c r="J4" s="2757" t="s">
        <v>2898</v>
      </c>
      <c r="K4" s="2757" t="s">
        <v>2899</v>
      </c>
      <c r="L4" s="2758">
        <v>42841.72</v>
      </c>
      <c r="M4" s="2757"/>
      <c r="N4" s="2757"/>
      <c r="O4" s="2757"/>
      <c r="P4" s="2757"/>
      <c r="Q4" s="2758">
        <v>2001</v>
      </c>
      <c r="R4" s="2758">
        <v>4</v>
      </c>
      <c r="S4" s="2758">
        <v>29</v>
      </c>
      <c r="T4" s="2758">
        <v>2071</v>
      </c>
      <c r="U4" s="2758">
        <v>4</v>
      </c>
      <c r="V4" s="2758">
        <v>28</v>
      </c>
      <c r="W4" s="2759">
        <f t="shared" ca="1" si="0"/>
        <v>17.166666666666668</v>
      </c>
      <c r="X4" s="2757" t="s">
        <v>2900</v>
      </c>
      <c r="Y4" s="2757" t="s">
        <v>2901</v>
      </c>
      <c r="Z4" s="2757" t="s">
        <v>2902</v>
      </c>
      <c r="AA4" s="2757" t="s">
        <v>2903</v>
      </c>
      <c r="AB4" s="2757" t="s">
        <v>2904</v>
      </c>
      <c r="AC4" s="2760">
        <v>40475</v>
      </c>
      <c r="AD4" s="2757" t="s">
        <v>2905</v>
      </c>
      <c r="AE4" s="2761"/>
      <c r="AF4" s="2762"/>
      <c r="AG4" s="2758">
        <v>60</v>
      </c>
      <c r="AH4" s="2757" t="s">
        <v>2906</v>
      </c>
      <c r="AI4" s="2757"/>
      <c r="AJ4" s="2758">
        <v>2012</v>
      </c>
      <c r="AK4" s="2758">
        <v>8</v>
      </c>
      <c r="AL4" s="2758">
        <v>29</v>
      </c>
      <c r="AM4" s="2757" t="s">
        <v>2907</v>
      </c>
      <c r="AN4" s="2757" t="s">
        <v>2908</v>
      </c>
      <c r="AO4" s="2757"/>
      <c r="AP4" s="2757"/>
      <c r="AQ4" s="2757"/>
      <c r="AR4" s="2757" t="s">
        <v>2909</v>
      </c>
      <c r="AS4" s="2757" t="s">
        <v>2910</v>
      </c>
      <c r="AT4" s="2757"/>
      <c r="AU4" s="2760"/>
      <c r="AV4" s="2757"/>
      <c r="AW4" s="2757"/>
      <c r="AX4" s="2760"/>
      <c r="AY4" s="2757"/>
      <c r="AZ4" s="2757"/>
      <c r="BA4" s="2760"/>
      <c r="BB4" s="2757">
        <v>25000</v>
      </c>
      <c r="BC4" s="2757"/>
      <c r="BD4" s="2760">
        <v>41144</v>
      </c>
      <c r="BE4" s="2757"/>
      <c r="BF4" s="2757"/>
      <c r="BG4" s="2760"/>
      <c r="BH4" s="2763" t="s">
        <v>2911</v>
      </c>
      <c r="BI4" s="2764"/>
      <c r="BJ4" s="2764"/>
    </row>
    <row r="5" spans="1:62" s="2765" customFormat="1" ht="12" customHeight="1">
      <c r="A5" s="2766" t="s">
        <v>2915</v>
      </c>
      <c r="B5" s="2766" t="s">
        <v>2916</v>
      </c>
      <c r="C5" s="2766" t="s">
        <v>2917</v>
      </c>
      <c r="D5" s="2766" t="s">
        <v>2894</v>
      </c>
      <c r="E5" s="2766" t="s">
        <v>2918</v>
      </c>
      <c r="F5" s="2766" t="s">
        <v>2919</v>
      </c>
      <c r="G5" s="2767">
        <v>24</v>
      </c>
      <c r="H5" s="2766"/>
      <c r="I5" s="2766" t="s">
        <v>2920</v>
      </c>
      <c r="J5" s="2766" t="s">
        <v>2921</v>
      </c>
      <c r="K5" s="2766" t="s">
        <v>2922</v>
      </c>
      <c r="L5" s="2767">
        <v>4350</v>
      </c>
      <c r="M5" s="2766" t="s">
        <v>2923</v>
      </c>
      <c r="N5" s="2766" t="s">
        <v>2924</v>
      </c>
      <c r="O5" s="2766" t="s">
        <v>2925</v>
      </c>
      <c r="P5" s="2766" t="s">
        <v>2926</v>
      </c>
      <c r="Q5" s="2767">
        <v>2000</v>
      </c>
      <c r="R5" s="2767">
        <v>5</v>
      </c>
      <c r="S5" s="2767">
        <v>26</v>
      </c>
      <c r="T5" s="2767">
        <v>2070</v>
      </c>
      <c r="U5" s="2767">
        <v>5</v>
      </c>
      <c r="V5" s="2767">
        <v>25</v>
      </c>
      <c r="W5" s="2759">
        <f t="shared" ca="1" si="0"/>
        <v>18.083333333333332</v>
      </c>
      <c r="X5" s="2766" t="s">
        <v>2927</v>
      </c>
      <c r="Y5" s="2766" t="s">
        <v>2928</v>
      </c>
      <c r="Z5" s="2766" t="s">
        <v>2929</v>
      </c>
      <c r="AA5" s="2766" t="s">
        <v>2930</v>
      </c>
      <c r="AB5" s="2766" t="s">
        <v>2931</v>
      </c>
      <c r="AC5" s="2768" t="s">
        <v>2932</v>
      </c>
      <c r="AD5" s="2766" t="s">
        <v>2933</v>
      </c>
      <c r="AE5" s="2769" t="s">
        <v>2934</v>
      </c>
      <c r="AF5" s="2770">
        <v>38274</v>
      </c>
      <c r="AG5" s="2767">
        <v>60</v>
      </c>
      <c r="AH5" s="2766" t="s">
        <v>2935</v>
      </c>
      <c r="AI5" s="2766" t="s">
        <v>1031</v>
      </c>
      <c r="AJ5" s="2767">
        <v>2007</v>
      </c>
      <c r="AK5" s="2767">
        <v>5</v>
      </c>
      <c r="AL5" s="2767">
        <v>21</v>
      </c>
      <c r="AM5" s="2766" t="s">
        <v>2936</v>
      </c>
      <c r="AN5" s="2766" t="s">
        <v>2937</v>
      </c>
      <c r="AO5" s="2766"/>
      <c r="AP5" s="2766"/>
      <c r="AQ5" s="2766"/>
      <c r="AR5" s="2766"/>
      <c r="AS5" s="2766"/>
      <c r="AT5" s="2766"/>
      <c r="AU5" s="2768"/>
      <c r="AV5" s="2766">
        <v>3300</v>
      </c>
      <c r="AW5" s="2766"/>
      <c r="AX5" s="2768">
        <v>37714</v>
      </c>
      <c r="AY5" s="2766">
        <v>3300</v>
      </c>
      <c r="AZ5" s="2766"/>
      <c r="BA5" s="2768">
        <v>37803</v>
      </c>
      <c r="BB5" s="2766">
        <v>3600</v>
      </c>
      <c r="BC5" s="2766"/>
      <c r="BD5" s="2768">
        <v>37910</v>
      </c>
      <c r="BE5" s="2766"/>
      <c r="BF5" s="2766"/>
      <c r="BG5" s="2768"/>
      <c r="BH5" s="2771" t="s">
        <v>2911</v>
      </c>
    </row>
    <row r="6" spans="1:62" s="2765" customFormat="1" ht="12" customHeight="1">
      <c r="A6" s="2766" t="s">
        <v>2915</v>
      </c>
      <c r="B6" s="2766" t="s">
        <v>2916</v>
      </c>
      <c r="C6" s="2766" t="s">
        <v>2938</v>
      </c>
      <c r="D6" s="2766" t="s">
        <v>2894</v>
      </c>
      <c r="E6" s="2766" t="s">
        <v>2918</v>
      </c>
      <c r="F6" s="2766" t="s">
        <v>2919</v>
      </c>
      <c r="G6" s="2767">
        <v>24</v>
      </c>
      <c r="H6" s="2766"/>
      <c r="I6" s="2766" t="s">
        <v>2920</v>
      </c>
      <c r="J6" s="2766" t="s">
        <v>2921</v>
      </c>
      <c r="K6" s="2766" t="s">
        <v>2922</v>
      </c>
      <c r="L6" s="2767">
        <v>4350</v>
      </c>
      <c r="M6" s="2766" t="s">
        <v>2923</v>
      </c>
      <c r="N6" s="2766" t="s">
        <v>2924</v>
      </c>
      <c r="O6" s="2766" t="s">
        <v>2925</v>
      </c>
      <c r="P6" s="2766" t="s">
        <v>2926</v>
      </c>
      <c r="Q6" s="2767">
        <v>2000</v>
      </c>
      <c r="R6" s="2767">
        <v>5</v>
      </c>
      <c r="S6" s="2767">
        <v>26</v>
      </c>
      <c r="T6" s="2767">
        <v>2070</v>
      </c>
      <c r="U6" s="2767">
        <v>5</v>
      </c>
      <c r="V6" s="2767">
        <v>25</v>
      </c>
      <c r="W6" s="2759">
        <f t="shared" ca="1" si="0"/>
        <v>18.083333333333332</v>
      </c>
      <c r="X6" s="2766" t="s">
        <v>2927</v>
      </c>
      <c r="Y6" s="2766" t="s">
        <v>2928</v>
      </c>
      <c r="Z6" s="2766" t="s">
        <v>2929</v>
      </c>
      <c r="AA6" s="2766" t="s">
        <v>2930</v>
      </c>
      <c r="AB6" s="2766" t="s">
        <v>2939</v>
      </c>
      <c r="AC6" s="2768" t="s">
        <v>2932</v>
      </c>
      <c r="AD6" s="2766" t="s">
        <v>2940</v>
      </c>
      <c r="AE6" s="2769"/>
      <c r="AF6" s="2770"/>
      <c r="AG6" s="2767">
        <v>60</v>
      </c>
      <c r="AH6" s="2766" t="s">
        <v>2941</v>
      </c>
      <c r="AI6" s="2766" t="s">
        <v>2942</v>
      </c>
      <c r="AJ6" s="2767">
        <v>2004</v>
      </c>
      <c r="AK6" s="2767">
        <v>3</v>
      </c>
      <c r="AL6" s="2767">
        <v>11</v>
      </c>
      <c r="AM6" s="2766" t="s">
        <v>2943</v>
      </c>
      <c r="AN6" s="2766" t="s">
        <v>2937</v>
      </c>
      <c r="AO6" s="2766"/>
      <c r="AP6" s="2766"/>
      <c r="AQ6" s="2766"/>
      <c r="AR6" s="2766"/>
      <c r="AS6" s="2766"/>
      <c r="AT6" s="2766" t="s">
        <v>2944</v>
      </c>
      <c r="AU6" s="2760">
        <v>38058</v>
      </c>
      <c r="AV6" s="2766">
        <v>3300</v>
      </c>
      <c r="AW6" s="2766"/>
      <c r="AX6" s="2768">
        <v>37714</v>
      </c>
      <c r="AY6" s="2766">
        <v>3300</v>
      </c>
      <c r="AZ6" s="2766"/>
      <c r="BA6" s="2768">
        <v>37803</v>
      </c>
      <c r="BB6" s="2766">
        <v>3600</v>
      </c>
      <c r="BC6" s="2766"/>
      <c r="BD6" s="2768">
        <v>37910</v>
      </c>
      <c r="BE6" s="2766"/>
      <c r="BF6" s="2766"/>
      <c r="BG6" s="2768"/>
      <c r="BH6" s="2772" t="s">
        <v>2945</v>
      </c>
    </row>
    <row r="7" spans="1:62" s="2765" customFormat="1" ht="12" customHeight="1">
      <c r="A7" s="2766" t="s">
        <v>2915</v>
      </c>
      <c r="B7" s="2766" t="s">
        <v>2916</v>
      </c>
      <c r="C7" s="2766" t="s">
        <v>2946</v>
      </c>
      <c r="D7" s="2766" t="s">
        <v>2894</v>
      </c>
      <c r="E7" s="2766" t="s">
        <v>2918</v>
      </c>
      <c r="F7" s="2766" t="s">
        <v>2919</v>
      </c>
      <c r="G7" s="2767">
        <v>12</v>
      </c>
      <c r="H7" s="2766"/>
      <c r="I7" s="2766" t="s">
        <v>2920</v>
      </c>
      <c r="J7" s="2766" t="s">
        <v>2921</v>
      </c>
      <c r="K7" s="2766" t="s">
        <v>2922</v>
      </c>
      <c r="L7" s="2767">
        <v>4350</v>
      </c>
      <c r="M7" s="2766" t="s">
        <v>2923</v>
      </c>
      <c r="N7" s="2766" t="s">
        <v>2924</v>
      </c>
      <c r="O7" s="2766" t="s">
        <v>2925</v>
      </c>
      <c r="P7" s="2766" t="s">
        <v>2926</v>
      </c>
      <c r="Q7" s="2767">
        <v>2000</v>
      </c>
      <c r="R7" s="2767">
        <v>5</v>
      </c>
      <c r="S7" s="2767">
        <v>26</v>
      </c>
      <c r="T7" s="2767">
        <v>2070</v>
      </c>
      <c r="U7" s="2767">
        <v>5</v>
      </c>
      <c r="V7" s="2767">
        <v>25</v>
      </c>
      <c r="W7" s="2759">
        <f t="shared" ca="1" si="0"/>
        <v>18.083333333333332</v>
      </c>
      <c r="X7" s="2766" t="s">
        <v>2927</v>
      </c>
      <c r="Y7" s="2766" t="s">
        <v>2928</v>
      </c>
      <c r="Z7" s="2766" t="s">
        <v>2929</v>
      </c>
      <c r="AA7" s="2766" t="s">
        <v>2930</v>
      </c>
      <c r="AB7" s="2766" t="s">
        <v>2939</v>
      </c>
      <c r="AC7" s="2768" t="s">
        <v>2932</v>
      </c>
      <c r="AD7" s="2766" t="s">
        <v>2940</v>
      </c>
      <c r="AE7" s="2769"/>
      <c r="AF7" s="2770"/>
      <c r="AG7" s="2767">
        <v>60</v>
      </c>
      <c r="AH7" s="2766" t="s">
        <v>2941</v>
      </c>
      <c r="AI7" s="2766" t="s">
        <v>2942</v>
      </c>
      <c r="AJ7" s="2767">
        <v>2004</v>
      </c>
      <c r="AK7" s="2767">
        <v>3</v>
      </c>
      <c r="AL7" s="2767">
        <v>11</v>
      </c>
      <c r="AM7" s="2766" t="s">
        <v>2943</v>
      </c>
      <c r="AN7" s="2766" t="s">
        <v>2937</v>
      </c>
      <c r="AO7" s="2766"/>
      <c r="AP7" s="2766"/>
      <c r="AQ7" s="2766"/>
      <c r="AR7" s="2766"/>
      <c r="AS7" s="2766"/>
      <c r="AT7" s="2766" t="s">
        <v>2944</v>
      </c>
      <c r="AU7" s="2760">
        <v>38058</v>
      </c>
      <c r="AV7" s="2766">
        <v>3300</v>
      </c>
      <c r="AW7" s="2766"/>
      <c r="AX7" s="2768">
        <v>37714</v>
      </c>
      <c r="AY7" s="2766">
        <v>3300</v>
      </c>
      <c r="AZ7" s="2766"/>
      <c r="BA7" s="2768">
        <v>37803</v>
      </c>
      <c r="BB7" s="2766">
        <v>3600</v>
      </c>
      <c r="BC7" s="2766"/>
      <c r="BD7" s="2768">
        <v>37910</v>
      </c>
      <c r="BE7" s="2766"/>
      <c r="BF7" s="2766"/>
      <c r="BG7" s="2768"/>
      <c r="BH7" s="2772" t="s">
        <v>2945</v>
      </c>
    </row>
    <row r="8" spans="1:62" s="2765" customFormat="1" ht="12" customHeight="1">
      <c r="A8" s="2766" t="s">
        <v>2915</v>
      </c>
      <c r="B8" s="2766" t="s">
        <v>2947</v>
      </c>
      <c r="C8" s="2766" t="s">
        <v>2948</v>
      </c>
      <c r="D8" s="2766" t="s">
        <v>2894</v>
      </c>
      <c r="E8" s="2766" t="s">
        <v>2918</v>
      </c>
      <c r="F8" s="2766" t="s">
        <v>2919</v>
      </c>
      <c r="G8" s="2767">
        <v>12</v>
      </c>
      <c r="H8" s="2766"/>
      <c r="I8" s="2766" t="s">
        <v>2920</v>
      </c>
      <c r="J8" s="2766" t="s">
        <v>2921</v>
      </c>
      <c r="K8" s="2766" t="s">
        <v>2922</v>
      </c>
      <c r="L8" s="2767">
        <v>4350</v>
      </c>
      <c r="M8" s="2766" t="s">
        <v>2923</v>
      </c>
      <c r="N8" s="2766" t="s">
        <v>2924</v>
      </c>
      <c r="O8" s="2766" t="s">
        <v>2925</v>
      </c>
      <c r="P8" s="2766" t="s">
        <v>2926</v>
      </c>
      <c r="Q8" s="2767">
        <v>2000</v>
      </c>
      <c r="R8" s="2767">
        <v>5</v>
      </c>
      <c r="S8" s="2767">
        <v>26</v>
      </c>
      <c r="T8" s="2767">
        <v>2070</v>
      </c>
      <c r="U8" s="2767">
        <v>5</v>
      </c>
      <c r="V8" s="2767">
        <v>25</v>
      </c>
      <c r="W8" s="2759">
        <f t="shared" ca="1" si="0"/>
        <v>18.083333333333332</v>
      </c>
      <c r="X8" s="2766" t="s">
        <v>2927</v>
      </c>
      <c r="Y8" s="2766" t="s">
        <v>2928</v>
      </c>
      <c r="Z8" s="2766" t="s">
        <v>2929</v>
      </c>
      <c r="AA8" s="2766" t="s">
        <v>2930</v>
      </c>
      <c r="AB8" s="2766" t="s">
        <v>2931</v>
      </c>
      <c r="AC8" s="2768" t="s">
        <v>2932</v>
      </c>
      <c r="AD8" s="2766" t="s">
        <v>2949</v>
      </c>
      <c r="AE8" s="2769"/>
      <c r="AF8" s="2770"/>
      <c r="AG8" s="2767">
        <v>60</v>
      </c>
      <c r="AH8" s="2766" t="s">
        <v>2935</v>
      </c>
      <c r="AI8" s="2766" t="s">
        <v>1031</v>
      </c>
      <c r="AJ8" s="2767">
        <v>2007</v>
      </c>
      <c r="AK8" s="2767">
        <v>5</v>
      </c>
      <c r="AL8" s="2767">
        <v>21</v>
      </c>
      <c r="AM8" s="2766" t="s">
        <v>2950</v>
      </c>
      <c r="AN8" s="2766" t="s">
        <v>2937</v>
      </c>
      <c r="AO8" s="2766"/>
      <c r="AP8" s="2766"/>
      <c r="AQ8" s="2766"/>
      <c r="AR8" s="2766"/>
      <c r="AS8" s="2766"/>
      <c r="AT8" s="2766"/>
      <c r="AU8" s="2768"/>
      <c r="AV8" s="2766">
        <v>3300</v>
      </c>
      <c r="AW8" s="2766"/>
      <c r="AX8" s="2768">
        <v>37714</v>
      </c>
      <c r="AY8" s="2766">
        <v>3300</v>
      </c>
      <c r="AZ8" s="2766"/>
      <c r="BA8" s="2768">
        <v>37803</v>
      </c>
      <c r="BB8" s="2766">
        <v>3600</v>
      </c>
      <c r="BC8" s="2766"/>
      <c r="BD8" s="2768">
        <v>37910</v>
      </c>
      <c r="BE8" s="2766"/>
      <c r="BF8" s="2766"/>
      <c r="BG8" s="2768"/>
      <c r="BH8" s="2771" t="s">
        <v>2911</v>
      </c>
    </row>
    <row r="62" spans="15:15">
      <c r="O62" s="1909" t="s">
        <v>2841</v>
      </c>
    </row>
    <row r="85" spans="15:15">
      <c r="O85" s="1909" t="s">
        <v>2842</v>
      </c>
    </row>
    <row r="125" spans="15:15">
      <c r="O125" s="1909" t="s">
        <v>2843</v>
      </c>
    </row>
  </sheetData>
  <phoneticPr fontId="146"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N4:O125"/>
  <sheetViews>
    <sheetView topLeftCell="A106" workbookViewId="0">
      <selection activeCell="Z28" sqref="Z28"/>
    </sheetView>
  </sheetViews>
  <sheetFormatPr defaultRowHeight="13.5"/>
  <sheetData>
    <row r="4" spans="15:15">
      <c r="O4" s="2864" t="s">
        <v>3115</v>
      </c>
    </row>
    <row r="25" spans="15:15">
      <c r="O25" s="2863"/>
    </row>
    <row r="26" spans="15:15">
      <c r="O26" s="2863"/>
    </row>
    <row r="27" spans="15:15">
      <c r="O27" s="2865" t="s">
        <v>2842</v>
      </c>
    </row>
    <row r="28" spans="15:15">
      <c r="O28" s="2863"/>
    </row>
    <row r="29" spans="15:15">
      <c r="O29" s="2863"/>
    </row>
    <row r="30" spans="15:15">
      <c r="O30" s="2863"/>
    </row>
    <row r="31" spans="15:15">
      <c r="O31" s="2863"/>
    </row>
    <row r="115" spans="14:15">
      <c r="N115" s="2866"/>
    </row>
    <row r="125" spans="14:15">
      <c r="N125" s="1909"/>
      <c r="O125" s="2864" t="s">
        <v>3116</v>
      </c>
    </row>
  </sheetData>
  <phoneticPr fontId="146"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A1"/>
  <sheetViews>
    <sheetView topLeftCell="A10" workbookViewId="0">
      <selection activeCell="J40" sqref="J40"/>
    </sheetView>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909" t="str">
        <f>IF(项目基本情况!D5="房地产市场价值","估价结果一览表","结果表-2")</f>
        <v>结果表-2</v>
      </c>
      <c r="B1" s="2909"/>
      <c r="C1" s="2909"/>
      <c r="D1" s="2909"/>
      <c r="E1" s="2909"/>
      <c r="F1" s="2909"/>
      <c r="G1" s="2909"/>
      <c r="H1" s="2909"/>
      <c r="I1" s="2909"/>
    </row>
    <row r="2" spans="1:9" ht="30" customHeight="1" thickTop="1">
      <c r="A2" s="2910" t="s">
        <v>1276</v>
      </c>
      <c r="B2" s="2910" t="s">
        <v>1277</v>
      </c>
      <c r="C2" s="2910" t="s">
        <v>1278</v>
      </c>
      <c r="D2" s="2910" t="str">
        <f>IF('数据-取费表'!E3="否",结果表!D119,'结果表 (1修多)'!D122)</f>
        <v>出让国有建设用地使用权价值</v>
      </c>
      <c r="E2" s="2910"/>
      <c r="F2" s="2910" t="s">
        <v>1279</v>
      </c>
      <c r="G2" s="2910"/>
      <c r="H2" s="2910" t="s">
        <v>1280</v>
      </c>
      <c r="I2" s="2910"/>
    </row>
    <row r="3" spans="1:9" ht="15">
      <c r="A3" s="2903"/>
      <c r="B3" s="2903"/>
      <c r="C3" s="2903"/>
      <c r="D3" s="1049" t="s">
        <v>1281</v>
      </c>
      <c r="E3" s="1049" t="s">
        <v>1282</v>
      </c>
      <c r="F3" s="1049" t="s">
        <v>1281</v>
      </c>
      <c r="G3" s="1049" t="s">
        <v>1283</v>
      </c>
      <c r="H3" s="1049" t="s">
        <v>1281</v>
      </c>
      <c r="I3" s="1049" t="s">
        <v>1283</v>
      </c>
    </row>
    <row r="4" spans="1:9" ht="46.5" customHeight="1">
      <c r="A4" s="1049" t="str">
        <f>项目基本情况!I1</f>
        <v>北京市房地产</v>
      </c>
      <c r="B4" s="1049">
        <f>结果表!B121</f>
        <v>189.28</v>
      </c>
      <c r="C4" s="1049">
        <f>结果表!C121</f>
        <v>0</v>
      </c>
      <c r="D4" s="1049">
        <f ca="1">IF('数据-取费表'!E3="否",结果表!D121,'结果表 (1修多)'!D124)</f>
        <v>13104126</v>
      </c>
      <c r="E4" s="1049">
        <f ca="1">IF('数据-取费表'!E3="否",结果表!E121,'结果表 (1修多)'!E124)</f>
        <v>69231</v>
      </c>
      <c r="F4" s="1049">
        <f ca="1">IF('数据-取费表'!E3="否",结果表!F121,'结果表 (1修多)'!F124)</f>
        <v>-7211983</v>
      </c>
      <c r="G4" s="1049">
        <f ca="1">IF('数据-取费表'!E3="否",结果表!G121,'结果表 (1修多)'!G124)</f>
        <v>-38102</v>
      </c>
      <c r="H4" s="1049">
        <f ca="1">IF('数据-取费表'!E3="否",结果表!H121,'结果表 (1修多)'!H124)</f>
        <v>5892143</v>
      </c>
      <c r="I4" s="1049">
        <f ca="1">IF('数据-取费表'!E3="否",结果表!I121,'结果表 (1修多)'!I124)</f>
        <v>31129</v>
      </c>
    </row>
    <row r="5" spans="1:9" ht="15">
      <c r="A5" s="2903" t="s">
        <v>1284</v>
      </c>
      <c r="B5" s="2903"/>
      <c r="C5" s="2903"/>
      <c r="D5" s="2904" t="str">
        <f ca="1">IF('数据-取费表'!E3="否",结果表!D122,'结果表 (1修多)'!D125)</f>
        <v>壹仟叁佰壹拾万肆仟壹佰贰拾陆元整</v>
      </c>
      <c r="E5" s="2904"/>
      <c r="F5" s="2904" t="e">
        <f ca="1">IF('数据-取费表'!E3="否",结果表!F122,'结果表 (1修多)'!F125)</f>
        <v>#NUM!</v>
      </c>
      <c r="G5" s="2904"/>
      <c r="H5" s="2904" t="str">
        <f ca="1">IF('数据-取费表'!E3="否",结果表!H122,'结果表 (1修多)'!H125)</f>
        <v>伍佰捌拾玖万贰仟壹佰肆拾叁元整</v>
      </c>
      <c r="I5" s="2904"/>
    </row>
    <row r="6" spans="1:9" ht="15.75">
      <c r="A6" s="2905" t="str">
        <f>IF('数据-取费表'!E3="否",结果表!A123,'结果表 (1修多)'!A126)</f>
        <v>估价师所知悉的法定优先受偿款</v>
      </c>
      <c r="B6" s="2905"/>
      <c r="C6" s="2905"/>
      <c r="D6" s="2905">
        <f>IF('数据-取费表'!E3="否",结果表!D123,'结果表 (1修多)'!D126)</f>
        <v>0</v>
      </c>
      <c r="E6" s="2905"/>
      <c r="F6" s="2905"/>
      <c r="G6" s="2905"/>
      <c r="H6" s="2905"/>
      <c r="I6" s="2905"/>
    </row>
    <row r="7" spans="1:9" ht="15">
      <c r="A7" s="2903" t="s">
        <v>1284</v>
      </c>
      <c r="B7" s="2903"/>
      <c r="C7" s="2903"/>
      <c r="D7" s="2911">
        <f>IF('数据-取费表'!E3="否",结果表!D124,'结果表 (1修多)'!D127)</f>
        <v>0</v>
      </c>
      <c r="E7" s="2912"/>
      <c r="F7" s="2912"/>
      <c r="G7" s="2912"/>
      <c r="H7" s="2912"/>
      <c r="I7" s="2913"/>
    </row>
    <row r="8" spans="1:9" ht="15.75">
      <c r="A8" s="2905" t="str">
        <f>IF('数据-取费表'!E3="否",结果表!A125,'结果表 (1修多)'!A128)</f>
        <v>房地产抵押价值</v>
      </c>
      <c r="B8" s="2905"/>
      <c r="C8" s="2905"/>
      <c r="D8" s="2905">
        <f ca="1">IF('数据-取费表'!E3="否",结果表!D125,'结果表 (1修多)'!D128)</f>
        <v>5892143</v>
      </c>
      <c r="E8" s="2905"/>
      <c r="F8" s="2905"/>
      <c r="G8" s="2905"/>
      <c r="H8" s="2905"/>
      <c r="I8" s="2905"/>
    </row>
    <row r="9" spans="1:9" ht="15">
      <c r="A9" s="2903" t="s">
        <v>1284</v>
      </c>
      <c r="B9" s="2903"/>
      <c r="C9" s="2903"/>
      <c r="D9" s="2904">
        <f ca="1">IF('数据-取费表'!E3="否",结果表!D126,'结果表 (1修多)'!D129)</f>
        <v>31129</v>
      </c>
      <c r="E9" s="2904"/>
      <c r="F9" s="2904"/>
      <c r="G9" s="2904"/>
      <c r="H9" s="2904"/>
      <c r="I9" s="2904"/>
    </row>
    <row r="10" spans="1:9" ht="15.75">
      <c r="A10" s="2905" t="str">
        <f>IF('数据-取费表'!E3="否",结果表!A127,'结果表 (1修多)'!A130)</f>
        <v/>
      </c>
      <c r="B10" s="2905"/>
      <c r="C10" s="2905"/>
      <c r="D10" s="2905" t="str">
        <f>IF('数据-取费表'!E3="否",结果表!D127,'结果表 (1修多)'!D129)</f>
        <v>——</v>
      </c>
      <c r="E10" s="2905"/>
      <c r="F10" s="2905"/>
      <c r="G10" s="2905"/>
      <c r="H10" s="2905"/>
      <c r="I10" s="2905"/>
    </row>
    <row r="11" spans="1:9" ht="15">
      <c r="A11" s="2903" t="s">
        <v>1284</v>
      </c>
      <c r="B11" s="2903"/>
      <c r="C11" s="2903"/>
      <c r="D11" s="2904" t="str">
        <f>IF('数据-取费表'!E3="否",结果表!D128,'结果表 (1修多)'!D131)</f>
        <v>——</v>
      </c>
      <c r="E11" s="2904"/>
      <c r="F11" s="2904"/>
      <c r="G11" s="2904"/>
      <c r="H11" s="2904"/>
      <c r="I11" s="2904"/>
    </row>
    <row r="12" spans="1:9" ht="15.75">
      <c r="A12" s="2905" t="str">
        <f>IF('数据-取费表'!E3="否",结果表!A129,'结果表 (1修多)'!A132)</f>
        <v/>
      </c>
      <c r="B12" s="2905"/>
      <c r="C12" s="2905"/>
      <c r="D12" s="2905" t="str">
        <f>IF('数据-取费表'!E3="否",结果表!D129,'结果表 (1修多)'!D132)</f>
        <v>——</v>
      </c>
      <c r="E12" s="2905"/>
      <c r="F12" s="2905"/>
      <c r="G12" s="2905"/>
      <c r="H12" s="2905"/>
      <c r="I12" s="2905"/>
    </row>
    <row r="13" spans="1:9" ht="15.75" thickBot="1">
      <c r="A13" s="2906" t="s">
        <v>1284</v>
      </c>
      <c r="B13" s="2906"/>
      <c r="C13" s="2906"/>
      <c r="D13" s="2907">
        <f>IF('数据-取费表'!E3="否",结果表!D130,'结果表 (1修多)'!D133)</f>
        <v>0</v>
      </c>
      <c r="E13" s="2907"/>
      <c r="F13" s="2907"/>
      <c r="G13" s="2907"/>
      <c r="H13" s="2907"/>
      <c r="I13" s="2907"/>
    </row>
    <row r="14" spans="1:9" ht="15" thickTop="1">
      <c r="A14" s="2908" t="str">
        <f>IF('数据-取费表'!E3="否",结果表!A131,'结果表 (1修多)'!A134)</f>
        <v>单位：平方米、元、元/平方米（币种：人民币）</v>
      </c>
      <c r="B14" s="2908"/>
      <c r="C14" s="2908"/>
      <c r="D14" s="2908"/>
      <c r="E14" s="2908"/>
      <c r="F14" s="2908"/>
      <c r="G14" s="2908"/>
      <c r="H14" s="2908"/>
      <c r="I14" s="290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915" t="s">
        <v>1298</v>
      </c>
      <c r="B1" s="2915"/>
      <c r="C1" s="2915"/>
      <c r="D1" s="2915"/>
    </row>
    <row r="2" spans="1:4" ht="18">
      <c r="A2" s="2914" t="s">
        <v>1286</v>
      </c>
      <c r="B2" s="2914"/>
      <c r="C2" s="2914"/>
      <c r="D2" s="2914"/>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914" t="s">
        <v>1291</v>
      </c>
      <c r="B7" s="2914"/>
      <c r="C7" s="2914"/>
      <c r="D7" s="2914"/>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916" t="s">
        <v>1300</v>
      </c>
      <c r="B12" s="2917"/>
      <c r="C12" s="2917"/>
      <c r="D12" s="2917"/>
    </row>
    <row r="13" spans="1:4" ht="15.75">
      <c r="A13" s="29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7"/>
      <c r="C13" s="2917"/>
      <c r="D13" s="2917"/>
    </row>
    <row r="14" spans="1:4" ht="30" customHeight="1">
      <c r="A14" s="2916" t="str">
        <f>IF(项目基本情况!D4="抵押","3.抵押双方在办理抵押登记手续时，应使用本公司出具的正式《房地产评估报告》，特提醒报告使用者注意。","——")</f>
        <v>——</v>
      </c>
      <c r="B14" s="2917"/>
      <c r="C14" s="2917"/>
      <c r="D14" s="2917"/>
    </row>
    <row r="15" spans="1:4" ht="15.75" customHeight="1">
      <c r="A15" s="2916" t="str">
        <f>IF(项目基本情况!D4="抵押","4.本次评估估价师所知悉的法定优先受偿款情况说明如下：","——")</f>
        <v>——</v>
      </c>
      <c r="B15" s="2917"/>
      <c r="C15" s="2917"/>
      <c r="D15" s="2917"/>
    </row>
    <row r="16" spans="1:4" ht="75" customHeight="1">
      <c r="A16" s="2916" t="str">
        <f>IF(项目基本情况!D4="抵押",CONCATENATE(项目基本情况!J13,项目基本情况!J14,项目基本情况!J15),"——")</f>
        <v>——</v>
      </c>
      <c r="B16" s="2916"/>
      <c r="C16" s="2916"/>
      <c r="D16" s="2916"/>
    </row>
    <row r="17" spans="1:4" ht="63.75" customHeight="1">
      <c r="A17" s="2918" t="s">
        <v>1301</v>
      </c>
      <c r="B17" s="2918"/>
      <c r="C17" s="2918"/>
      <c r="D17" s="2918"/>
    </row>
    <row r="18" spans="1:4" ht="15.75" customHeight="1">
      <c r="A18" s="2916" t="str">
        <f>IF(项目基本情况!D4="抵押",结果表!K106,"——")</f>
        <v>——</v>
      </c>
      <c r="B18" s="2916"/>
      <c r="C18" s="2916"/>
      <c r="D18" s="2916"/>
    </row>
    <row r="19" spans="1:4" ht="46.5" customHeight="1">
      <c r="A19" s="29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6"/>
      <c r="C19" s="2916"/>
      <c r="D19" s="2916"/>
    </row>
    <row r="20" spans="1:4" ht="15">
      <c r="A20" s="2918" t="s">
        <v>1294</v>
      </c>
      <c r="B20" s="2918"/>
      <c r="C20" s="2918"/>
      <c r="D20" s="291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924" t="s">
        <v>1380</v>
      </c>
      <c r="B15" s="2919" t="s">
        <v>1381</v>
      </c>
      <c r="C15" s="2920"/>
    </row>
    <row r="16" spans="1:7" ht="14.25">
      <c r="A16" s="2925"/>
      <c r="B16" s="2919" t="s">
        <v>1382</v>
      </c>
      <c r="C16" s="2920"/>
    </row>
    <row r="17" spans="1:3" ht="14.25">
      <c r="A17" s="2925"/>
      <c r="B17" s="2919" t="s">
        <v>1383</v>
      </c>
      <c r="C17" s="2920"/>
    </row>
    <row r="18" spans="1:3" ht="14.25">
      <c r="A18" s="2926"/>
      <c r="B18" s="2921" t="s">
        <v>1384</v>
      </c>
      <c r="C18" s="2920"/>
    </row>
    <row r="19" spans="1:3" ht="14.25">
      <c r="A19" s="1980" t="s">
        <v>1385</v>
      </c>
      <c r="B19" s="1981"/>
      <c r="C19" s="1982"/>
    </row>
    <row r="20" spans="1:3" ht="14.25">
      <c r="A20" s="2922" t="s">
        <v>1386</v>
      </c>
      <c r="B20" s="2921" t="s">
        <v>1387</v>
      </c>
      <c r="C20" s="2920"/>
    </row>
    <row r="21" spans="1:3" ht="14.25">
      <c r="A21" s="2922"/>
      <c r="B21" s="2921" t="s">
        <v>1388</v>
      </c>
      <c r="C21" s="2920"/>
    </row>
    <row r="22" spans="1:3" ht="14.25">
      <c r="A22" s="2922"/>
      <c r="B22" s="2921" t="s">
        <v>1389</v>
      </c>
      <c r="C22" s="2920"/>
    </row>
    <row r="23" spans="1:3" ht="14.25">
      <c r="A23" s="2922"/>
      <c r="B23" s="2923" t="s">
        <v>1390</v>
      </c>
      <c r="C23" s="1983" t="s">
        <v>1391</v>
      </c>
    </row>
    <row r="24" spans="1:3" ht="14.25">
      <c r="A24" s="2922"/>
      <c r="B24" s="2923"/>
      <c r="C24" s="1983" t="s">
        <v>1392</v>
      </c>
    </row>
    <row r="25" spans="1:3" ht="14.25">
      <c r="A25" s="2922"/>
      <c r="B25" s="2923"/>
      <c r="C25" s="1983" t="s">
        <v>1393</v>
      </c>
    </row>
    <row r="26" spans="1:3" ht="14.25">
      <c r="A26" s="2922"/>
      <c r="B26" s="2923"/>
      <c r="C26" s="1983" t="s">
        <v>1394</v>
      </c>
    </row>
    <row r="27" spans="1:3" ht="14.25">
      <c r="A27" s="2922"/>
      <c r="B27" s="2923"/>
      <c r="C27" s="1983" t="s">
        <v>1395</v>
      </c>
    </row>
    <row r="28" spans="1:3" ht="14.25">
      <c r="A28" s="2922"/>
      <c r="B28" s="2923"/>
      <c r="C28" s="1983" t="s">
        <v>1396</v>
      </c>
    </row>
    <row r="29" spans="1:3" ht="14.25">
      <c r="A29" s="2922"/>
      <c r="B29" s="2923"/>
      <c r="C29" s="1983" t="s">
        <v>1397</v>
      </c>
    </row>
    <row r="30" spans="1:3" ht="14.25">
      <c r="A30" s="2922"/>
      <c r="B30" s="2923"/>
      <c r="C30" s="1983" t="s">
        <v>1398</v>
      </c>
    </row>
    <row r="31" spans="1:3" ht="14.25">
      <c r="A31" s="2922"/>
      <c r="B31" s="292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927" t="s">
        <v>768</v>
      </c>
      <c r="B25" s="2927"/>
      <c r="C25" s="2927"/>
      <c r="D25" s="2927"/>
      <c r="E25" s="2927"/>
      <c r="F25" s="2927"/>
      <c r="G25" s="2927"/>
      <c r="H25" s="2927"/>
    </row>
    <row r="26" spans="1:8" s="1034" customFormat="1" ht="24" customHeight="1">
      <c r="A26" s="2928" t="s">
        <v>769</v>
      </c>
      <c r="B26" s="2928"/>
      <c r="C26" s="2928"/>
      <c r="D26" s="1062"/>
      <c r="E26" s="1062"/>
      <c r="F26" s="2928" t="s">
        <v>770</v>
      </c>
      <c r="G26" s="2928"/>
      <c r="H26" s="292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92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本次估价的“房地产价值”是指在正常市场情况下，在价值时点2016年5月20日，估价对象规划用途为住宅，假定未设立法定优先受偿款下的房地产市场价值。</v>
      </c>
    </row>
    <row r="54" spans="1:4">
      <c r="A54" s="2929"/>
      <c r="B54" s="9" t="s">
        <v>1536</v>
      </c>
      <c r="C54" s="9" t="s">
        <v>1537</v>
      </c>
    </row>
    <row r="55" spans="1:4">
      <c r="A55" s="2929"/>
      <c r="B55" s="9" t="s">
        <v>1538</v>
      </c>
      <c r="C55" s="9" t="s">
        <v>1539</v>
      </c>
    </row>
    <row r="56" spans="1:4">
      <c r="A56" s="2929"/>
      <c r="B56" s="9" t="s">
        <v>1540</v>
      </c>
      <c r="C56" s="9" t="s">
        <v>1541</v>
      </c>
    </row>
    <row r="57" spans="1:4">
      <c r="A57" s="292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158</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估算结果一览表</vt:lpstr>
      <vt:lpstr>结果表 (1修多)</vt:lpstr>
      <vt:lpstr>比较法-住宅2015年</vt:lpstr>
      <vt:lpstr>比较法-住宅</vt:lpstr>
      <vt:lpstr>收益法（反推）</vt:lpstr>
      <vt:lpstr>基准地价修正</vt:lpstr>
      <vt:lpstr>成本法</vt:lpstr>
      <vt:lpstr>假设开发法</vt:lpstr>
      <vt:lpstr>收益法</vt:lpstr>
      <vt:lpstr>酒店收入计算</vt:lpstr>
      <vt:lpstr>典型户型修正</vt:lpstr>
      <vt:lpstr>收益法（反推）高层)</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2015年案例</vt:lpstr>
      <vt:lpstr>2016年案例</vt:lpstr>
      <vt:lpstr>Sheet7</vt:lpstr>
      <vt:lpstr>'收益法（反推）'!Print_Area</vt:lpstr>
      <vt:lpstr>'收益法（反推）高层)'!Print_Area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2018-06-13T08:57:37Z</dcterms:modified>
</cp:coreProperties>
</file>