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1840" windowHeight="1314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面积" sheetId="80" r:id="rId37"/>
    <sheet name="租约" sheetId="82" r:id="rId38"/>
    <sheet name="Sheet4" sheetId="83"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 r:id="rId50"/>
    <externalReference r:id="rId51"/>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37">'[1]比较法-办公'!$B$119:$M$119</definedName>
    <definedName name="办公层高">'比较法-办公'!$B$119:$M$119</definedName>
    <definedName name="办公朝向" localSheetId="37">'[1]比较法-办公'!$B$91:$M$91</definedName>
    <definedName name="办公朝向">'比较法-办公'!$B$91:$M$91</definedName>
    <definedName name="办公道路级别" localSheetId="37">'[1]比较法-办公'!$B$87:$M$87</definedName>
    <definedName name="办公道路级别">'比较法-办公'!$B$87:$M$87</definedName>
    <definedName name="办公公共部分装修" localSheetId="37">'[1]比较法-办公'!$B$108:$M$108</definedName>
    <definedName name="办公公共部分装修">'比较法-办公'!$B$108:$M$108</definedName>
    <definedName name="办公基础设施水平" localSheetId="37">'[1]比较法-办公'!$B$117:$M$117</definedName>
    <definedName name="办公基础设施水平">'比较法-办公'!$B$117:$M$117</definedName>
    <definedName name="办公集聚程度" localSheetId="37">[1]定义!$M$1:$M$6</definedName>
    <definedName name="办公集聚程度">定义!$M$1:$M$6</definedName>
    <definedName name="办公建筑结构" localSheetId="37">'[1]比较法-办公'!$B$106:$M$106</definedName>
    <definedName name="办公建筑结构">'比较法-办公'!$B$106:$M$106</definedName>
    <definedName name="办公建筑类型" localSheetId="37">'[1]比较法-办公'!$B$101:$M$101</definedName>
    <definedName name="办公建筑类型">'比较法-办公'!$B$101:$M$101</definedName>
    <definedName name="办公交易情况" localSheetId="37">'[1]比较法-办公'!$A$62:$M$62</definedName>
    <definedName name="办公交易情况">'比较法-办公'!$A$62:$M$62</definedName>
    <definedName name="办公楼层" localSheetId="37">'[1]比较法-办公'!$B$89:$M$89</definedName>
    <definedName name="办公楼层">'比较法-办公'!$B$89:$M$89</definedName>
    <definedName name="办公内部装修" localSheetId="37">'[1]比较法-办公'!$B$123:$M$123</definedName>
    <definedName name="办公内部装修">'比较法-办公'!$B$123:$M$123</definedName>
    <definedName name="办公物业管理" localSheetId="37">'[1]比较法-办公'!$B$115:$M$115</definedName>
    <definedName name="办公物业管理">'比较法-办公'!$B$115:$M$115</definedName>
    <definedName name="办公用途" localSheetId="37">'[1]比较法-办公'!$B$64:$M$64</definedName>
    <definedName name="办公用途">'比较法-办公'!$B$64:$M$64</definedName>
    <definedName name="仓储公共部分装修" localSheetId="37">'[1]比较法-仓储'!$B$77:$M$77</definedName>
    <definedName name="仓储公共部分装修">'比较法-仓储'!$B$77:$M$77</definedName>
    <definedName name="仓储交易情况" localSheetId="37">'[1]比较法-仓储'!$A$49:$M$49</definedName>
    <definedName name="仓储交易情况">'比较法-仓储'!$A$49:$M$49</definedName>
    <definedName name="仓储楼层" localSheetId="37">'[1]比较法-仓储'!$B$69:$M$69</definedName>
    <definedName name="仓储楼层">'比较法-仓储'!$B$69:$M$69</definedName>
    <definedName name="仓储物业等级" localSheetId="37">'[1]比较法-仓储'!$B$82:$M$82</definedName>
    <definedName name="仓储物业等级">'比较法-仓储'!$B$82:$M$82</definedName>
    <definedName name="仓储用途" localSheetId="37">'[1]比较法-仓储'!$B$51:$M$51</definedName>
    <definedName name="仓储用途">'比较法-仓储'!$B$51:$M$51</definedName>
    <definedName name="产业集聚程度" localSheetId="37">[1]定义!$N$1:$N$6</definedName>
    <definedName name="产业集聚程度">定义!$N$1:$N$6</definedName>
    <definedName name="车位公共部分装修" localSheetId="37">'[1]比较法-车位'!$B$83:$M$83</definedName>
    <definedName name="车位公共部分装修">'比较法-车位'!$B$83:$M$83</definedName>
    <definedName name="车位交易情况" localSheetId="37">'[1]比较法-车位'!$A$51:$M$51</definedName>
    <definedName name="车位交易情况">'比较法-车位'!$A$51:$M$51</definedName>
    <definedName name="车位类型" localSheetId="37">'[1]比较法-车位'!$B$93:$M$93</definedName>
    <definedName name="车位类型">'比较法-车位'!$B$93:$M$93</definedName>
    <definedName name="车位楼层" localSheetId="37">'[1]比较法-车位'!$B$71:$M$71</definedName>
    <definedName name="车位楼层">'比较法-车位'!$B$71:$M$71</definedName>
    <definedName name="车位配套类型" localSheetId="37">'[1]比较法-车位'!$B$79:$M$79</definedName>
    <definedName name="车位配套类型">'比较法-车位'!$B$79:$M$79</definedName>
    <definedName name="车位物业等级" localSheetId="37">'[1]比较法-车位'!$B$88:$M$88</definedName>
    <definedName name="车位物业等级">'比较法-车位'!$B$88:$M$88</definedName>
    <definedName name="车位用途" localSheetId="37">'[1]比较法-车位'!$B$53:$M$53</definedName>
    <definedName name="车位用途">'比较法-车位'!$B$53:$M$53</definedName>
    <definedName name="城镇土地纳税等级分级范围" localSheetId="37">'[1]数据-取费表'!$A$53:$A$63</definedName>
    <definedName name="城镇土地纳税等级分级范围">'数据-取费表'!$A$53:$A$63</definedName>
    <definedName name="单价内涵" localSheetId="37">[1]定义!$V$1:$V$3</definedName>
    <definedName name="单价内涵">定义!$V$1:$V$3</definedName>
    <definedName name="地类判定" localSheetId="37">[1]定义!$H$1:$H$9</definedName>
    <definedName name="地类判定">定义!$H$1:$H$9</definedName>
    <definedName name="二级">区片价!$J$1:$J$21</definedName>
    <definedName name="二级分类" localSheetId="37">[1]修正!$C$19:$C$51</definedName>
    <definedName name="二级分类">修正!$C$19:$C$51</definedName>
    <definedName name="法定最高年限" localSheetId="37">[1]定义!$G$1:$G$6</definedName>
    <definedName name="法定最高年限">定义!$G$1:$G$6</definedName>
    <definedName name="工业公共部分装修" localSheetId="37">'[1]比较法-工业'!$B$95:$M$95</definedName>
    <definedName name="工业公共部分装修">'比较法-工业'!$B$95:$M$95</definedName>
    <definedName name="工业基础设施水平" localSheetId="37">'[1]比较法-工业'!$B$102:$M$102</definedName>
    <definedName name="工业基础设施水平">'比较法-工业'!$B$102:$M$102</definedName>
    <definedName name="工业建筑结构" localSheetId="37">'[1]比较法-工业'!$B$93:$M$93</definedName>
    <definedName name="工业建筑结构">'比较法-工业'!$B$93:$M$93</definedName>
    <definedName name="工业建筑类型" localSheetId="37">'[1]比较法-工业'!$B$88:$M$88</definedName>
    <definedName name="工业建筑类型">'比较法-工业'!$B$88:$M$88</definedName>
    <definedName name="工业交易情况" localSheetId="37">'[1]比较法-工业'!$A$55:$M$55</definedName>
    <definedName name="工业交易情况">'比较法-工业'!$A$55:$M$55</definedName>
    <definedName name="工业内部装修" localSheetId="37">'[1]比较法-工业'!$B$104:$M$104</definedName>
    <definedName name="工业内部装修">'比较法-工业'!$B$104:$M$104</definedName>
    <definedName name="工业物业管理" localSheetId="37">'[1]比较法-工业'!$B$100:$M$100</definedName>
    <definedName name="工业物业管理">'比较法-工业'!$B$100:$M$100</definedName>
    <definedName name="工业用途" localSheetId="37">'[1]比较法-工业'!$B$57:$M$57</definedName>
    <definedName name="工业用途">'比较法-工业'!$B$57:$M$57</definedName>
    <definedName name="公共配套设施" localSheetId="37">[1]定义!$Q$1:$Q$6</definedName>
    <definedName name="公共配套设施">定义!$Q$1:$Q$6</definedName>
    <definedName name="估价范围判定" localSheetId="37">[1]定义!$D$1:$D$4</definedName>
    <definedName name="估价范围判定">定义!$D$1:$D$4</definedName>
    <definedName name="估价方法" localSheetId="37">[1]定义!$B$1:$B$50</definedName>
    <definedName name="估价方法">定义!$B$1:$B$50</definedName>
    <definedName name="环境" localSheetId="37">[1]定义!$S$1:$S$6</definedName>
    <definedName name="环境">定义!$S$1:$S$6</definedName>
    <definedName name="基础设施水平" localSheetId="37">[1]定义!$R$1:$R$6</definedName>
    <definedName name="基础设施水平">定义!$R$1:$R$6</definedName>
    <definedName name="季度">基准地价修正!$Q$19:$AD$19</definedName>
    <definedName name="价值类型2" localSheetId="37">[1]定义!$B$54:$B$56</definedName>
    <definedName name="价值类型2">定义!$B$54:$B$56</definedName>
    <definedName name="交通便捷度" localSheetId="37">[1]定义!$O$1:$O$6</definedName>
    <definedName name="交通便捷度">定义!$O$1:$O$6</definedName>
    <definedName name="九级">区片价!$Q$1:$Q$51</definedName>
    <definedName name="居住社区成熟度" localSheetId="37">[1]定义!$K$1:$K$6</definedName>
    <definedName name="居住社区成熟度">定义!$K$1:$K$6</definedName>
    <definedName name="类别" localSheetId="37">[1]定义!$J$1:$J$3</definedName>
    <definedName name="类别">定义!$J$1:$J$3</definedName>
    <definedName name="临街状况" localSheetId="37">[1]定义!$T$1:$T$5</definedName>
    <definedName name="临街状况">定义!$T$1:$T$5</definedName>
    <definedName name="六级">区片价!$N$1:$N$64</definedName>
    <definedName name="内部装修维护情况" localSheetId="37">[1]定义!$U$1:$U$6</definedName>
    <definedName name="内部装修维护情况">定义!$U$1:$U$6</definedName>
    <definedName name="七级">区片价!$O$1:$O$45</definedName>
    <definedName name="七通一平" localSheetId="37">[1]修正!$A$8:$A$16</definedName>
    <definedName name="七通一平">修正!$A$8:$A$16</definedName>
    <definedName name="区域土地利用方向" localSheetId="37">[1]定义!$P$1:$P$6</definedName>
    <definedName name="区域土地利用方向">定义!$P$1:$P$6</definedName>
    <definedName name="三级">区片价!$K$1:$K$26</definedName>
    <definedName name="商业层高" localSheetId="37">'[1]租金比较法-商业'!$B$116:$M$116</definedName>
    <definedName name="商业层高">'比较法-商业'!$B$116:$M$116</definedName>
    <definedName name="商业成新度">'比较法-商业'!$B$109:$M$109</definedName>
    <definedName name="商业繁华度" localSheetId="37">[1]定义!$L$1:$L$6</definedName>
    <definedName name="商业繁华度">定义!$L$1:$L$6</definedName>
    <definedName name="商业公共部分装修" localSheetId="37">'[1]租金比较法-商业'!$B$107:$M$107</definedName>
    <definedName name="商业公共部分装修">'比较法-商业'!$B$107:$M$107</definedName>
    <definedName name="商业基础设施水平" localSheetId="37">'[1]租金比较法-商业'!$B$112:$M$112</definedName>
    <definedName name="商业基础设施水平">'比较法-商业'!$B$112:$M$112</definedName>
    <definedName name="商业建筑结构" localSheetId="37">'[1]租金比较法-商业'!$B$105:$M$105</definedName>
    <definedName name="商业建筑结构">'比较法-商业'!$B$105:$M$105</definedName>
    <definedName name="商业交易情况" localSheetId="37">'[1]租金比较法-商业'!$A$61:$M$61</definedName>
    <definedName name="商业交易情况">'比较法-商业'!$A$61:$M$61</definedName>
    <definedName name="商业街名称" localSheetId="37">[1]修正!$C$71:$C$138</definedName>
    <definedName name="商业街名称">修正!$C$71:$C$138</definedName>
    <definedName name="商业进深比" localSheetId="37">'[1]租金比较法-商业'!$B$120:$M$120</definedName>
    <definedName name="商业进深比">'比较法-商业'!$B$120:$M$120</definedName>
    <definedName name="商业类型" localSheetId="37">'[1]租金比较法-商业'!$B$100:$M$100</definedName>
    <definedName name="商业类型">'比较法-商业'!$B$100:$M$100</definedName>
    <definedName name="商业临街状况" localSheetId="37">'[1]租金比较法-商业'!$B$86:$M$86</definedName>
    <definedName name="商业临街状况">'比较法-商业'!$B$86:$M$86</definedName>
    <definedName name="商业楼层" localSheetId="37">'[1]租金比较法-商业'!$B$92:$M$92</definedName>
    <definedName name="商业楼层">'比较法-商业'!$B$92:$M$92</definedName>
    <definedName name="商业内部装修" localSheetId="37">'[1]租金比较法-商业'!$B$122:$M$122</definedName>
    <definedName name="商业内部装修">'比较法-商业'!$B$122:$M$122</definedName>
    <definedName name="商业人流量" localSheetId="37">'[1]租金比较法-商业'!$B$90:$M$90</definedName>
    <definedName name="商业人流量">'比较法-商业'!$B$90:$M$90</definedName>
    <definedName name="商业业态" localSheetId="37">'[1]租金比较法-商业'!$B$114:$M$114</definedName>
    <definedName name="商业业态">'比较法-商业'!$B$114:$M$114</definedName>
    <definedName name="商业用途" localSheetId="37">'[1]租金比较法-商业'!$B$63:$M$63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37">'[1]比较法-仓储'!$B$89:$M$89</definedName>
    <definedName name="是否封闭">'比较法-仓储'!$B$89:$M$89</definedName>
    <definedName name="是否直接入户" localSheetId="37">'[1]比较法-车位'!$B$95:$M$95</definedName>
    <definedName name="是否直接入户">'比较法-车位'!$B$95:$M$95</definedName>
    <definedName name="四级">区片价!$L$1:$L$33</definedName>
    <definedName name="套工道路等级" localSheetId="37">'[1]土地比较法-工业'!$B$97:$M$97</definedName>
    <definedName name="套工道路等级">'土地比较法-工业'!$B$97:$M$97</definedName>
    <definedName name="套工地质条件" localSheetId="37">'[1]土地比较法-工业'!$B$114:$M$114</definedName>
    <definedName name="套工地质条件">'土地比较法-工业'!$B$114:$M$114</definedName>
    <definedName name="套工交易情况" localSheetId="37">'[1]土地比较法-住宅、综合'!$A$72:$M$72</definedName>
    <definedName name="套工交易情况">'土地比较法-住宅、综合'!$A$72:$M$72</definedName>
    <definedName name="套工土地级别" localSheetId="37">'[1]土地比较法-工业'!$B$99:$M$99</definedName>
    <definedName name="套工土地级别">'土地比较法-工业'!$B$99:$M$99</definedName>
    <definedName name="套工用途" localSheetId="37">'[1]土地比较法-工业'!$B$70:$M$70</definedName>
    <definedName name="套工用途">'土地比较法-工业'!$B$70:$M$70</definedName>
    <definedName name="套工宗地开发程度" localSheetId="37">'[1]土地比较法-工业'!$B$112:$M$112</definedName>
    <definedName name="套工宗地开发程度">'土地比较法-工业'!$B$112:$M$112</definedName>
    <definedName name="套工宗地形状" localSheetId="37">'[1]土地比较法-工业'!$B$110:$M$110</definedName>
    <definedName name="套工宗地形状">'土地比较法-工业'!$B$110:$M$110</definedName>
    <definedName name="套综道路等级" localSheetId="37">'[1]土地比较法-住宅、综合'!$B$105:$M$105</definedName>
    <definedName name="套综道路等级">'土地比较法-住宅、综合'!$B$105:$M$105</definedName>
    <definedName name="套综工程地质条件" localSheetId="37">'[1]土地比较法-住宅、综合'!$B$124:$M$124</definedName>
    <definedName name="套综工程地质条件">'土地比较法-住宅、综合'!$B$124:$M$124</definedName>
    <definedName name="套综交易情况" localSheetId="37">'[1]土地比较法-住宅、综合'!$A$72:$M$72</definedName>
    <definedName name="套综交易情况">'土地比较法-住宅、综合'!$A$72:$M$72</definedName>
    <definedName name="套综临街宽度及深度" localSheetId="37">'[1]土地比较法-住宅、综合'!$B$120:$M$120</definedName>
    <definedName name="套综临街宽度及深度">'土地比较法-住宅、综合'!$B$120:$M$120</definedName>
    <definedName name="套综土地级别" localSheetId="37">'[1]土地比较法-住宅、综合'!$B$107:$M$107</definedName>
    <definedName name="套综土地级别">'土地比较法-住宅、综合'!$B$107:$M$107</definedName>
    <definedName name="套综用途" localSheetId="37">'[1]土地比较法-住宅、综合'!$B$74:$M$74</definedName>
    <definedName name="套综用途">'土地比较法-住宅、综合'!$B$74:$M$74</definedName>
    <definedName name="套综宗地内开发程度" localSheetId="37">'[1]土地比较法-住宅、综合'!$B$122:$M$122</definedName>
    <definedName name="套综宗地内开发程度">'土地比较法-住宅、综合'!$B$122:$M$122</definedName>
    <definedName name="套综宗地形状" localSheetId="37">'[1]土地比较法-住宅、综合'!$B$118:$M$118</definedName>
    <definedName name="套综宗地形状">'土地比较法-住宅、综合'!$B$118:$M$118</definedName>
    <definedName name="土地估价师">估价师及机构信息!$D$3:$D$24</definedName>
    <definedName name="土地级别" localSheetId="37">[1]定义!$C$1:$C$14</definedName>
    <definedName name="土地级别">定义!$C$1:$C$14</definedName>
    <definedName name="土地利用方向">定义!$P$1:$P$6</definedName>
    <definedName name="土地年限区间">定义!$I$1:$I$16</definedName>
    <definedName name="位置" localSheetId="37">[1]定义!$E$2:$E$4</definedName>
    <definedName name="位置">定义!$E$2:$E$4</definedName>
    <definedName name="五等判定" localSheetId="37">[1]定义!$W$1:$W$6</definedName>
    <definedName name="五等判定">定义!$W$1:$W$6</definedName>
    <definedName name="五级">区片价!$M$1:$M$41</definedName>
    <definedName name="项目类型" localSheetId="23">'[2]数据-汇总表'!$C$17:$C$26</definedName>
    <definedName name="项目类型" localSheetId="37">'[1]数据-汇总表'!$C$17:$C$26</definedName>
    <definedName name="项目类型">'数据-汇总表'!$C$17:$C$26</definedName>
    <definedName name="写字楼等级" localSheetId="37">'[1]比较法-办公'!$B$113:$M$113</definedName>
    <definedName name="写字楼等级">'比较法-办公'!$B$113:$M$113</definedName>
    <definedName name="一级">区片价!$I$1:$I$6</definedName>
    <definedName name="一修多修正项2" localSheetId="37">[1]典型户型修正!$5:$5</definedName>
    <definedName name="一修多修正项2">典型户型修正!$5:$5</definedName>
    <definedName name="一修多修正项3" localSheetId="37">[1]典型户型修正!$7:$7</definedName>
    <definedName name="一修多修正项3">典型户型修正!$7:$7</definedName>
    <definedName name="一修多修正项4" localSheetId="37">[1]典型户型修正!$9:$9</definedName>
    <definedName name="一修多修正项4">典型户型修正!$9:$9</definedName>
    <definedName name="一修多修正项5" localSheetId="37">[1]典型户型修正!$11:$11</definedName>
    <definedName name="一修多修正项5">典型户型修正!$11:$11</definedName>
    <definedName name="一修多修正项6" localSheetId="37">[1]典型户型修正!$13:$13</definedName>
    <definedName name="一修多修正项6">典型户型修正!$13:$13</definedName>
    <definedName name="一修多修正项7" localSheetId="37">[1]典型户型修正!$15:$15</definedName>
    <definedName name="一修多修正项7">典型户型修正!$15:$15</definedName>
    <definedName name="一修多修正项8" localSheetId="37">[1]典型户型修正!$17:$17</definedName>
    <definedName name="一修多修正项8">典型户型修正!$17:$17</definedName>
    <definedName name="用途明细" localSheetId="37">[1]定义!$A$1:$A$50</definedName>
    <definedName name="用途明细">定义!$A$1:$A$50</definedName>
    <definedName name="有无电梯" localSheetId="37">'[1]比较法-仓储'!$B$84:$M$84</definedName>
    <definedName name="有无电梯">'比较法-仓储'!$B$84:$M$84</definedName>
    <definedName name="主用途" localSheetId="37">[1]定义!$F$1:$F$12</definedName>
    <definedName name="主用途">定义!$F$1:$F$12</definedName>
    <definedName name="住宅朝向" localSheetId="37">'[1]比较法-住宅'!$B$88:$M$88</definedName>
    <definedName name="住宅朝向">'比较法-住宅'!$B$88:$M$88</definedName>
    <definedName name="住宅房型" localSheetId="37">'[1]比较法-住宅'!$B$118:$M$118</definedName>
    <definedName name="住宅房型">'比较法-住宅'!$B$118:$M$118</definedName>
    <definedName name="住宅公共部分装修" localSheetId="37">'[1]比较法-住宅'!$B$109:$M$109</definedName>
    <definedName name="住宅公共部分装修">'比较法-住宅'!$B$109:$M$109</definedName>
    <definedName name="住宅基础设施水平" localSheetId="37">'[1]比较法-住宅'!$B$116:$M$116</definedName>
    <definedName name="住宅基础设施水平">'比较法-住宅'!$B$116:$M$116</definedName>
    <definedName name="住宅建筑结构" localSheetId="37">'[1]比较法-住宅'!$B$105:$M$105</definedName>
    <definedName name="住宅建筑结构">'比较法-住宅'!$B$105:$M$105</definedName>
    <definedName name="住宅建筑类型" localSheetId="37">'[1]比较法-住宅'!$B$100:$M$100</definedName>
    <definedName name="住宅建筑类型">'比较法-住宅'!$B$100:$M$100</definedName>
    <definedName name="住宅建筑品质" localSheetId="37">'[1]比较法-住宅'!$B$107:$M$107</definedName>
    <definedName name="住宅建筑品质">'比较法-住宅'!$B$107:$M$107</definedName>
    <definedName name="住宅交易情况" localSheetId="37">'[1]比较法-住宅'!$A$61:$M$61</definedName>
    <definedName name="住宅交易情况">'比较法-住宅'!$A$61:$M$61</definedName>
    <definedName name="住宅楼层" localSheetId="37">'[1]比较法-住宅'!$B$86:$M$86</definedName>
    <definedName name="住宅楼层">'比较法-住宅'!$B$86:$M$86</definedName>
    <definedName name="住宅内部装修" localSheetId="37">'[1]比较法-住宅'!$B$122:$M$122</definedName>
    <definedName name="住宅内部装修">'比较法-住宅'!$B$122:$M$122</definedName>
    <definedName name="住宅物业管理" localSheetId="37">'[1]比较法-住宅'!$B$114:$M$114</definedName>
    <definedName name="住宅物业管理">'比较法-住宅'!$B$114:$M$114</definedName>
    <definedName name="住宅用途" localSheetId="37">'[1]比较法-住宅'!$B$63:$M$63</definedName>
    <definedName name="住宅用途">'比较法-住宅'!$B$63:$M$63</definedName>
    <definedName name="住宅主力户型面积">'比较法-住宅'!$B$120:$M$120</definedName>
    <definedName name="注册房地产估价师" localSheetId="37">[1]估价师及机构信息!$A$3:$A$16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N6" i="1" l="1"/>
  <c r="R22" i="80"/>
  <c r="C15" i="74"/>
  <c r="B15" i="74"/>
  <c r="K30" i="43"/>
  <c r="R18" i="80"/>
  <c r="R10" i="80"/>
  <c r="R8" i="80"/>
  <c r="R9" i="80"/>
  <c r="R11" i="80"/>
  <c r="R12" i="80"/>
  <c r="R13" i="80"/>
  <c r="R14" i="80"/>
  <c r="R15" i="80"/>
  <c r="R16" i="80"/>
  <c r="R17" i="80"/>
  <c r="R7" i="80"/>
  <c r="K5" i="74" l="1"/>
  <c r="L5" i="74"/>
  <c r="D15" i="74" l="1"/>
  <c r="S18" i="80" l="1"/>
  <c r="S17" i="80"/>
  <c r="S16" i="80"/>
  <c r="S15" i="80"/>
  <c r="S13" i="80"/>
  <c r="S12" i="80"/>
  <c r="S11" i="80"/>
  <c r="S10" i="80"/>
  <c r="S9" i="80"/>
  <c r="C24" i="37" l="1"/>
  <c r="C20" i="37"/>
  <c r="C18" i="37"/>
  <c r="I7" i="37" l="1"/>
  <c r="G7" i="37"/>
  <c r="E7" i="37"/>
  <c r="U7" i="80" l="1"/>
  <c r="E7" i="74" l="1"/>
  <c r="M13" i="82" l="1"/>
  <c r="P8" i="82"/>
  <c r="O8" i="82"/>
  <c r="O7" i="82"/>
  <c r="M7" i="82"/>
  <c r="N8" i="82"/>
  <c r="M8" i="82"/>
  <c r="P7" i="82"/>
  <c r="N7" i="82"/>
  <c r="N6" i="82"/>
  <c r="M6" i="82"/>
  <c r="L6" i="82"/>
  <c r="J9" i="82"/>
  <c r="I9" i="82"/>
  <c r="N5" i="82"/>
  <c r="M5" i="82"/>
  <c r="D8" i="82"/>
  <c r="D7" i="82"/>
  <c r="N4" i="82"/>
  <c r="H5" i="82"/>
  <c r="I7" i="82"/>
  <c r="J7" i="82" s="1"/>
  <c r="I5" i="82"/>
  <c r="J5" i="82" s="1"/>
  <c r="I8" i="82"/>
  <c r="J8" i="82" s="1"/>
  <c r="I6" i="82"/>
  <c r="J6" i="82" s="1"/>
  <c r="O4" i="82"/>
  <c r="P4" i="82"/>
  <c r="M4" i="82"/>
  <c r="G9" i="82"/>
  <c r="F6" i="82"/>
  <c r="F7" i="82"/>
  <c r="F5" i="82"/>
  <c r="M7" i="80"/>
  <c r="L7" i="80"/>
  <c r="W7" i="80" s="1"/>
  <c r="K2" i="82"/>
  <c r="H8" i="82"/>
  <c r="H7" i="82"/>
  <c r="D6" i="82"/>
  <c r="H6" i="82"/>
  <c r="D5" i="82"/>
  <c r="B8" i="82"/>
  <c r="D4" i="82"/>
  <c r="K13" i="3" l="1"/>
  <c r="L19" i="80"/>
  <c r="I13" i="3"/>
  <c r="O5" i="82"/>
  <c r="P5" i="82"/>
  <c r="O6" i="82"/>
  <c r="P6" i="82"/>
  <c r="L8" i="82"/>
  <c r="F8" i="82"/>
  <c r="L7" i="82"/>
  <c r="L5" i="82"/>
  <c r="L4" i="82"/>
  <c r="M18" i="82" l="1"/>
  <c r="W8" i="80" l="1"/>
  <c r="W9" i="80"/>
  <c r="W10" i="80"/>
  <c r="W11" i="80"/>
  <c r="W12" i="80"/>
  <c r="W13" i="80"/>
  <c r="W14" i="80"/>
  <c r="W15" i="80"/>
  <c r="W16" i="80"/>
  <c r="W17" i="80"/>
  <c r="W18" i="80"/>
  <c r="W19" i="80" l="1"/>
  <c r="I14" i="3"/>
  <c r="I15" i="3"/>
  <c r="I16" i="3"/>
  <c r="I17" i="3"/>
  <c r="I18" i="3"/>
  <c r="I19" i="3"/>
  <c r="I20" i="3"/>
  <c r="I21" i="3"/>
  <c r="I22" i="3"/>
  <c r="I23" i="3"/>
  <c r="I24" i="3"/>
  <c r="V7" i="80"/>
  <c r="Q7" i="80"/>
  <c r="N8" i="80"/>
  <c r="D33" i="43"/>
  <c r="N9" i="80" l="1"/>
  <c r="V8" i="80"/>
  <c r="U8" i="80"/>
  <c r="N10" i="80"/>
  <c r="Q9" i="80"/>
  <c r="Q8" i="80"/>
  <c r="G19" i="6"/>
  <c r="C14" i="3"/>
  <c r="C15" i="3"/>
  <c r="C16" i="3"/>
  <c r="C17" i="3"/>
  <c r="C18" i="3"/>
  <c r="C19" i="3"/>
  <c r="C20" i="3"/>
  <c r="C21" i="3"/>
  <c r="C22" i="3"/>
  <c r="C23" i="3"/>
  <c r="C24" i="3"/>
  <c r="C13" i="3"/>
  <c r="S19" i="80"/>
  <c r="G84" i="43"/>
  <c r="G85" i="43"/>
  <c r="G86" i="43"/>
  <c r="G87" i="43"/>
  <c r="G88" i="43"/>
  <c r="G89" i="43"/>
  <c r="G90" i="43"/>
  <c r="G83" i="43"/>
  <c r="D3" i="4"/>
  <c r="C60" i="78"/>
  <c r="D60" i="78" s="1"/>
  <c r="B55" i="78"/>
  <c r="D55" i="78" s="1"/>
  <c r="D53" i="78"/>
  <c r="D52" i="78"/>
  <c r="D51" i="78" s="1"/>
  <c r="B51" i="78"/>
  <c r="B56" i="78" s="1"/>
  <c r="U9" i="80" l="1"/>
  <c r="V9" i="80"/>
  <c r="V10" i="80"/>
  <c r="U10" i="80"/>
  <c r="N11" i="80"/>
  <c r="Q10" i="80"/>
  <c r="Q18" i="80" s="1"/>
  <c r="C51" i="78"/>
  <c r="C56" i="78" s="1"/>
  <c r="C58" i="78" s="1"/>
  <c r="B62" i="78"/>
  <c r="B54" i="78"/>
  <c r="D54" i="78" s="1"/>
  <c r="D56" i="78" s="1"/>
  <c r="V11" i="80" l="1"/>
  <c r="U11" i="80"/>
  <c r="N12" i="80"/>
  <c r="Q11" i="80"/>
  <c r="D58" i="78"/>
  <c r="D62" i="78" s="1"/>
  <c r="C62" i="78" s="1"/>
  <c r="U12" i="80" l="1"/>
  <c r="V12" i="80"/>
  <c r="N13" i="80"/>
  <c r="Q12" i="80"/>
  <c r="G14" i="73"/>
  <c r="F14" i="73"/>
  <c r="E14" i="73"/>
  <c r="U13" i="80" l="1"/>
  <c r="V13" i="80"/>
  <c r="N14" i="80"/>
  <c r="Q13" i="80"/>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U14" i="80" l="1"/>
  <c r="V14" i="80"/>
  <c r="N15" i="80"/>
  <c r="Q14" i="80"/>
  <c r="G15" i="73"/>
  <c r="F15" i="73"/>
  <c r="E15" i="73"/>
  <c r="G16" i="73"/>
  <c r="F16" i="73"/>
  <c r="E16" i="73"/>
  <c r="U15" i="80" l="1"/>
  <c r="V15" i="80"/>
  <c r="N16" i="80"/>
  <c r="Q15" i="80"/>
  <c r="AB32" i="79"/>
  <c r="AA32" i="79"/>
  <c r="Z32" i="79"/>
  <c r="N32" i="79"/>
  <c r="M32" i="79"/>
  <c r="P32" i="79" s="1"/>
  <c r="L32" i="79"/>
  <c r="I32" i="79"/>
  <c r="AC7" i="79"/>
  <c r="AB7" i="79"/>
  <c r="AA7" i="79"/>
  <c r="AD7" i="79" s="1"/>
  <c r="Z7" i="79"/>
  <c r="Y7" i="79"/>
  <c r="O7" i="79"/>
  <c r="N7" i="79"/>
  <c r="M7" i="79"/>
  <c r="P7" i="79" s="1"/>
  <c r="L7" i="79"/>
  <c r="K7" i="79"/>
  <c r="I7" i="79"/>
  <c r="U16" i="80" l="1"/>
  <c r="V16" i="80"/>
  <c r="N17" i="80"/>
  <c r="Q16" i="80"/>
  <c r="I10" i="79"/>
  <c r="U17" i="80" l="1"/>
  <c r="V17" i="80"/>
  <c r="N18" i="80"/>
  <c r="Q17" i="80"/>
  <c r="I35" i="79"/>
  <c r="I34" i="79"/>
  <c r="N34" i="79"/>
  <c r="M34" i="79"/>
  <c r="P34" i="79" s="1"/>
  <c r="L34" i="79"/>
  <c r="N35" i="79"/>
  <c r="M35" i="79"/>
  <c r="L35" i="79"/>
  <c r="O9" i="79"/>
  <c r="N9" i="79"/>
  <c r="M9" i="79"/>
  <c r="P9" i="79" s="1"/>
  <c r="L9" i="79"/>
  <c r="K9" i="79"/>
  <c r="O10" i="79"/>
  <c r="N10" i="79"/>
  <c r="M10" i="79"/>
  <c r="P10" i="79" s="1"/>
  <c r="L10" i="79"/>
  <c r="K10" i="79"/>
  <c r="V18" i="80" l="1"/>
  <c r="V19" i="80" s="1"/>
  <c r="R19" i="80" s="1"/>
  <c r="U18" i="80"/>
  <c r="P35" i="79"/>
  <c r="Y6" i="1" l="1"/>
  <c r="C33" i="37"/>
  <c r="G17" i="73"/>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D41" i="79" s="1"/>
  <c r="AB40" i="79"/>
  <c r="AA40" i="79"/>
  <c r="Z40" i="79"/>
  <c r="N40" i="79"/>
  <c r="U40" i="79" s="1"/>
  <c r="M40" i="79"/>
  <c r="L40" i="79"/>
  <c r="I40" i="79"/>
  <c r="AB39" i="79"/>
  <c r="AA39" i="79"/>
  <c r="Z39" i="79"/>
  <c r="N39" i="79"/>
  <c r="M39" i="79"/>
  <c r="T34" i="79" s="1"/>
  <c r="W34" i="79" s="1"/>
  <c r="L39" i="79"/>
  <c r="I39" i="79"/>
  <c r="AB33" i="79"/>
  <c r="AA33" i="79"/>
  <c r="AA28" i="79" s="1"/>
  <c r="AD28" i="79" s="1"/>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Z3" i="79" s="1"/>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AD32" i="79" l="1"/>
  <c r="AD31" i="79"/>
  <c r="S42" i="79"/>
  <c r="U44"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F24" i="71" s="1"/>
  <c r="F23" i="71" s="1"/>
  <c r="F22" i="71" s="1"/>
  <c r="P24" i="71"/>
  <c r="O24" i="71"/>
  <c r="C24" i="71"/>
  <c r="C23" i="71" s="1"/>
  <c r="Q25" i="71"/>
  <c r="P25" i="71"/>
  <c r="E24" i="71"/>
  <c r="V24" i="71" s="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6" i="74"/>
  <c r="F16" i="74"/>
  <c r="E17" i="74"/>
  <c r="F17" i="74"/>
  <c r="E18" i="74"/>
  <c r="F18" i="74"/>
  <c r="E19" i="74"/>
  <c r="F19" i="74"/>
  <c r="E20" i="74"/>
  <c r="F20" i="74"/>
  <c r="E21" i="74"/>
  <c r="F21" i="74"/>
  <c r="E22" i="74"/>
  <c r="F22" i="74"/>
  <c r="E23" i="74"/>
  <c r="F23" i="74"/>
  <c r="B3" i="74"/>
  <c r="C91" i="9"/>
  <c r="B8" i="72"/>
  <c r="O27" i="71"/>
  <c r="P27" i="71"/>
  <c r="Q27" i="71"/>
  <c r="AB27" i="71" s="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B88" i="71"/>
  <c r="B87" i="71"/>
  <c r="B86" i="71" s="1"/>
  <c r="D85" i="71"/>
  <c r="F84" i="71"/>
  <c r="F83" i="71" s="1"/>
  <c r="F82" i="71" s="1"/>
  <c r="E84" i="71"/>
  <c r="E83" i="71" s="1"/>
  <c r="E82" i="71" s="1"/>
  <c r="C84" i="71"/>
  <c r="D84" i="71"/>
  <c r="B84" i="71"/>
  <c r="B83" i="71"/>
  <c r="B82" i="71" s="1"/>
  <c r="D81" i="71"/>
  <c r="Q80" i="71"/>
  <c r="P80" i="71"/>
  <c r="O80" i="71"/>
  <c r="N80" i="71"/>
  <c r="F80" i="71"/>
  <c r="E80" i="71"/>
  <c r="U80" i="71" s="1"/>
  <c r="C80" i="71"/>
  <c r="T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E75" i="71" s="1"/>
  <c r="E74" i="71" s="1"/>
  <c r="U76" i="71"/>
  <c r="C76" i="71"/>
  <c r="T76" i="71" s="1"/>
  <c r="B76" i="71"/>
  <c r="B75" i="71" s="1"/>
  <c r="B74" i="71" s="1"/>
  <c r="S76" i="71"/>
  <c r="Q75" i="71"/>
  <c r="P75" i="71"/>
  <c r="O75" i="71"/>
  <c r="N75" i="71"/>
  <c r="F75" i="71"/>
  <c r="F74" i="71" s="1"/>
  <c r="Q74" i="71"/>
  <c r="P74" i="71"/>
  <c r="O74" i="71"/>
  <c r="N74" i="71"/>
  <c r="Q73" i="71"/>
  <c r="P73" i="71"/>
  <c r="O73" i="71"/>
  <c r="N73" i="71"/>
  <c r="D73" i="71"/>
  <c r="Q72" i="71"/>
  <c r="P72" i="71"/>
  <c r="O72" i="71"/>
  <c r="N72" i="71"/>
  <c r="F72" i="71"/>
  <c r="E72" i="71"/>
  <c r="U72" i="71"/>
  <c r="C72" i="71"/>
  <c r="T72" i="71" s="1"/>
  <c r="B72" i="71"/>
  <c r="Q71" i="71"/>
  <c r="P71" i="71"/>
  <c r="O71" i="71"/>
  <c r="N71" i="71"/>
  <c r="Q70" i="71"/>
  <c r="P70" i="71"/>
  <c r="O70" i="71"/>
  <c r="N70" i="71"/>
  <c r="Q69" i="71"/>
  <c r="P69" i="71"/>
  <c r="O69" i="71"/>
  <c r="N69" i="71"/>
  <c r="D69" i="71"/>
  <c r="F68" i="71"/>
  <c r="V68" i="71"/>
  <c r="E68" i="71"/>
  <c r="C68" i="71"/>
  <c r="B68" i="71"/>
  <c r="B67" i="71" s="1"/>
  <c r="B66" i="71" s="1"/>
  <c r="N66" i="71" s="1"/>
  <c r="S68" i="71"/>
  <c r="F67" i="71"/>
  <c r="D65" i="71"/>
  <c r="Q64" i="71"/>
  <c r="P64" i="71"/>
  <c r="O64" i="71"/>
  <c r="N64" i="71"/>
  <c r="Q63" i="71"/>
  <c r="P63" i="71"/>
  <c r="O63" i="71"/>
  <c r="N63" i="71"/>
  <c r="Q62" i="71"/>
  <c r="P62" i="71"/>
  <c r="E63" i="71" s="1"/>
  <c r="E64" i="71" s="1"/>
  <c r="U64" i="71" s="1"/>
  <c r="O62" i="71"/>
  <c r="N62" i="71"/>
  <c r="Q61" i="71"/>
  <c r="F62" i="71"/>
  <c r="F63" i="71" s="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D58" i="71" s="1"/>
  <c r="N57" i="71"/>
  <c r="B58" i="71"/>
  <c r="B59" i="7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c r="P49" i="71"/>
  <c r="E50" i="71" s="1"/>
  <c r="E51" i="71" s="1"/>
  <c r="E52" i="71"/>
  <c r="U52" i="71" s="1"/>
  <c r="O49" i="71"/>
  <c r="C50" i="71"/>
  <c r="C51" i="71" s="1"/>
  <c r="N49" i="71"/>
  <c r="B50"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s="1"/>
  <c r="N45" i="71"/>
  <c r="B46" i="71" s="1"/>
  <c r="D45" i="71"/>
  <c r="Q44" i="71"/>
  <c r="P44" i="71"/>
  <c r="O44" i="71"/>
  <c r="N44" i="71"/>
  <c r="Q43" i="71"/>
  <c r="P43" i="71"/>
  <c r="O43" i="71"/>
  <c r="N43" i="71"/>
  <c r="Q42" i="71"/>
  <c r="P42" i="71"/>
  <c r="O42" i="71"/>
  <c r="N42" i="71"/>
  <c r="B43" i="71" s="1"/>
  <c r="B44" i="71" s="1"/>
  <c r="S44" i="71" s="1"/>
  <c r="Q41" i="71"/>
  <c r="F42" i="71" s="1"/>
  <c r="F43" i="71" s="1"/>
  <c r="F44" i="71" s="1"/>
  <c r="V44" i="71" s="1"/>
  <c r="P41" i="71"/>
  <c r="E42" i="71"/>
  <c r="E43" i="71" s="1"/>
  <c r="E44" i="71" s="1"/>
  <c r="U44" i="71" s="1"/>
  <c r="O41" i="71"/>
  <c r="C42" i="71" s="1"/>
  <c r="N41" i="71"/>
  <c r="B42" i="71"/>
  <c r="D41" i="71"/>
  <c r="Q40" i="71"/>
  <c r="P40" i="71"/>
  <c r="O40" i="71"/>
  <c r="N40" i="71"/>
  <c r="Q39" i="71"/>
  <c r="AB39" i="71" s="1"/>
  <c r="P39" i="71"/>
  <c r="AA38" i="71" s="1"/>
  <c r="AA39" i="71"/>
  <c r="O39" i="71"/>
  <c r="N39" i="71"/>
  <c r="X39" i="71"/>
  <c r="Q38" i="71"/>
  <c r="P38" i="71"/>
  <c r="O38" i="71"/>
  <c r="Y38" i="71" s="1"/>
  <c r="Z38" i="71" s="1"/>
  <c r="N38" i="71"/>
  <c r="X38" i="71" s="1"/>
  <c r="F38" i="71"/>
  <c r="F39" i="71" s="1"/>
  <c r="F40" i="71" s="1"/>
  <c r="V40" i="71" s="1"/>
  <c r="Q37" i="71"/>
  <c r="P37" i="71"/>
  <c r="E38" i="71" s="1"/>
  <c r="E39" i="71" s="1"/>
  <c r="E40" i="71" s="1"/>
  <c r="U40" i="71" s="1"/>
  <c r="O37" i="71"/>
  <c r="N37" i="71"/>
  <c r="D37" i="71"/>
  <c r="Q36" i="71"/>
  <c r="P36" i="71"/>
  <c r="O36" i="71"/>
  <c r="Y35" i="71" s="1"/>
  <c r="Z35" i="71" s="1"/>
  <c r="N36" i="71"/>
  <c r="Q35" i="71"/>
  <c r="P35" i="71"/>
  <c r="AA35" i="71" s="1"/>
  <c r="O35" i="71"/>
  <c r="N35" i="71"/>
  <c r="X35" i="71" s="1"/>
  <c r="Q34" i="71"/>
  <c r="P34" i="71"/>
  <c r="O34" i="71"/>
  <c r="Y30" i="71" s="1"/>
  <c r="Z30" i="71" s="1"/>
  <c r="N34" i="71"/>
  <c r="Q33" i="71"/>
  <c r="F34" i="71" s="1"/>
  <c r="F35" i="71" s="1"/>
  <c r="F36" i="71" s="1"/>
  <c r="V36" i="71" s="1"/>
  <c r="P33" i="71"/>
  <c r="O33" i="71"/>
  <c r="N33" i="71"/>
  <c r="B34" i="71" s="1"/>
  <c r="B35" i="71" s="1"/>
  <c r="B36" i="71" s="1"/>
  <c r="S36" i="71" s="1"/>
  <c r="D33" i="71"/>
  <c r="Q32" i="71"/>
  <c r="P32" i="71"/>
  <c r="O32" i="71"/>
  <c r="N32" i="71"/>
  <c r="Q31" i="71"/>
  <c r="P31" i="71"/>
  <c r="O31" i="71"/>
  <c r="N31" i="71"/>
  <c r="Q30" i="71"/>
  <c r="P30" i="71"/>
  <c r="O30" i="71"/>
  <c r="N30" i="71"/>
  <c r="Q29" i="71"/>
  <c r="F30" i="71" s="1"/>
  <c r="F31" i="71" s="1"/>
  <c r="F32" i="71" s="1"/>
  <c r="V32" i="71" s="1"/>
  <c r="P29" i="71"/>
  <c r="O29" i="71"/>
  <c r="N29" i="71"/>
  <c r="D29" i="71"/>
  <c r="O28" i="71"/>
  <c r="N28" i="71"/>
  <c r="B30" i="71"/>
  <c r="B31" i="71"/>
  <c r="E30" i="71"/>
  <c r="E31" i="71"/>
  <c r="E32" i="71" s="1"/>
  <c r="U32" i="71" s="1"/>
  <c r="AA37" i="71"/>
  <c r="C30" i="71"/>
  <c r="C34" i="71"/>
  <c r="C38" i="71"/>
  <c r="D38" i="71" s="1"/>
  <c r="Y37" i="71"/>
  <c r="Z37" i="71" s="1"/>
  <c r="F51" i="71"/>
  <c r="F52" i="71" s="1"/>
  <c r="V52" i="71" s="1"/>
  <c r="C28" i="71"/>
  <c r="Y28" i="71"/>
  <c r="Z28" i="71" s="1"/>
  <c r="C39" i="71"/>
  <c r="D50" i="71"/>
  <c r="P28" i="71"/>
  <c r="E28" i="71" s="1"/>
  <c r="E55" i="71"/>
  <c r="E56" i="71" s="1"/>
  <c r="U56" i="71" s="1"/>
  <c r="E67" i="71"/>
  <c r="Q28" i="71"/>
  <c r="C59" i="71"/>
  <c r="D59" i="71" s="1"/>
  <c r="N67" i="71"/>
  <c r="T68" i="71"/>
  <c r="O68" i="71"/>
  <c r="D68" i="71"/>
  <c r="C67" i="71"/>
  <c r="D67" i="71" s="1"/>
  <c r="Q68" i="71"/>
  <c r="C71" i="71"/>
  <c r="E71" i="71"/>
  <c r="E70" i="71"/>
  <c r="D72" i="71"/>
  <c r="C75" i="71"/>
  <c r="D76" i="71"/>
  <c r="C79" i="71"/>
  <c r="D79" i="71" s="1"/>
  <c r="D80" i="71"/>
  <c r="C83" i="71"/>
  <c r="D83" i="71" s="1"/>
  <c r="F28" i="71"/>
  <c r="F27" i="71"/>
  <c r="F26" i="71"/>
  <c r="AA27" i="71"/>
  <c r="C66" i="71"/>
  <c r="C82" i="71"/>
  <c r="D82" i="71" s="1"/>
  <c r="C78" i="71"/>
  <c r="D78" i="71" s="1"/>
  <c r="C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c r="D66" i="36"/>
  <c r="E66" i="36" s="1"/>
  <c r="F66" i="36" s="1"/>
  <c r="G66" i="36" s="1"/>
  <c r="H18" i="36"/>
  <c r="AB18" i="36" s="1"/>
  <c r="F18" i="36"/>
  <c r="AA18" i="36" s="1"/>
  <c r="C18" i="36"/>
  <c r="Q18" i="35"/>
  <c r="Z18" i="35" s="1"/>
  <c r="D68" i="35"/>
  <c r="E68" i="35"/>
  <c r="F68" i="35" s="1"/>
  <c r="G68" i="35" s="1"/>
  <c r="F18" i="35"/>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S18" i="36"/>
  <c r="H25" i="40"/>
  <c r="J25" i="40"/>
  <c r="H29" i="39"/>
  <c r="AB29" i="39" s="1"/>
  <c r="J29" i="39"/>
  <c r="AC29" i="39" s="1"/>
  <c r="J18" i="36"/>
  <c r="H18" i="35"/>
  <c r="AB18" i="35" s="1"/>
  <c r="J18" i="35"/>
  <c r="H21" i="37"/>
  <c r="AB21" i="37" s="1"/>
  <c r="F21" i="37"/>
  <c r="AA21" i="37" s="1"/>
  <c r="H21" i="34"/>
  <c r="H21" i="33"/>
  <c r="U21" i="33" s="1"/>
  <c r="F21" i="33"/>
  <c r="S21" i="33" s="1"/>
  <c r="E83" i="21"/>
  <c r="F83" i="21" s="1"/>
  <c r="H1" i="69"/>
  <c r="AC25" i="40"/>
  <c r="W25" i="40"/>
  <c r="U29" i="39"/>
  <c r="AB21" i="33"/>
  <c r="AA21" i="33"/>
  <c r="J21" i="37"/>
  <c r="J21" i="34"/>
  <c r="W21" i="34" s="1"/>
  <c r="J21" i="33"/>
  <c r="W21" i="33" s="1"/>
  <c r="H21" i="21"/>
  <c r="U21" i="21" s="1"/>
  <c r="F38" i="69"/>
  <c r="E37" i="69"/>
  <c r="F36" i="69"/>
  <c r="F35" i="69"/>
  <c r="F21" i="69"/>
  <c r="F40" i="69" s="1"/>
  <c r="F20" i="69"/>
  <c r="F39" i="69" s="1"/>
  <c r="E10" i="69"/>
  <c r="E9" i="69"/>
  <c r="AC21" i="33"/>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A95" i="3" s="1"/>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A78" i="3" s="1"/>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A55" i="3" s="1"/>
  <c r="BB55" i="3"/>
  <c r="AX55" i="3"/>
  <c r="AW55" i="3"/>
  <c r="AV55" i="3"/>
  <c r="AC55" i="3"/>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s="1"/>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K5" i="3" s="1"/>
  <c r="BJ21" i="3"/>
  <c r="BI21" i="3"/>
  <c r="BH21" i="3"/>
  <c r="BG21" i="3"/>
  <c r="BG5" i="3" s="1"/>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I5" i="3" s="1"/>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L166" i="3" s="1"/>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L161" i="3" s="1"/>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A134" i="3" s="1"/>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G116" i="3" s="1"/>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A301" i="3" s="1"/>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G299" i="3" s="1"/>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G279" i="3" s="1"/>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L272" i="3" s="1"/>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A265" i="3" s="1"/>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L237" i="3" s="1"/>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A331" i="3" s="1"/>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A489" i="3" s="1"/>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L484" i="3" s="1"/>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L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A480" i="3" s="1"/>
  <c r="AZ480" i="3" s="1"/>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A466" i="3" s="1"/>
  <c r="AZ466" i="3" s="1"/>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L462" i="3" s="1"/>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L458" i="3" s="1"/>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A448" i="3" s="1"/>
  <c r="AZ448" i="3" s="1"/>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A437" i="3" s="1"/>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G44" i="43" s="1"/>
  <c r="G15" i="4"/>
  <c r="F12" i="1" s="1"/>
  <c r="G12" i="1" s="1"/>
  <c r="F15" i="4"/>
  <c r="F11" i="1" s="1"/>
  <c r="G11" i="1" s="1"/>
  <c r="D15" i="4"/>
  <c r="F7" i="1" s="1"/>
  <c r="G7" i="1" s="1"/>
  <c r="C15" i="4"/>
  <c r="F6" i="1" s="1"/>
  <c r="L21" i="4"/>
  <c r="F19" i="4"/>
  <c r="F2" i="52"/>
  <c r="B50" i="72"/>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S5" i="3" s="1"/>
  <c r="BR14" i="3"/>
  <c r="BR15" i="3"/>
  <c r="BR16" i="3"/>
  <c r="BR17" i="3"/>
  <c r="BT13" i="3"/>
  <c r="BT14" i="3"/>
  <c r="BT15" i="3"/>
  <c r="BT16" i="3"/>
  <c r="BT17" i="3"/>
  <c r="BM14" i="3"/>
  <c r="BM15" i="3"/>
  <c r="BM16" i="3"/>
  <c r="BM17" i="3"/>
  <c r="BO13" i="3"/>
  <c r="BO14" i="3"/>
  <c r="BO15" i="3"/>
  <c r="BO16" i="3"/>
  <c r="BO17" i="3"/>
  <c r="BN13" i="3"/>
  <c r="BN14" i="3"/>
  <c r="BL14" i="3" s="1"/>
  <c r="BN15" i="3"/>
  <c r="BN16" i="3"/>
  <c r="BN17" i="3"/>
  <c r="BP13" i="3"/>
  <c r="BP14" i="3"/>
  <c r="BP15" i="3"/>
  <c r="BP16" i="3"/>
  <c r="BP17" i="3"/>
  <c r="BP5" i="3"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J5" i="3" s="1"/>
  <c r="BK14" i="3"/>
  <c r="BB15" i="3"/>
  <c r="BC15" i="3"/>
  <c r="BD15" i="3"/>
  <c r="BE15" i="3"/>
  <c r="BF15" i="3"/>
  <c r="BG15" i="3"/>
  <c r="BH15" i="3"/>
  <c r="BH5" i="3" s="1"/>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G16" i="3" s="1"/>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6" i="39" s="1"/>
  <c r="AC36" i="39" s="1"/>
  <c r="J30" i="36"/>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U34" i="37" s="1"/>
  <c r="D101" i="37"/>
  <c r="F34" i="37"/>
  <c r="AA34" i="37" s="1"/>
  <c r="D99" i="37"/>
  <c r="E99" i="37" s="1"/>
  <c r="F99" i="37" s="1"/>
  <c r="H42" i="34"/>
  <c r="J42" i="34"/>
  <c r="W42" i="34" s="1"/>
  <c r="F42" i="34"/>
  <c r="J38" i="34"/>
  <c r="W38" i="34" s="1"/>
  <c r="D114" i="34"/>
  <c r="F38" i="34"/>
  <c r="S38" i="34"/>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H38" i="40" s="1"/>
  <c r="AB38" i="40" s="1"/>
  <c r="D115" i="40"/>
  <c r="E115" i="40" s="1"/>
  <c r="F115" i="40"/>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D100" i="40"/>
  <c r="E100" i="40" s="1"/>
  <c r="F100" i="40"/>
  <c r="G100" i="40" s="1"/>
  <c r="H100" i="40" s="1"/>
  <c r="I100" i="40"/>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Q37" i="40"/>
  <c r="Z37" i="40" s="1"/>
  <c r="Q36" i="40"/>
  <c r="Z36" i="40" s="1"/>
  <c r="Q35" i="40"/>
  <c r="Z35" i="40"/>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AB9" i="40" s="1"/>
  <c r="F9" i="40"/>
  <c r="S9" i="40" s="1"/>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H38" i="37" s="1"/>
  <c r="AB38" i="37" s="1"/>
  <c r="C23" i="37"/>
  <c r="C19" i="37"/>
  <c r="C17" i="37"/>
  <c r="C15" i="37"/>
  <c r="B112" i="37"/>
  <c r="D107" i="37"/>
  <c r="E107" i="37" s="1"/>
  <c r="D105" i="37"/>
  <c r="E105" i="37" s="1"/>
  <c r="D103" i="37"/>
  <c r="J35" i="37"/>
  <c r="W35" i="37" s="1"/>
  <c r="F97" i="37"/>
  <c r="E97" i="37"/>
  <c r="D97" i="37"/>
  <c r="C97" i="37"/>
  <c r="D96" i="37"/>
  <c r="E96" i="37" s="1"/>
  <c r="J32" i="37" s="1"/>
  <c r="AC32" i="37" s="1"/>
  <c r="D94" i="37"/>
  <c r="H31" i="37" s="1"/>
  <c r="AB31" i="37" s="1"/>
  <c r="M90" i="37"/>
  <c r="L90" i="37"/>
  <c r="K90" i="37"/>
  <c r="J90" i="37"/>
  <c r="I90" i="37"/>
  <c r="H90" i="37"/>
  <c r="G90" i="37"/>
  <c r="F90" i="37"/>
  <c r="E90" i="37"/>
  <c r="D90" i="37"/>
  <c r="C90" i="37"/>
  <c r="D89" i="37"/>
  <c r="B86" i="37"/>
  <c r="B84" i="37"/>
  <c r="H27" i="37" s="1"/>
  <c r="U27" i="37"/>
  <c r="B82" i="37"/>
  <c r="D79" i="37"/>
  <c r="E79" i="37" s="1"/>
  <c r="D75" i="37"/>
  <c r="E75" i="37" s="1"/>
  <c r="D73" i="37"/>
  <c r="E73" i="37" s="1"/>
  <c r="F73" i="37" s="1"/>
  <c r="D71" i="37"/>
  <c r="H15" i="37"/>
  <c r="AB15" i="37" s="1"/>
  <c r="B68" i="37"/>
  <c r="H14" i="37" s="1"/>
  <c r="AB14" i="37" s="1"/>
  <c r="B66" i="37"/>
  <c r="H13" i="37" s="1"/>
  <c r="B64" i="37"/>
  <c r="J12" i="37" s="1"/>
  <c r="W12" i="37" s="1"/>
  <c r="D63" i="37"/>
  <c r="E63" i="37" s="1"/>
  <c r="M61" i="37"/>
  <c r="L61" i="37"/>
  <c r="K61" i="37"/>
  <c r="J61" i="37"/>
  <c r="I61" i="37"/>
  <c r="H61" i="37"/>
  <c r="G61" i="37"/>
  <c r="F61" i="37"/>
  <c r="E61" i="37"/>
  <c r="D61" i="37"/>
  <c r="C61" i="37"/>
  <c r="C57" i="37"/>
  <c r="J9" i="37" s="1"/>
  <c r="W9" i="37" s="1"/>
  <c r="P43" i="37"/>
  <c r="P42" i="37"/>
  <c r="V41" i="37"/>
  <c r="T41" i="37"/>
  <c r="R41" i="37"/>
  <c r="P41" i="37"/>
  <c r="Q40" i="37"/>
  <c r="Z40" i="37" s="1"/>
  <c r="Q39" i="37"/>
  <c r="Z39" i="37" s="1"/>
  <c r="Q38" i="37"/>
  <c r="Z38" i="37" s="1"/>
  <c r="Q37" i="37"/>
  <c r="Z37" i="37"/>
  <c r="Q36" i="37"/>
  <c r="Z36" i="37" s="1"/>
  <c r="Q35" i="37"/>
  <c r="Z35" i="37" s="1"/>
  <c r="Q34" i="37"/>
  <c r="Z34" i="37" s="1"/>
  <c r="Q33" i="37"/>
  <c r="Z33" i="37"/>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H25" i="36" s="1"/>
  <c r="B73" i="36"/>
  <c r="J24" i="36"/>
  <c r="AC24" i="36" s="1"/>
  <c r="B71" i="36"/>
  <c r="H23" i="36" s="1"/>
  <c r="D70" i="36"/>
  <c r="H22" i="36"/>
  <c r="AB22" i="36" s="1"/>
  <c r="D68" i="36"/>
  <c r="E68" i="36" s="1"/>
  <c r="F68" i="36" s="1"/>
  <c r="G68" i="36" s="1"/>
  <c r="D64" i="36"/>
  <c r="E64" i="36" s="1"/>
  <c r="F64" i="36" s="1"/>
  <c r="G64" i="36" s="1"/>
  <c r="J16" i="36"/>
  <c r="W16" i="36" s="1"/>
  <c r="D62" i="36"/>
  <c r="E62" i="36"/>
  <c r="F62" i="36" s="1"/>
  <c r="G62" i="36" s="1"/>
  <c r="B59" i="36"/>
  <c r="B57" i="36"/>
  <c r="H12" i="36" s="1"/>
  <c r="U12" i="36" s="1"/>
  <c r="B55" i="36"/>
  <c r="C51" i="36"/>
  <c r="H9" i="36" s="1"/>
  <c r="AB9" i="36" s="1"/>
  <c r="P37" i="36"/>
  <c r="P36" i="36"/>
  <c r="V35" i="36"/>
  <c r="T35" i="36"/>
  <c r="R35" i="36"/>
  <c r="P35" i="36"/>
  <c r="Q34" i="36"/>
  <c r="Z34" i="36"/>
  <c r="Q33" i="36"/>
  <c r="Z33" i="36" s="1"/>
  <c r="Q32" i="36"/>
  <c r="Z32" i="36"/>
  <c r="Q31" i="36"/>
  <c r="Z31" i="36" s="1"/>
  <c r="Q30" i="36"/>
  <c r="Z30" i="36"/>
  <c r="AC30" i="36"/>
  <c r="Q29" i="36"/>
  <c r="Z29" i="36" s="1"/>
  <c r="Q28" i="36"/>
  <c r="Z28" i="36"/>
  <c r="J28" i="36"/>
  <c r="AC28" i="36" s="1"/>
  <c r="Q27" i="36"/>
  <c r="Z27" i="36" s="1"/>
  <c r="Q26" i="36"/>
  <c r="Z26" i="36" s="1"/>
  <c r="H26" i="36"/>
  <c r="AB26" i="36"/>
  <c r="Q25" i="36"/>
  <c r="Z25" i="36" s="1"/>
  <c r="Q24" i="36"/>
  <c r="Z24" i="36" s="1"/>
  <c r="H24" i="36"/>
  <c r="AB24" i="36" s="1"/>
  <c r="Q23" i="36"/>
  <c r="Z23" i="36"/>
  <c r="J23" i="36"/>
  <c r="AC23" i="36" s="1"/>
  <c r="AB23" i="36"/>
  <c r="F23" i="36"/>
  <c r="AA23" i="36"/>
  <c r="Q22" i="36"/>
  <c r="Z22" i="36"/>
  <c r="J22" i="36"/>
  <c r="AC22" i="36"/>
  <c r="Q20" i="36"/>
  <c r="Z20" i="36"/>
  <c r="Q16" i="36"/>
  <c r="Z16" i="36"/>
  <c r="Q14" i="36"/>
  <c r="Z14" i="36"/>
  <c r="Q13" i="36"/>
  <c r="Z13" i="36"/>
  <c r="Q12" i="36"/>
  <c r="Z12" i="36"/>
  <c r="Q11" i="36"/>
  <c r="Z11" i="36" s="1"/>
  <c r="Q10" i="36"/>
  <c r="Z10" i="36"/>
  <c r="F10" i="36"/>
  <c r="AA10" i="36" s="1"/>
  <c r="Q9" i="36"/>
  <c r="Z9" i="36" s="1"/>
  <c r="J9" i="36"/>
  <c r="AC9" i="36" s="1"/>
  <c r="J8" i="36"/>
  <c r="AC8" i="36" s="1"/>
  <c r="H8" i="36"/>
  <c r="U8" i="36" s="1"/>
  <c r="F8" i="36"/>
  <c r="AA8" i="36" s="1"/>
  <c r="D89" i="35"/>
  <c r="E89" i="35" s="1"/>
  <c r="M90" i="35"/>
  <c r="L90" i="35"/>
  <c r="K90" i="35"/>
  <c r="J90" i="35"/>
  <c r="I90" i="35"/>
  <c r="H90" i="35"/>
  <c r="G90" i="35"/>
  <c r="F90" i="35"/>
  <c r="E90" i="35"/>
  <c r="D90" i="35"/>
  <c r="C90" i="35"/>
  <c r="F85" i="35"/>
  <c r="E85" i="35"/>
  <c r="D85" i="35"/>
  <c r="C85" i="35"/>
  <c r="J27" i="35"/>
  <c r="AC27" i="35" s="1"/>
  <c r="H27" i="35"/>
  <c r="U27" i="35" s="1"/>
  <c r="F27" i="35"/>
  <c r="AA27" i="35" s="1"/>
  <c r="J22" i="35"/>
  <c r="AC22" i="35" s="1"/>
  <c r="B101" i="35"/>
  <c r="H36" i="35"/>
  <c r="AB36" i="35" s="1"/>
  <c r="B99" i="35"/>
  <c r="B97" i="35"/>
  <c r="H34" i="35" s="1"/>
  <c r="B77" i="35"/>
  <c r="B75" i="35"/>
  <c r="J24" i="35" s="1"/>
  <c r="AC24" i="35" s="1"/>
  <c r="B73" i="35"/>
  <c r="J23" i="35" s="1"/>
  <c r="AC23" i="35" s="1"/>
  <c r="H23" i="35"/>
  <c r="U23" i="35" s="1"/>
  <c r="B57" i="35"/>
  <c r="B61" i="35"/>
  <c r="B59" i="35"/>
  <c r="B131" i="34"/>
  <c r="B129" i="34"/>
  <c r="B127" i="34"/>
  <c r="B99" i="34"/>
  <c r="B97" i="34"/>
  <c r="H31" i="34" s="1"/>
  <c r="B95" i="34"/>
  <c r="B93" i="34"/>
  <c r="B75" i="34"/>
  <c r="B73" i="34"/>
  <c r="B71" i="34"/>
  <c r="J12" i="34" s="1"/>
  <c r="W12" i="34" s="1"/>
  <c r="B130" i="33"/>
  <c r="B128" i="33"/>
  <c r="B126" i="33"/>
  <c r="F44" i="33" s="1"/>
  <c r="B98" i="33"/>
  <c r="B96" i="33"/>
  <c r="B94" i="33"/>
  <c r="B74" i="33"/>
  <c r="J14" i="33" s="1"/>
  <c r="B72" i="33"/>
  <c r="B70" i="33"/>
  <c r="J12" i="33"/>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AB28" i="35"/>
  <c r="F28" i="35"/>
  <c r="AA28" i="35" s="1"/>
  <c r="Q27" i="35"/>
  <c r="Z27" i="35" s="1"/>
  <c r="Q26" i="35"/>
  <c r="Z26" i="35" s="1"/>
  <c r="Q25" i="35"/>
  <c r="Z25" i="35" s="1"/>
  <c r="Q24" i="35"/>
  <c r="Z24" i="35" s="1"/>
  <c r="Q23" i="35"/>
  <c r="Z23" i="35"/>
  <c r="Q22" i="35"/>
  <c r="Z22" i="35"/>
  <c r="Q20" i="35"/>
  <c r="Z20" i="35" s="1"/>
  <c r="Q16" i="35"/>
  <c r="Z16" i="35" s="1"/>
  <c r="Q14" i="35"/>
  <c r="Z14" i="35" s="1"/>
  <c r="Q13" i="35"/>
  <c r="Z13" i="35" s="1"/>
  <c r="Q12" i="35"/>
  <c r="Z12" i="35" s="1"/>
  <c r="H12" i="35"/>
  <c r="U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c r="Q23" i="34"/>
  <c r="Z23" i="34" s="1"/>
  <c r="C23" i="34"/>
  <c r="Q19" i="34"/>
  <c r="Z19" i="34"/>
  <c r="C19" i="34"/>
  <c r="Q17" i="34"/>
  <c r="Z17" i="34" s="1"/>
  <c r="C17" i="34"/>
  <c r="Q15" i="34"/>
  <c r="Z15" i="34" s="1"/>
  <c r="Q14" i="34"/>
  <c r="Z14" i="34" s="1"/>
  <c r="Q13" i="34"/>
  <c r="Z13" i="34"/>
  <c r="Q12" i="34"/>
  <c r="Z12" i="34" s="1"/>
  <c r="H12" i="34"/>
  <c r="Q11" i="34"/>
  <c r="Z11" i="34" s="1"/>
  <c r="Q10" i="34"/>
  <c r="Z10" i="34"/>
  <c r="F10" i="34"/>
  <c r="AA10" i="34" s="1"/>
  <c r="Q9" i="34"/>
  <c r="Z9" i="34" s="1"/>
  <c r="H9" i="34"/>
  <c r="J8" i="34"/>
  <c r="AC8" i="34" s="1"/>
  <c r="H8" i="34"/>
  <c r="U8" i="34" s="1"/>
  <c r="F8" i="34"/>
  <c r="D121" i="33"/>
  <c r="E121" i="33" s="1"/>
  <c r="F109" i="33"/>
  <c r="E109" i="33"/>
  <c r="D109" i="33"/>
  <c r="C109" i="33"/>
  <c r="D91" i="33"/>
  <c r="E91" i="33"/>
  <c r="B88" i="33"/>
  <c r="J26" i="33" s="1"/>
  <c r="C23" i="33"/>
  <c r="C19" i="33"/>
  <c r="C17" i="33"/>
  <c r="C15" i="33"/>
  <c r="C15" i="21"/>
  <c r="D125" i="33"/>
  <c r="D123" i="33"/>
  <c r="D117" i="33"/>
  <c r="E117" i="33" s="1"/>
  <c r="F117" i="33"/>
  <c r="G117" i="33" s="1"/>
  <c r="D115" i="33"/>
  <c r="E115" i="33"/>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H54" i="33"/>
  <c r="F54" i="33"/>
  <c r="P49" i="33"/>
  <c r="P48" i="33"/>
  <c r="V47" i="33"/>
  <c r="T47" i="33"/>
  <c r="R47" i="33"/>
  <c r="P47" i="33"/>
  <c r="Q46" i="33"/>
  <c r="Z46" i="33"/>
  <c r="Q45" i="33"/>
  <c r="Z45" i="33" s="1"/>
  <c r="Q44" i="33"/>
  <c r="Z44" i="33" s="1"/>
  <c r="Q43" i="33"/>
  <c r="Z43" i="33" s="1"/>
  <c r="Q42" i="33"/>
  <c r="Z42" i="33"/>
  <c r="J42" i="33"/>
  <c r="AC42" i="33" s="1"/>
  <c r="AC41" i="33"/>
  <c r="W41" i="33"/>
  <c r="Q41" i="33"/>
  <c r="Z41" i="33" s="1"/>
  <c r="Q40" i="33"/>
  <c r="Z40" i="33"/>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s="1"/>
  <c r="Q28" i="33"/>
  <c r="Z28" i="33" s="1"/>
  <c r="Q27" i="33"/>
  <c r="Z27" i="33" s="1"/>
  <c r="Q26" i="33"/>
  <c r="Z26" i="33" s="1"/>
  <c r="Q25" i="33"/>
  <c r="Z25" i="33"/>
  <c r="Q23" i="33"/>
  <c r="Z23" i="33" s="1"/>
  <c r="Q19" i="33"/>
  <c r="Z19" i="33"/>
  <c r="Q17" i="33"/>
  <c r="Z17" i="33" s="1"/>
  <c r="Q15" i="33"/>
  <c r="Z15" i="33" s="1"/>
  <c r="F15" i="33"/>
  <c r="AA15" i="33" s="1"/>
  <c r="Q14" i="33"/>
  <c r="Z14" i="33"/>
  <c r="Q13" i="33"/>
  <c r="Z13" i="33" s="1"/>
  <c r="Q12" i="33"/>
  <c r="Z12" i="33" s="1"/>
  <c r="H12" i="33"/>
  <c r="U12" i="33" s="1"/>
  <c r="Q11" i="33"/>
  <c r="Z11" i="33"/>
  <c r="Q10" i="33"/>
  <c r="Z10" i="33"/>
  <c r="Q9" i="33"/>
  <c r="Z9" i="33"/>
  <c r="H9" i="33"/>
  <c r="AB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C21" i="20"/>
  <c r="B99" i="43" s="1"/>
  <c r="C20" i="20"/>
  <c r="B101" i="43" s="1"/>
  <c r="C18" i="20"/>
  <c r="B94" i="43" s="1"/>
  <c r="C17" i="20"/>
  <c r="B61" i="43"/>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c r="G81" i="21" s="1"/>
  <c r="D77" i="21"/>
  <c r="E77" i="21" s="1"/>
  <c r="B130" i="21"/>
  <c r="B128" i="21"/>
  <c r="J45" i="21" s="1"/>
  <c r="W45" i="21" s="1"/>
  <c r="B126" i="21"/>
  <c r="J44" i="21" s="1"/>
  <c r="AC44" i="21" s="1"/>
  <c r="B98" i="21"/>
  <c r="H31" i="2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A585" i="3" s="1"/>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F5" i="3"/>
  <c r="G27" i="6"/>
  <c r="F34" i="21"/>
  <c r="AA34" i="21" s="1"/>
  <c r="H34" i="21"/>
  <c r="AB34" i="21"/>
  <c r="F43" i="21"/>
  <c r="S43" i="21" s="1"/>
  <c r="H38" i="21"/>
  <c r="H43" i="21"/>
  <c r="AB43" i="21" s="1"/>
  <c r="F38" i="21"/>
  <c r="S38" i="21"/>
  <c r="F36" i="21"/>
  <c r="S36" i="21" s="1"/>
  <c r="F39" i="21"/>
  <c r="AA39" i="21" s="1"/>
  <c r="J40" i="21"/>
  <c r="W40" i="21" s="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c r="F36" i="39"/>
  <c r="S36" i="39" s="1"/>
  <c r="H36" i="39"/>
  <c r="J35" i="39"/>
  <c r="AC35" i="39" s="1"/>
  <c r="F35" i="39"/>
  <c r="AA35" i="39"/>
  <c r="U9" i="39"/>
  <c r="U30" i="37"/>
  <c r="E103" i="37"/>
  <c r="F103" i="37" s="1"/>
  <c r="G103" i="37" s="1"/>
  <c r="H103" i="37" s="1"/>
  <c r="I103" i="37" s="1"/>
  <c r="J103" i="37" s="1"/>
  <c r="K103" i="37" s="1"/>
  <c r="L103" i="37" s="1"/>
  <c r="M103" i="37" s="1"/>
  <c r="F29" i="36"/>
  <c r="AA29" i="36" s="1"/>
  <c r="F16" i="36"/>
  <c r="AA16" i="36" s="1"/>
  <c r="W28" i="36"/>
  <c r="J33" i="36"/>
  <c r="AC33" i="36" s="1"/>
  <c r="H22" i="35"/>
  <c r="AB22" i="35"/>
  <c r="W28" i="35"/>
  <c r="U31" i="35"/>
  <c r="W22" i="35"/>
  <c r="S31" i="35"/>
  <c r="F36" i="34"/>
  <c r="J35" i="34"/>
  <c r="U34" i="34"/>
  <c r="H39" i="33"/>
  <c r="AB39" i="33"/>
  <c r="U35" i="33"/>
  <c r="S40" i="33"/>
  <c r="W33" i="33"/>
  <c r="W39" i="33"/>
  <c r="S27" i="35"/>
  <c r="F11" i="40"/>
  <c r="AA11" i="40"/>
  <c r="H11" i="40"/>
  <c r="AB11" i="40"/>
  <c r="AB39" i="40"/>
  <c r="AA9" i="40"/>
  <c r="U9" i="40"/>
  <c r="S34" i="40"/>
  <c r="U38" i="40"/>
  <c r="U34" i="40"/>
  <c r="F42" i="39"/>
  <c r="F41" i="39"/>
  <c r="S41" i="39" s="1"/>
  <c r="H40" i="39"/>
  <c r="AB40" i="39" s="1"/>
  <c r="H39" i="39"/>
  <c r="U39" i="39" s="1"/>
  <c r="S38" i="39"/>
  <c r="H34" i="39"/>
  <c r="U34" i="39" s="1"/>
  <c r="E108" i="39"/>
  <c r="F31" i="39"/>
  <c r="AA31" i="39" s="1"/>
  <c r="H19" i="39"/>
  <c r="AB19" i="39" s="1"/>
  <c r="F19" i="39"/>
  <c r="AA19" i="39" s="1"/>
  <c r="H17" i="39"/>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G100" i="39" s="1"/>
  <c r="H27" i="39"/>
  <c r="U27" i="39" s="1"/>
  <c r="J19" i="39"/>
  <c r="AC19" i="39" s="1"/>
  <c r="J17" i="39"/>
  <c r="J27" i="39"/>
  <c r="AC27" i="39" s="1"/>
  <c r="F27" i="39"/>
  <c r="F11" i="21"/>
  <c r="S11" i="21" s="1"/>
  <c r="S40" i="21"/>
  <c r="U34" i="21"/>
  <c r="C25" i="39"/>
  <c r="H11" i="39"/>
  <c r="S40" i="39"/>
  <c r="H32" i="33"/>
  <c r="AB32" i="33" s="1"/>
  <c r="H11" i="21"/>
  <c r="U11" i="21" s="1"/>
  <c r="J11" i="21"/>
  <c r="W11" i="21" s="1"/>
  <c r="H37" i="40"/>
  <c r="U37" i="40" s="1"/>
  <c r="H36" i="40"/>
  <c r="F35" i="40"/>
  <c r="AA35" i="40"/>
  <c r="H23" i="40"/>
  <c r="AB23" i="40" s="1"/>
  <c r="H17" i="40"/>
  <c r="U17" i="40" s="1"/>
  <c r="J15" i="40"/>
  <c r="W15" i="40" s="1"/>
  <c r="J11" i="40"/>
  <c r="W11" i="40"/>
  <c r="AC12" i="34"/>
  <c r="AB12" i="36"/>
  <c r="W32" i="40"/>
  <c r="S44" i="39"/>
  <c r="F37" i="39"/>
  <c r="AA37" i="39" s="1"/>
  <c r="J34" i="36"/>
  <c r="W34" i="36" s="1"/>
  <c r="U30" i="36"/>
  <c r="J30" i="35"/>
  <c r="W30" i="35" s="1"/>
  <c r="H30" i="35"/>
  <c r="AB30" i="35" s="1"/>
  <c r="F22" i="35"/>
  <c r="AA22" i="35" s="1"/>
  <c r="H10" i="35"/>
  <c r="U10" i="35" s="1"/>
  <c r="W30" i="36"/>
  <c r="H16" i="36"/>
  <c r="AB16" i="36" s="1"/>
  <c r="E85" i="36"/>
  <c r="F85" i="36" s="1"/>
  <c r="G85" i="36" s="1"/>
  <c r="H85" i="36" s="1"/>
  <c r="I85" i="36" s="1"/>
  <c r="J85" i="36"/>
  <c r="K85" i="36" s="1"/>
  <c r="L85" i="36" s="1"/>
  <c r="M85" i="36" s="1"/>
  <c r="J29" i="36"/>
  <c r="AC29" i="36" s="1"/>
  <c r="F12" i="36"/>
  <c r="S12" i="36" s="1"/>
  <c r="F24" i="36"/>
  <c r="AA24" i="36"/>
  <c r="F34" i="36"/>
  <c r="S34" i="36" s="1"/>
  <c r="F14" i="35"/>
  <c r="AA14" i="35" s="1"/>
  <c r="F23" i="35"/>
  <c r="AA23" i="35" s="1"/>
  <c r="J32" i="35"/>
  <c r="AC32" i="35" s="1"/>
  <c r="J16" i="35"/>
  <c r="AC16" i="35" s="1"/>
  <c r="H16" i="35"/>
  <c r="U16" i="35" s="1"/>
  <c r="F16" i="35"/>
  <c r="S16" i="35" s="1"/>
  <c r="H14" i="35"/>
  <c r="AB14" i="35" s="1"/>
  <c r="J29" i="35"/>
  <c r="W29" i="35" s="1"/>
  <c r="H33" i="35"/>
  <c r="J20" i="35"/>
  <c r="W20" i="35" s="1"/>
  <c r="F35" i="37"/>
  <c r="S35" i="37" s="1"/>
  <c r="E101" i="37"/>
  <c r="F101" i="37"/>
  <c r="G101" i="37" s="1"/>
  <c r="H101" i="37" s="1"/>
  <c r="I101" i="37" s="1"/>
  <c r="J101" i="37" s="1"/>
  <c r="K101" i="37" s="1"/>
  <c r="L101" i="37" s="1"/>
  <c r="M101" i="37" s="1"/>
  <c r="J34" i="37"/>
  <c r="W34" i="37" s="1"/>
  <c r="U42" i="34"/>
  <c r="H40" i="34"/>
  <c r="U40" i="34" s="1"/>
  <c r="E114" i="34"/>
  <c r="H36" i="34"/>
  <c r="U36" i="34" s="1"/>
  <c r="F37" i="34"/>
  <c r="AA37" i="34" s="1"/>
  <c r="S35" i="34"/>
  <c r="F28" i="34"/>
  <c r="AA28" i="34" s="1"/>
  <c r="F25" i="34"/>
  <c r="S25" i="34" s="1"/>
  <c r="H23" i="34"/>
  <c r="U23" i="34" s="1"/>
  <c r="J23" i="34"/>
  <c r="F19" i="34"/>
  <c r="H17" i="34"/>
  <c r="F15" i="34"/>
  <c r="AA15" i="34" s="1"/>
  <c r="J15" i="34"/>
  <c r="H15" i="34"/>
  <c r="AB15" i="34" s="1"/>
  <c r="W8" i="34"/>
  <c r="J28" i="34"/>
  <c r="F41" i="33"/>
  <c r="AA41" i="33" s="1"/>
  <c r="S38" i="33"/>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c r="F15" i="40"/>
  <c r="S15" i="40" s="1"/>
  <c r="H15" i="40"/>
  <c r="AB15" i="40" s="1"/>
  <c r="AC11" i="40"/>
  <c r="AA12" i="36"/>
  <c r="AB30" i="36"/>
  <c r="F29" i="35"/>
  <c r="H29" i="35"/>
  <c r="AB29" i="35" s="1"/>
  <c r="J43" i="34"/>
  <c r="AB42" i="34"/>
  <c r="J40" i="34"/>
  <c r="F114" i="34"/>
  <c r="G114" i="34" s="1"/>
  <c r="H114" i="34" s="1"/>
  <c r="I114" i="34" s="1"/>
  <c r="J114" i="34" s="1"/>
  <c r="K114" i="34" s="1"/>
  <c r="L114" i="34" s="1"/>
  <c r="M114" i="34" s="1"/>
  <c r="H38" i="34"/>
  <c r="AB38" i="34" s="1"/>
  <c r="J36" i="34"/>
  <c r="H37" i="34"/>
  <c r="U37" i="34" s="1"/>
  <c r="H25" i="34"/>
  <c r="AB25" i="34" s="1"/>
  <c r="J25" i="34"/>
  <c r="AC25" i="34" s="1"/>
  <c r="AB23" i="34"/>
  <c r="F23" i="34"/>
  <c r="AA23" i="34"/>
  <c r="J19" i="34"/>
  <c r="AC19" i="34" s="1"/>
  <c r="F17" i="34"/>
  <c r="AA17" i="34" s="1"/>
  <c r="J17" i="34"/>
  <c r="W17" i="34" s="1"/>
  <c r="S41" i="33"/>
  <c r="F113" i="33"/>
  <c r="G113" i="33"/>
  <c r="H113" i="33" s="1"/>
  <c r="I113" i="33" s="1"/>
  <c r="J113" i="33" s="1"/>
  <c r="K113" i="33" s="1"/>
  <c r="L113" i="33" s="1"/>
  <c r="M113" i="33" s="1"/>
  <c r="H37" i="33"/>
  <c r="AB37" i="33"/>
  <c r="H15" i="33"/>
  <c r="AB15" i="33" s="1"/>
  <c r="H11" i="33"/>
  <c r="AB11" i="33" s="1"/>
  <c r="F28" i="40"/>
  <c r="AA28" i="40"/>
  <c r="AA42" i="34"/>
  <c r="S42" i="34"/>
  <c r="AC38" i="34"/>
  <c r="AA38" i="34"/>
  <c r="J37" i="34"/>
  <c r="AC37" i="34" s="1"/>
  <c r="J11" i="33"/>
  <c r="W11" i="33" s="1"/>
  <c r="S28" i="34"/>
  <c r="M123" i="21"/>
  <c r="J42" i="21"/>
  <c r="AC42" i="21"/>
  <c r="H42" i="21"/>
  <c r="U42" i="21"/>
  <c r="J44" i="34"/>
  <c r="F44" i="34"/>
  <c r="J10" i="35"/>
  <c r="AC10" i="35" s="1"/>
  <c r="J14" i="21"/>
  <c r="W14" i="21"/>
  <c r="F14" i="21"/>
  <c r="S14" i="21" s="1"/>
  <c r="H14" i="21"/>
  <c r="U14" i="21" s="1"/>
  <c r="H28" i="21"/>
  <c r="AB28" i="21" s="1"/>
  <c r="F28" i="21"/>
  <c r="AA28" i="21"/>
  <c r="J28" i="21"/>
  <c r="W28" i="21" s="1"/>
  <c r="H30" i="21"/>
  <c r="U30" i="21" s="1"/>
  <c r="F30" i="21"/>
  <c r="S30" i="21" s="1"/>
  <c r="J30" i="21"/>
  <c r="AC30" i="21"/>
  <c r="H44" i="21"/>
  <c r="U44" i="21" s="1"/>
  <c r="F44" i="21"/>
  <c r="AA44" i="21" s="1"/>
  <c r="H46" i="21"/>
  <c r="U46" i="21"/>
  <c r="J46" i="21"/>
  <c r="F46" i="21"/>
  <c r="AA46" i="21" s="1"/>
  <c r="E119" i="21"/>
  <c r="F119" i="21" s="1"/>
  <c r="G119" i="21" s="1"/>
  <c r="H119" i="21" s="1"/>
  <c r="I119" i="21" s="1"/>
  <c r="J119" i="21" s="1"/>
  <c r="K119" i="21" s="1"/>
  <c r="L119" i="21" s="1"/>
  <c r="M119" i="21" s="1"/>
  <c r="H28" i="33"/>
  <c r="U28" i="33"/>
  <c r="F28" i="33"/>
  <c r="AA28" i="33"/>
  <c r="J28" i="33"/>
  <c r="W28" i="33"/>
  <c r="F33" i="35"/>
  <c r="S33" i="35"/>
  <c r="J33" i="35"/>
  <c r="AC33" i="35" s="1"/>
  <c r="F30" i="35"/>
  <c r="S30" i="35" s="1"/>
  <c r="F89" i="35"/>
  <c r="G89" i="35" s="1"/>
  <c r="H89" i="35"/>
  <c r="I89" i="35" s="1"/>
  <c r="J89" i="35" s="1"/>
  <c r="K89" i="35" s="1"/>
  <c r="L89" i="35" s="1"/>
  <c r="M89" i="35" s="1"/>
  <c r="H10" i="36"/>
  <c r="AB10" i="36" s="1"/>
  <c r="J14" i="36"/>
  <c r="AC14" i="36" s="1"/>
  <c r="H14" i="36"/>
  <c r="U14" i="36" s="1"/>
  <c r="F28" i="36"/>
  <c r="AA28" i="36" s="1"/>
  <c r="J13" i="21"/>
  <c r="AC13" i="21" s="1"/>
  <c r="H29" i="21"/>
  <c r="U29" i="21" s="1"/>
  <c r="J31" i="21"/>
  <c r="AC31" i="21" s="1"/>
  <c r="F31" i="21"/>
  <c r="S31" i="21"/>
  <c r="F45" i="21"/>
  <c r="AA45" i="21" s="1"/>
  <c r="F27" i="33"/>
  <c r="AA27" i="33" s="1"/>
  <c r="J13" i="33"/>
  <c r="H13" i="33"/>
  <c r="U13" i="33" s="1"/>
  <c r="F13" i="33"/>
  <c r="S13" i="33" s="1"/>
  <c r="J29" i="33"/>
  <c r="H29" i="33"/>
  <c r="U29" i="33"/>
  <c r="F29" i="33"/>
  <c r="S29" i="33" s="1"/>
  <c r="J31" i="33"/>
  <c r="H31" i="33"/>
  <c r="F31" i="33"/>
  <c r="H45" i="33"/>
  <c r="J45" i="33"/>
  <c r="W45" i="33" s="1"/>
  <c r="F45" i="33"/>
  <c r="AA45" i="33"/>
  <c r="J14" i="34"/>
  <c r="W14" i="34" s="1"/>
  <c r="F14" i="34"/>
  <c r="H14" i="34"/>
  <c r="H30" i="34"/>
  <c r="F30" i="34"/>
  <c r="S30" i="34" s="1"/>
  <c r="J30" i="34"/>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s="1"/>
  <c r="G89" i="37" s="1"/>
  <c r="H89" i="37" s="1"/>
  <c r="I89" i="37" s="1"/>
  <c r="J89" i="37" s="1"/>
  <c r="K89" i="37" s="1"/>
  <c r="L89" i="37" s="1"/>
  <c r="M89" i="37" s="1"/>
  <c r="J29" i="37"/>
  <c r="W29" i="37" s="1"/>
  <c r="F29" i="37"/>
  <c r="S29" i="37" s="1"/>
  <c r="F105" i="37"/>
  <c r="G105" i="37" s="1"/>
  <c r="H36" i="37"/>
  <c r="AB36" i="37" s="1"/>
  <c r="H40" i="37"/>
  <c r="U40" i="37" s="1"/>
  <c r="J40" i="37"/>
  <c r="AC40" i="37" s="1"/>
  <c r="F40" i="37"/>
  <c r="AA40" i="37" s="1"/>
  <c r="AC12" i="40"/>
  <c r="H14" i="33"/>
  <c r="U14" i="33" s="1"/>
  <c r="F14" i="33"/>
  <c r="S14" i="33"/>
  <c r="H30" i="33"/>
  <c r="AB30" i="33" s="1"/>
  <c r="F30" i="33"/>
  <c r="J30" i="33"/>
  <c r="H44" i="33"/>
  <c r="J44" i="33"/>
  <c r="W44" i="33" s="1"/>
  <c r="AC44" i="33"/>
  <c r="J46" i="33"/>
  <c r="AC46" i="33" s="1"/>
  <c r="F46" i="33"/>
  <c r="AA46" i="33" s="1"/>
  <c r="H46" i="33"/>
  <c r="AB46" i="33"/>
  <c r="H13" i="34"/>
  <c r="U13" i="34" s="1"/>
  <c r="J13" i="34"/>
  <c r="W13" i="34" s="1"/>
  <c r="F13" i="34"/>
  <c r="AA13" i="34" s="1"/>
  <c r="J29" i="34"/>
  <c r="F29" i="34"/>
  <c r="S29" i="34" s="1"/>
  <c r="H29" i="34"/>
  <c r="AB29" i="34" s="1"/>
  <c r="J31" i="34"/>
  <c r="AC31" i="34"/>
  <c r="F31" i="34"/>
  <c r="S31" i="34" s="1"/>
  <c r="H45" i="34"/>
  <c r="U45" i="34" s="1"/>
  <c r="J45" i="34"/>
  <c r="W45" i="34"/>
  <c r="F45" i="34"/>
  <c r="S45" i="34" s="1"/>
  <c r="H47" i="34"/>
  <c r="U47" i="34" s="1"/>
  <c r="F47" i="34"/>
  <c r="S47" i="34" s="1"/>
  <c r="J47" i="34"/>
  <c r="AC47" i="34"/>
  <c r="F13" i="35"/>
  <c r="J13" i="35"/>
  <c r="AC13" i="35" s="1"/>
  <c r="H13" i="35"/>
  <c r="U13" i="35" s="1"/>
  <c r="J25" i="35"/>
  <c r="W25" i="35"/>
  <c r="F25" i="35"/>
  <c r="S25" i="35" s="1"/>
  <c r="H25" i="35"/>
  <c r="AB25" i="35" s="1"/>
  <c r="J35" i="35"/>
  <c r="AC35" i="35" s="1"/>
  <c r="F35" i="35"/>
  <c r="AA35" i="35"/>
  <c r="H35" i="35"/>
  <c r="J25" i="36"/>
  <c r="W25" i="36" s="1"/>
  <c r="F25" i="36"/>
  <c r="S25" i="36" s="1"/>
  <c r="AB25" i="36"/>
  <c r="J13" i="37"/>
  <c r="W13" i="37" s="1"/>
  <c r="F28" i="37"/>
  <c r="AA28" i="37" s="1"/>
  <c r="J28" i="37"/>
  <c r="AC28" i="37" s="1"/>
  <c r="H28" i="37"/>
  <c r="F43" i="39"/>
  <c r="AA43" i="39" s="1"/>
  <c r="H43" i="39"/>
  <c r="J14" i="39"/>
  <c r="AC14" i="39" s="1"/>
  <c r="F14" i="39"/>
  <c r="H14" i="39"/>
  <c r="AB14" i="39" s="1"/>
  <c r="F12" i="40"/>
  <c r="S12" i="40" s="1"/>
  <c r="H12" i="40"/>
  <c r="AB12" i="40" s="1"/>
  <c r="H30" i="40"/>
  <c r="AB30" i="40" s="1"/>
  <c r="F33" i="40"/>
  <c r="AA33" i="40" s="1"/>
  <c r="H33" i="40"/>
  <c r="J35" i="40"/>
  <c r="AC35" i="40" s="1"/>
  <c r="J37" i="40"/>
  <c r="AC37" i="40" s="1"/>
  <c r="H13" i="40"/>
  <c r="U13" i="40" s="1"/>
  <c r="J13" i="40"/>
  <c r="W13" i="40" s="1"/>
  <c r="F13" i="40"/>
  <c r="AA13" i="40" s="1"/>
  <c r="F14" i="37"/>
  <c r="F27" i="37"/>
  <c r="AA27" i="37" s="1"/>
  <c r="F13" i="39"/>
  <c r="J13" i="39"/>
  <c r="W13" i="39" s="1"/>
  <c r="H13" i="39"/>
  <c r="H14" i="40"/>
  <c r="AB14" i="40"/>
  <c r="J14" i="40"/>
  <c r="W14" i="40" s="1"/>
  <c r="F14" i="40"/>
  <c r="J14" i="37"/>
  <c r="J27" i="37"/>
  <c r="AC27" i="37"/>
  <c r="U46" i="33"/>
  <c r="AA14" i="33"/>
  <c r="J36" i="37"/>
  <c r="AC36" i="37" s="1"/>
  <c r="J10" i="36"/>
  <c r="AC10" i="36" s="1"/>
  <c r="AB30" i="21"/>
  <c r="W31" i="34"/>
  <c r="S11" i="36"/>
  <c r="AB46" i="34"/>
  <c r="S45" i="33"/>
  <c r="AC28" i="21"/>
  <c r="BA586" i="3"/>
  <c r="F17" i="21"/>
  <c r="AA17" i="21" s="1"/>
  <c r="H17" i="21"/>
  <c r="AB17" i="21" s="1"/>
  <c r="F15" i="21"/>
  <c r="S15" i="21" s="1"/>
  <c r="J41" i="39"/>
  <c r="W41" i="39" s="1"/>
  <c r="W44"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AZ538" i="3" s="1"/>
  <c r="BL534" i="3"/>
  <c r="BL530" i="3"/>
  <c r="BL526" i="3"/>
  <c r="BL522" i="3"/>
  <c r="AZ522" i="3" s="1"/>
  <c r="BL516" i="3"/>
  <c r="BL512" i="3"/>
  <c r="BL506" i="3"/>
  <c r="BL502" i="3"/>
  <c r="AZ502" i="3" s="1"/>
  <c r="BL498" i="3"/>
  <c r="BL494" i="3"/>
  <c r="AZ494" i="3" s="1"/>
  <c r="BL582" i="3"/>
  <c r="BL578" i="3"/>
  <c r="BL574" i="3"/>
  <c r="BL570" i="3"/>
  <c r="BL566" i="3"/>
  <c r="BL562" i="3"/>
  <c r="BL556" i="3"/>
  <c r="BL552" i="3"/>
  <c r="BL544" i="3"/>
  <c r="BL540" i="3"/>
  <c r="BL536" i="3"/>
  <c r="G533" i="3"/>
  <c r="BL532" i="3"/>
  <c r="G529" i="3"/>
  <c r="BL528" i="3"/>
  <c r="G525" i="3"/>
  <c r="BL524" i="3"/>
  <c r="BL518" i="3"/>
  <c r="BL514" i="3"/>
  <c r="BL510" i="3"/>
  <c r="BL504" i="3"/>
  <c r="BL500" i="3"/>
  <c r="AZ500" i="3" s="1"/>
  <c r="BL496" i="3"/>
  <c r="G493" i="3"/>
  <c r="BA584" i="3"/>
  <c r="BA582" i="3"/>
  <c r="AZ582" i="3" s="1"/>
  <c r="BA580" i="3"/>
  <c r="AZ580" i="3" s="1"/>
  <c r="BA578" i="3"/>
  <c r="BA576" i="3"/>
  <c r="BA574" i="3"/>
  <c r="AZ574" i="3" s="1"/>
  <c r="BA572" i="3"/>
  <c r="AZ572" i="3" s="1"/>
  <c r="BA570" i="3"/>
  <c r="AZ570" i="3" s="1"/>
  <c r="BA568" i="3"/>
  <c r="BA566" i="3"/>
  <c r="AZ566" i="3" s="1"/>
  <c r="BA564" i="3"/>
  <c r="AZ564" i="3" s="1"/>
  <c r="BA562" i="3"/>
  <c r="BA560" i="3"/>
  <c r="BA558" i="3"/>
  <c r="AZ558" i="3" s="1"/>
  <c r="BA556" i="3"/>
  <c r="AZ556" i="3" s="1"/>
  <c r="BA554" i="3"/>
  <c r="AZ554" i="3" s="1"/>
  <c r="BA552" i="3"/>
  <c r="BA548" i="3"/>
  <c r="BA546" i="3"/>
  <c r="BA544" i="3"/>
  <c r="AZ544" i="3" s="1"/>
  <c r="BA542" i="3"/>
  <c r="AZ542" i="3" s="1"/>
  <c r="BA540" i="3"/>
  <c r="BA538" i="3"/>
  <c r="BA536" i="3"/>
  <c r="AZ536" i="3"/>
  <c r="BA534" i="3"/>
  <c r="AZ534" i="3"/>
  <c r="BA532" i="3"/>
  <c r="AZ532" i="3"/>
  <c r="BA530" i="3"/>
  <c r="BA528" i="3"/>
  <c r="AZ528" i="3" s="1"/>
  <c r="BA526" i="3"/>
  <c r="AZ526" i="3" s="1"/>
  <c r="BA524" i="3"/>
  <c r="AZ524" i="3" s="1"/>
  <c r="BA522" i="3"/>
  <c r="BA520" i="3"/>
  <c r="BA518" i="3"/>
  <c r="BA516" i="3"/>
  <c r="AZ516" i="3" s="1"/>
  <c r="BA514" i="3"/>
  <c r="BA512" i="3"/>
  <c r="AZ512" i="3" s="1"/>
  <c r="BA510" i="3"/>
  <c r="BA508" i="3"/>
  <c r="AZ508" i="3" s="1"/>
  <c r="BA506" i="3"/>
  <c r="BA504" i="3"/>
  <c r="AZ504" i="3" s="1"/>
  <c r="BA502" i="3"/>
  <c r="BA500" i="3"/>
  <c r="BA498" i="3"/>
  <c r="AZ498" i="3" s="1"/>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Z557" i="3" s="1"/>
  <c r="AC557" i="3"/>
  <c r="G557" i="3" s="1"/>
  <c r="BQ557" i="3"/>
  <c r="BL557" i="3" s="1"/>
  <c r="BQ583" i="3"/>
  <c r="BL583" i="3" s="1"/>
  <c r="BQ581" i="3"/>
  <c r="BL581" i="3" s="1"/>
  <c r="BQ579" i="3"/>
  <c r="BL579" i="3" s="1"/>
  <c r="BQ577" i="3"/>
  <c r="BL577" i="3" s="1"/>
  <c r="AZ577" i="3" s="1"/>
  <c r="BQ575" i="3"/>
  <c r="BL575" i="3"/>
  <c r="BQ573" i="3"/>
  <c r="BL573" i="3" s="1"/>
  <c r="BQ571" i="3"/>
  <c r="BL571" i="3" s="1"/>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BQ537" i="3"/>
  <c r="BL537" i="3" s="1"/>
  <c r="BQ535" i="3"/>
  <c r="BL535" i="3" s="1"/>
  <c r="AZ535" i="3" s="1"/>
  <c r="BQ533" i="3"/>
  <c r="BL533" i="3"/>
  <c r="AZ533" i="3" s="1"/>
  <c r="BQ531" i="3"/>
  <c r="BL531" i="3" s="1"/>
  <c r="BQ529" i="3"/>
  <c r="BL529" i="3" s="1"/>
  <c r="BQ527" i="3"/>
  <c r="BL527" i="3" s="1"/>
  <c r="BQ525" i="3"/>
  <c r="BL525" i="3" s="1"/>
  <c r="AZ525" i="3" s="1"/>
  <c r="BQ523" i="3"/>
  <c r="BL523" i="3" s="1"/>
  <c r="AZ523" i="3" s="1"/>
  <c r="BA521" i="3"/>
  <c r="AC521" i="3"/>
  <c r="BQ521" i="3"/>
  <c r="BL521" i="3" s="1"/>
  <c r="AZ521" i="3" s="1"/>
  <c r="BL520" i="3"/>
  <c r="G519" i="3"/>
  <c r="G517" i="3"/>
  <c r="G515" i="3"/>
  <c r="G513" i="3"/>
  <c r="G511" i="3"/>
  <c r="BQ519" i="3"/>
  <c r="BL519" i="3" s="1"/>
  <c r="BQ517" i="3"/>
  <c r="BL517" i="3" s="1"/>
  <c r="BQ515" i="3"/>
  <c r="BL515" i="3" s="1"/>
  <c r="AZ515" i="3" s="1"/>
  <c r="BQ513" i="3"/>
  <c r="BL513" i="3"/>
  <c r="BQ511" i="3"/>
  <c r="BL511" i="3" s="1"/>
  <c r="AZ511" i="3" s="1"/>
  <c r="BA509" i="3"/>
  <c r="AC509" i="3"/>
  <c r="BQ509" i="3"/>
  <c r="BL509" i="3" s="1"/>
  <c r="BL508" i="3"/>
  <c r="G507" i="3"/>
  <c r="G505" i="3"/>
  <c r="G503" i="3"/>
  <c r="G501" i="3"/>
  <c r="G499" i="3"/>
  <c r="G497" i="3"/>
  <c r="G495" i="3"/>
  <c r="BQ507" i="3"/>
  <c r="BQ505" i="3"/>
  <c r="BL505" i="3" s="1"/>
  <c r="AZ505" i="3" s="1"/>
  <c r="BQ503" i="3"/>
  <c r="BL503" i="3" s="1"/>
  <c r="BQ501" i="3"/>
  <c r="BL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F36" i="37"/>
  <c r="AA36" i="37" s="1"/>
  <c r="F31" i="40"/>
  <c r="AA31" i="40" s="1"/>
  <c r="H31" i="40"/>
  <c r="U31" i="40" s="1"/>
  <c r="F32" i="40"/>
  <c r="S32" i="40" s="1"/>
  <c r="H32" i="40"/>
  <c r="AB32" i="40" s="1"/>
  <c r="J36" i="40"/>
  <c r="W36" i="40" s="1"/>
  <c r="H42" i="33"/>
  <c r="AB42" i="33" s="1"/>
  <c r="J43" i="33"/>
  <c r="AC43" i="33"/>
  <c r="S28" i="31"/>
  <c r="S27" i="31"/>
  <c r="S26" i="31"/>
  <c r="U14" i="40"/>
  <c r="W23" i="35"/>
  <c r="W47" i="34"/>
  <c r="AA13" i="33"/>
  <c r="AC45" i="33"/>
  <c r="U11" i="33"/>
  <c r="U19" i="21"/>
  <c r="W44" i="21"/>
  <c r="F43" i="33"/>
  <c r="AA43" i="33" s="1"/>
  <c r="W15" i="34"/>
  <c r="AC15" i="34"/>
  <c r="W16" i="35"/>
  <c r="H37" i="21"/>
  <c r="U37" i="21" s="1"/>
  <c r="S42" i="21"/>
  <c r="H19" i="34"/>
  <c r="AB19" i="34" s="1"/>
  <c r="F36" i="35"/>
  <c r="S36" i="35" s="1"/>
  <c r="F9" i="37"/>
  <c r="S9" i="37" s="1"/>
  <c r="H12" i="37"/>
  <c r="AB12" i="37" s="1"/>
  <c r="F12" i="37"/>
  <c r="S12" i="37" s="1"/>
  <c r="E71" i="37"/>
  <c r="F71" i="37" s="1"/>
  <c r="G71" i="37" s="1"/>
  <c r="F15" i="37"/>
  <c r="AA15" i="37" s="1"/>
  <c r="F12" i="39"/>
  <c r="S12" i="39" s="1"/>
  <c r="J42" i="39"/>
  <c r="AC42" i="39" s="1"/>
  <c r="H21" i="40"/>
  <c r="AB21" i="40" s="1"/>
  <c r="AC12" i="37"/>
  <c r="J15" i="37"/>
  <c r="W15" i="37" s="1"/>
  <c r="AT6" i="3"/>
  <c r="H19" i="40"/>
  <c r="U19" i="40" s="1"/>
  <c r="F88" i="40"/>
  <c r="G88" i="40" s="1"/>
  <c r="F19" i="40"/>
  <c r="S19" i="40" s="1"/>
  <c r="AC1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AB41" i="39" s="1"/>
  <c r="W27" i="39"/>
  <c r="U40" i="39"/>
  <c r="AA41" i="39"/>
  <c r="W9" i="39"/>
  <c r="W8" i="39"/>
  <c r="J19" i="40"/>
  <c r="AC19" i="40" s="1"/>
  <c r="J50" i="40"/>
  <c r="H103" i="9"/>
  <c r="D8" i="53" s="1"/>
  <c r="B16" i="53"/>
  <c r="B33" i="72" s="1"/>
  <c r="C7" i="34"/>
  <c r="C7" i="36"/>
  <c r="C46" i="36" s="1"/>
  <c r="D46" i="36" s="1"/>
  <c r="E46" i="36" s="1"/>
  <c r="F46" i="36" s="1"/>
  <c r="G46" i="36" s="1"/>
  <c r="H46" i="36" s="1"/>
  <c r="I46" i="36" s="1"/>
  <c r="W35" i="40"/>
  <c r="A118" i="9"/>
  <c r="A4" i="52"/>
  <c r="B41" i="72" s="1"/>
  <c r="J11" i="39"/>
  <c r="W11" i="39"/>
  <c r="F11" i="39"/>
  <c r="S11" i="39" s="1"/>
  <c r="AA11" i="39"/>
  <c r="G4" i="4"/>
  <c r="I4" i="4"/>
  <c r="A2" i="9"/>
  <c r="F61" i="43"/>
  <c r="H64" i="43" s="1"/>
  <c r="BL549" i="3"/>
  <c r="AZ549" i="3" s="1"/>
  <c r="AZ514" i="3"/>
  <c r="AZ530" i="3"/>
  <c r="G546" i="3"/>
  <c r="G524" i="3"/>
  <c r="G303" i="3"/>
  <c r="BL304" i="3"/>
  <c r="G305" i="3"/>
  <c r="BL306" i="3"/>
  <c r="BA308" i="3"/>
  <c r="BA309" i="3"/>
  <c r="AZ309" i="3" s="1"/>
  <c r="BL309" i="3"/>
  <c r="G310" i="3"/>
  <c r="BA311" i="3"/>
  <c r="G319" i="3"/>
  <c r="BL320" i="3"/>
  <c r="G321" i="3"/>
  <c r="BL322" i="3"/>
  <c r="BA324" i="3"/>
  <c r="BA325" i="3"/>
  <c r="BL325" i="3"/>
  <c r="AZ325" i="3" s="1"/>
  <c r="G326" i="3"/>
  <c r="BA327" i="3"/>
  <c r="G335" i="3"/>
  <c r="BL336" i="3"/>
  <c r="G337" i="3"/>
  <c r="BL338" i="3"/>
  <c r="BA340" i="3"/>
  <c r="BA341" i="3"/>
  <c r="AZ341" i="3" s="1"/>
  <c r="BL341" i="3"/>
  <c r="BA343" i="3"/>
  <c r="BA345" i="3"/>
  <c r="BL355" i="3"/>
  <c r="G356" i="3"/>
  <c r="BL357" i="3"/>
  <c r="BA359" i="3"/>
  <c r="AZ359" i="3"/>
  <c r="BA360" i="3"/>
  <c r="BL360" i="3"/>
  <c r="G361" i="3"/>
  <c r="BA362" i="3"/>
  <c r="G370" i="3"/>
  <c r="BL371" i="3"/>
  <c r="G372" i="3"/>
  <c r="BL373" i="3"/>
  <c r="AZ373" i="3" s="1"/>
  <c r="BA375" i="3"/>
  <c r="BA376" i="3"/>
  <c r="AZ376" i="3" s="1"/>
  <c r="BL376" i="3"/>
  <c r="G377" i="3"/>
  <c r="BA378" i="3"/>
  <c r="AZ378" i="3"/>
  <c r="BL378" i="3"/>
  <c r="G379" i="3"/>
  <c r="BA380" i="3"/>
  <c r="AZ380" i="3" s="1"/>
  <c r="G388" i="3"/>
  <c r="BL389" i="3"/>
  <c r="G390" i="3"/>
  <c r="BL391" i="3"/>
  <c r="BA393" i="3"/>
  <c r="BA394" i="3"/>
  <c r="BL394" i="3"/>
  <c r="G113" i="3"/>
  <c r="BA115" i="3"/>
  <c r="BL116" i="3"/>
  <c r="AZ116" i="3" s="1"/>
  <c r="G117" i="3"/>
  <c r="BA119" i="3"/>
  <c r="BL120" i="3"/>
  <c r="G121" i="3"/>
  <c r="BA123" i="3"/>
  <c r="AZ123" i="3" s="1"/>
  <c r="BL124" i="3"/>
  <c r="G125" i="3"/>
  <c r="BA127" i="3"/>
  <c r="AZ127" i="3"/>
  <c r="BL128" i="3"/>
  <c r="G129" i="3"/>
  <c r="BA131" i="3"/>
  <c r="BL132" i="3"/>
  <c r="AZ132" i="3" s="1"/>
  <c r="G133" i="3"/>
  <c r="BA135" i="3"/>
  <c r="AZ135" i="3" s="1"/>
  <c r="BL136" i="3"/>
  <c r="G137" i="3"/>
  <c r="BA139" i="3"/>
  <c r="AZ139" i="3" s="1"/>
  <c r="BL140" i="3"/>
  <c r="G141" i="3"/>
  <c r="BA143" i="3"/>
  <c r="AZ143" i="3" s="1"/>
  <c r="BL144" i="3"/>
  <c r="G145" i="3"/>
  <c r="BA147" i="3"/>
  <c r="BL148" i="3"/>
  <c r="AZ148" i="3"/>
  <c r="G149" i="3"/>
  <c r="BA151" i="3"/>
  <c r="BL152" i="3"/>
  <c r="G153" i="3"/>
  <c r="BA155" i="3"/>
  <c r="AZ155" i="3" s="1"/>
  <c r="BL156" i="3"/>
  <c r="AZ156" i="3" s="1"/>
  <c r="G157" i="3"/>
  <c r="BA159" i="3"/>
  <c r="BL160" i="3"/>
  <c r="G161" i="3"/>
  <c r="BA163" i="3"/>
  <c r="AZ163" i="3"/>
  <c r="BL164" i="3"/>
  <c r="G165" i="3"/>
  <c r="BA167" i="3"/>
  <c r="AZ167" i="3"/>
  <c r="BL168" i="3"/>
  <c r="G169" i="3"/>
  <c r="BA171" i="3"/>
  <c r="AZ171" i="3"/>
  <c r="BL172" i="3"/>
  <c r="G173" i="3"/>
  <c r="BA175" i="3"/>
  <c r="AZ175" i="3"/>
  <c r="BL176" i="3"/>
  <c r="G177" i="3"/>
  <c r="BA179" i="3"/>
  <c r="BL180" i="3"/>
  <c r="AZ180" i="3"/>
  <c r="G181" i="3"/>
  <c r="BA183" i="3"/>
  <c r="BL184" i="3"/>
  <c r="G185" i="3"/>
  <c r="BA187" i="3"/>
  <c r="AZ187" i="3" s="1"/>
  <c r="BL188" i="3"/>
  <c r="AZ188" i="3" s="1"/>
  <c r="G189" i="3"/>
  <c r="BA191" i="3"/>
  <c r="AZ191" i="3" s="1"/>
  <c r="BL192" i="3"/>
  <c r="G193" i="3"/>
  <c r="BA195" i="3"/>
  <c r="AZ195" i="3"/>
  <c r="BL196" i="3"/>
  <c r="G197" i="3"/>
  <c r="BA199" i="3"/>
  <c r="AZ199" i="3" s="1"/>
  <c r="BL200" i="3"/>
  <c r="AZ200" i="3" s="1"/>
  <c r="G201" i="3"/>
  <c r="BA203" i="3"/>
  <c r="BL204" i="3"/>
  <c r="AZ184" i="3"/>
  <c r="AZ120" i="3"/>
  <c r="G534" i="3"/>
  <c r="G530" i="3"/>
  <c r="G522" i="3"/>
  <c r="G516" i="3"/>
  <c r="G512" i="3"/>
  <c r="G506" i="3"/>
  <c r="G498" i="3"/>
  <c r="G494" i="3"/>
  <c r="BA304" i="3"/>
  <c r="AZ304" i="3" s="1"/>
  <c r="BA305" i="3"/>
  <c r="AZ305" i="3" s="1"/>
  <c r="BL305" i="3"/>
  <c r="G306" i="3"/>
  <c r="G309" i="3"/>
  <c r="BL310" i="3"/>
  <c r="BA312" i="3"/>
  <c r="BA313" i="3"/>
  <c r="BL313" i="3"/>
  <c r="G314" i="3"/>
  <c r="G317" i="3"/>
  <c r="BL318" i="3"/>
  <c r="BA320" i="3"/>
  <c r="AZ320" i="3" s="1"/>
  <c r="BA321" i="3"/>
  <c r="BL321" i="3"/>
  <c r="G322" i="3"/>
  <c r="G325" i="3"/>
  <c r="BL326" i="3"/>
  <c r="BA328" i="3"/>
  <c r="BA329" i="3"/>
  <c r="AZ329" i="3" s="1"/>
  <c r="BL329" i="3"/>
  <c r="G330" i="3"/>
  <c r="G333" i="3"/>
  <c r="BL334" i="3"/>
  <c r="BA336" i="3"/>
  <c r="BA337" i="3"/>
  <c r="AZ337" i="3" s="1"/>
  <c r="BL337" i="3"/>
  <c r="G338" i="3"/>
  <c r="G341" i="3"/>
  <c r="BA342" i="3"/>
  <c r="BL342" i="3"/>
  <c r="AZ342" i="3"/>
  <c r="BA344" i="3"/>
  <c r="AZ344" i="3" s="1"/>
  <c r="BL344" i="3"/>
  <c r="BA346" i="3"/>
  <c r="BA347" i="3"/>
  <c r="BL347" i="3"/>
  <c r="G350" i="3"/>
  <c r="BA351" i="3"/>
  <c r="BL351" i="3"/>
  <c r="AZ351" i="3" s="1"/>
  <c r="G352" i="3"/>
  <c r="G354" i="3"/>
  <c r="BA355" i="3"/>
  <c r="AZ355" i="3"/>
  <c r="BA356" i="3"/>
  <c r="BL356" i="3"/>
  <c r="G357" i="3"/>
  <c r="G360" i="3"/>
  <c r="BL361" i="3"/>
  <c r="BA363" i="3"/>
  <c r="BA364" i="3"/>
  <c r="BL364" i="3"/>
  <c r="G365" i="3"/>
  <c r="G368" i="3"/>
  <c r="BL369" i="3"/>
  <c r="AZ369" i="3" s="1"/>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BA16" i="3"/>
  <c r="BL303" i="3"/>
  <c r="G304" i="3"/>
  <c r="BA306" i="3"/>
  <c r="BL307" i="3"/>
  <c r="G308" i="3"/>
  <c r="BA310" i="3"/>
  <c r="AZ310" i="3"/>
  <c r="BL311" i="3"/>
  <c r="AZ311" i="3" s="1"/>
  <c r="G312" i="3"/>
  <c r="BA314" i="3"/>
  <c r="AZ314" i="3"/>
  <c r="BL315" i="3"/>
  <c r="G316" i="3"/>
  <c r="BA318" i="3"/>
  <c r="AZ318" i="3" s="1"/>
  <c r="BL319" i="3"/>
  <c r="AZ319" i="3" s="1"/>
  <c r="G320" i="3"/>
  <c r="BA322" i="3"/>
  <c r="BL323" i="3"/>
  <c r="G324" i="3"/>
  <c r="BA326" i="3"/>
  <c r="AZ326" i="3" s="1"/>
  <c r="BL327" i="3"/>
  <c r="AZ327" i="3"/>
  <c r="G328" i="3"/>
  <c r="BA330" i="3"/>
  <c r="BL331" i="3"/>
  <c r="AZ331" i="3" s="1"/>
  <c r="G332" i="3"/>
  <c r="BA334" i="3"/>
  <c r="BL335" i="3"/>
  <c r="G336" i="3"/>
  <c r="BA338" i="3"/>
  <c r="AZ338" i="3" s="1"/>
  <c r="BL339" i="3"/>
  <c r="G340" i="3"/>
  <c r="BL343" i="3"/>
  <c r="G344" i="3"/>
  <c r="G348" i="3"/>
  <c r="G355" i="3"/>
  <c r="AZ218" i="3"/>
  <c r="G342" i="3"/>
  <c r="BL345" i="3"/>
  <c r="AZ345" i="3" s="1"/>
  <c r="G346" i="3"/>
  <c r="BL349" i="3"/>
  <c r="BL352" i="3"/>
  <c r="G353" i="3"/>
  <c r="BA357" i="3"/>
  <c r="BL358" i="3"/>
  <c r="G359" i="3"/>
  <c r="BA361" i="3"/>
  <c r="AZ361" i="3"/>
  <c r="BL362" i="3"/>
  <c r="G363" i="3"/>
  <c r="BA365" i="3"/>
  <c r="BL366" i="3"/>
  <c r="G367" i="3"/>
  <c r="BA369" i="3"/>
  <c r="BL370" i="3"/>
  <c r="G371" i="3"/>
  <c r="BA373" i="3"/>
  <c r="BL374" i="3"/>
  <c r="G375" i="3"/>
  <c r="BA377" i="3"/>
  <c r="AZ377" i="3"/>
  <c r="AZ229" i="3"/>
  <c r="AZ269" i="3"/>
  <c r="BA379" i="3"/>
  <c r="AZ379" i="3" s="1"/>
  <c r="BL380" i="3"/>
  <c r="G381" i="3"/>
  <c r="BA383" i="3"/>
  <c r="AZ383" i="3" s="1"/>
  <c r="BL384" i="3"/>
  <c r="G385" i="3"/>
  <c r="BA387" i="3"/>
  <c r="AZ387" i="3" s="1"/>
  <c r="BL388" i="3"/>
  <c r="G389" i="3"/>
  <c r="BA391" i="3"/>
  <c r="AZ391" i="3" s="1"/>
  <c r="BL392" i="3"/>
  <c r="G393" i="3"/>
  <c r="BM5" i="3"/>
  <c r="AZ506" i="3"/>
  <c r="AZ496" i="3"/>
  <c r="G548" i="3"/>
  <c r="G538" i="3"/>
  <c r="G520" i="3"/>
  <c r="G502" i="3"/>
  <c r="BN5" i="3"/>
  <c r="BE5" i="3"/>
  <c r="G17" i="3"/>
  <c r="BT5" i="3"/>
  <c r="AZ356" i="3"/>
  <c r="BR5" i="3"/>
  <c r="AZ499" i="3"/>
  <c r="AZ509" i="3"/>
  <c r="G509" i="3"/>
  <c r="BL493" i="3"/>
  <c r="AZ493" i="3"/>
  <c r="F83" i="43"/>
  <c r="H85" i="43" s="1"/>
  <c r="F50" i="43"/>
  <c r="H54" i="43" s="1"/>
  <c r="F72" i="43"/>
  <c r="H75" i="43" s="1"/>
  <c r="S14" i="35"/>
  <c r="U43" i="21"/>
  <c r="U35" i="21"/>
  <c r="AC35" i="21"/>
  <c r="AC11" i="39"/>
  <c r="AZ563" i="3"/>
  <c r="AZ501" i="3"/>
  <c r="W44" i="34"/>
  <c r="AC44" i="34"/>
  <c r="S15"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W24" i="36"/>
  <c r="J27" i="36"/>
  <c r="W27" i="36" s="1"/>
  <c r="AC33" i="40"/>
  <c r="F111" i="40"/>
  <c r="G111" i="40" s="1"/>
  <c r="H111" i="40" s="1"/>
  <c r="I111" i="40" s="1"/>
  <c r="J111" i="40" s="1"/>
  <c r="K111" i="40" s="1"/>
  <c r="L111" i="40" s="1"/>
  <c r="M111" i="40" s="1"/>
  <c r="H35" i="40"/>
  <c r="AB35" i="40" s="1"/>
  <c r="AC29" i="35"/>
  <c r="H35" i="37"/>
  <c r="U35" i="37" s="1"/>
  <c r="AC14" i="35"/>
  <c r="H20" i="35"/>
  <c r="U20" i="35" s="1"/>
  <c r="F20" i="35"/>
  <c r="AA20" i="35" s="1"/>
  <c r="AB23" i="35"/>
  <c r="AB29" i="36"/>
  <c r="U29" i="36"/>
  <c r="H32" i="37"/>
  <c r="AB32" i="37" s="1"/>
  <c r="H27" i="40"/>
  <c r="U27" i="40"/>
  <c r="J27" i="40"/>
  <c r="AC27" i="40" s="1"/>
  <c r="F27" i="40"/>
  <c r="S27" i="40"/>
  <c r="J30" i="40"/>
  <c r="AC30" i="40" s="1"/>
  <c r="F30" i="40"/>
  <c r="S30" i="40" s="1"/>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71" i="3"/>
  <c r="AZ133" i="3"/>
  <c r="F23" i="39"/>
  <c r="AA23" i="39" s="1"/>
  <c r="H27" i="36"/>
  <c r="U27" i="36" s="1"/>
  <c r="F27" i="36"/>
  <c r="AA27" i="36" s="1"/>
  <c r="H33" i="34"/>
  <c r="U33" i="34" s="1"/>
  <c r="F20" i="36"/>
  <c r="AA20" i="36" s="1"/>
  <c r="J33" i="34"/>
  <c r="AC33" i="34" s="1"/>
  <c r="H23" i="39"/>
  <c r="U23" i="39" s="1"/>
  <c r="D48" i="9"/>
  <c r="M52" i="9" s="1"/>
  <c r="K9" i="1"/>
  <c r="M9" i="1" s="1"/>
  <c r="D93" i="9"/>
  <c r="AC26" i="33"/>
  <c r="W26" i="33"/>
  <c r="W27" i="34"/>
  <c r="AC27" i="34"/>
  <c r="AB34" i="36"/>
  <c r="U34" i="36"/>
  <c r="AB33" i="36"/>
  <c r="U33" i="36"/>
  <c r="AC12" i="39"/>
  <c r="W12" i="39"/>
  <c r="AC39" i="40"/>
  <c r="W39" i="40"/>
  <c r="AZ412" i="3"/>
  <c r="AZ433" i="3"/>
  <c r="W12" i="33"/>
  <c r="AC12" i="33"/>
  <c r="AA32" i="36"/>
  <c r="S32" i="36"/>
  <c r="AZ437" i="3"/>
  <c r="U30" i="33"/>
  <c r="AC13" i="34"/>
  <c r="AA47" i="34"/>
  <c r="W28" i="37"/>
  <c r="S19" i="39"/>
  <c r="F12" i="33"/>
  <c r="H12" i="39"/>
  <c r="AB12" i="39"/>
  <c r="F39" i="40"/>
  <c r="B12" i="1"/>
  <c r="E12" i="1" s="1"/>
  <c r="B10" i="1"/>
  <c r="E10" i="1" s="1"/>
  <c r="K12" i="1"/>
  <c r="M12" i="1" s="1"/>
  <c r="S13" i="1"/>
  <c r="AR13" i="1" s="1"/>
  <c r="R13" i="1"/>
  <c r="J51" i="67"/>
  <c r="C42" i="1"/>
  <c r="C24" i="12" s="1"/>
  <c r="AC34" i="33"/>
  <c r="AA34" i="33"/>
  <c r="B41" i="1"/>
  <c r="F48" i="9" s="1"/>
  <c r="O52" i="9" s="1"/>
  <c r="AB37" i="40"/>
  <c r="S35" i="40"/>
  <c r="U35" i="40"/>
  <c r="AC36" i="40"/>
  <c r="AA32" i="40"/>
  <c r="S17" i="40"/>
  <c r="S23" i="40"/>
  <c r="AC17" i="40"/>
  <c r="AC15" i="40"/>
  <c r="AB27" i="40"/>
  <c r="AA19" i="40"/>
  <c r="S28" i="40"/>
  <c r="AA27" i="40"/>
  <c r="U21" i="40"/>
  <c r="AB19" i="40"/>
  <c r="U37" i="39"/>
  <c r="S43" i="39"/>
  <c r="S37" i="39"/>
  <c r="U35" i="39"/>
  <c r="F32" i="39"/>
  <c r="F106" i="39"/>
  <c r="G106" i="39" s="1"/>
  <c r="H106" i="39" s="1"/>
  <c r="I106" i="39" s="1"/>
  <c r="J106" i="39" s="1"/>
  <c r="K106" i="39" s="1"/>
  <c r="L106" i="39" s="1"/>
  <c r="M106" i="39" s="1"/>
  <c r="AB27" i="39"/>
  <c r="U31" i="39"/>
  <c r="J21" i="39"/>
  <c r="W21" i="39" s="1"/>
  <c r="F21" i="39"/>
  <c r="G94" i="39"/>
  <c r="H21" i="39"/>
  <c r="U21" i="39" s="1"/>
  <c r="W19" i="39"/>
  <c r="U19" i="39"/>
  <c r="S17" i="39"/>
  <c r="S15" i="39"/>
  <c r="AA12" i="39"/>
  <c r="S9" i="39"/>
  <c r="U14" i="39"/>
  <c r="AC13" i="39"/>
  <c r="U12" i="39"/>
  <c r="S23" i="36"/>
  <c r="U13" i="36"/>
  <c r="U26" i="36"/>
  <c r="AA26" i="36"/>
  <c r="AA34" i="36"/>
  <c r="AC26" i="36"/>
  <c r="AA22" i="36"/>
  <c r="W14" i="36"/>
  <c r="AB14" i="36"/>
  <c r="U22" i="36"/>
  <c r="S16" i="36"/>
  <c r="AA25" i="36"/>
  <c r="S24" i="36"/>
  <c r="U24" i="36"/>
  <c r="U23"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W13" i="35"/>
  <c r="F9" i="35"/>
  <c r="S9" i="35" s="1"/>
  <c r="H9" i="35"/>
  <c r="U9" i="35" s="1"/>
  <c r="AB40" i="37"/>
  <c r="W27" i="37"/>
  <c r="U29" i="37"/>
  <c r="W30" i="37"/>
  <c r="AC35" i="37"/>
  <c r="J17" i="37"/>
  <c r="W17" i="37" s="1"/>
  <c r="G73" i="37"/>
  <c r="F17" i="37"/>
  <c r="F79" i="37"/>
  <c r="F23" i="37"/>
  <c r="S23" i="37" s="1"/>
  <c r="AC13" i="37"/>
  <c r="H10" i="37"/>
  <c r="AB10" i="37" s="1"/>
  <c r="F63" i="37"/>
  <c r="F11" i="37"/>
  <c r="S11" i="37" s="1"/>
  <c r="W25" i="34"/>
  <c r="AB8" i="34"/>
  <c r="AA33" i="34"/>
  <c r="U43" i="34"/>
  <c r="AC39" i="34"/>
  <c r="W41" i="34"/>
  <c r="AC42" i="34"/>
  <c r="AB35" i="34"/>
  <c r="U39"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AB27" i="33" s="1"/>
  <c r="F87" i="33"/>
  <c r="H25" i="33"/>
  <c r="F25" i="33"/>
  <c r="S25" i="33" s="1"/>
  <c r="J23" i="33"/>
  <c r="AC23" i="33" s="1"/>
  <c r="F85" i="33"/>
  <c r="H23" i="33"/>
  <c r="F81" i="33"/>
  <c r="G81" i="33" s="1"/>
  <c r="F19" i="33"/>
  <c r="S19" i="33" s="1"/>
  <c r="W19" i="33"/>
  <c r="J17" i="33"/>
  <c r="AC17" i="33" s="1"/>
  <c r="F79" i="33"/>
  <c r="G79" i="33" s="1"/>
  <c r="S15" i="33"/>
  <c r="W15" i="33"/>
  <c r="U9" i="33"/>
  <c r="J10" i="33"/>
  <c r="W10" i="33" s="1"/>
  <c r="H10" i="33"/>
  <c r="U10" i="33" s="1"/>
  <c r="AC11" i="33"/>
  <c r="AB14" i="33"/>
  <c r="W43" i="21"/>
  <c r="W36" i="21"/>
  <c r="W41" i="21"/>
  <c r="AB39" i="21"/>
  <c r="AA43" i="21"/>
  <c r="S39" i="21"/>
  <c r="AA38" i="21"/>
  <c r="AA36" i="21"/>
  <c r="AC40" i="21"/>
  <c r="J15" i="21"/>
  <c r="W15" i="21" s="1"/>
  <c r="F77" i="21"/>
  <c r="G77" i="21"/>
  <c r="F23" i="21"/>
  <c r="S23" i="21" s="1"/>
  <c r="E85" i="21"/>
  <c r="AA14" i="21"/>
  <c r="D120" i="9"/>
  <c r="C18" i="9"/>
  <c r="D18" i="9" s="1"/>
  <c r="F34" i="15"/>
  <c r="F62" i="15" s="1"/>
  <c r="G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40"/>
  <c r="C63" i="40" s="1"/>
  <c r="M47" i="9"/>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S28" i="37"/>
  <c r="S40" i="37"/>
  <c r="AA40" i="34"/>
  <c r="AB40" i="34"/>
  <c r="U19" i="34"/>
  <c r="W19" i="34"/>
  <c r="AC45" i="34"/>
  <c r="AA31" i="34"/>
  <c r="AA30" i="34"/>
  <c r="AB45" i="34"/>
  <c r="AB47" i="34"/>
  <c r="U25" i="34"/>
  <c r="AB36"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s="1"/>
  <c r="J17" i="21"/>
  <c r="AC17" i="21" s="1"/>
  <c r="AC19" i="21"/>
  <c r="W39" i="21"/>
  <c r="AC14" i="21"/>
  <c r="W30" i="21"/>
  <c r="S46" i="21"/>
  <c r="H45" i="21"/>
  <c r="U45" i="21" s="1"/>
  <c r="F29" i="21"/>
  <c r="AA29" i="21" s="1"/>
  <c r="F13" i="21"/>
  <c r="AA13" i="21" s="1"/>
  <c r="AC38" i="21"/>
  <c r="H32" i="21"/>
  <c r="H9" i="21"/>
  <c r="U9" i="21" s="1"/>
  <c r="J9" i="21"/>
  <c r="AC9" i="21" s="1"/>
  <c r="J32" i="21"/>
  <c r="W32" i="21" s="1"/>
  <c r="F32" i="21"/>
  <c r="AA31" i="21"/>
  <c r="U17" i="21"/>
  <c r="W29" i="21"/>
  <c r="S19" i="21"/>
  <c r="S9" i="21"/>
  <c r="AA9" i="21"/>
  <c r="K141" i="21"/>
  <c r="K144" i="21"/>
  <c r="K143" i="21"/>
  <c r="AB25" i="21"/>
  <c r="AB44" i="21"/>
  <c r="AA30" i="21"/>
  <c r="W13" i="21"/>
  <c r="W42" i="21"/>
  <c r="AC45" i="21"/>
  <c r="F10" i="21"/>
  <c r="AA10" i="21" s="1"/>
  <c r="K145" i="21"/>
  <c r="W17" i="21"/>
  <c r="W25" i="21"/>
  <c r="W31" i="21"/>
  <c r="S17" i="21"/>
  <c r="AA15" i="21"/>
  <c r="AC27" i="21"/>
  <c r="AC26" i="21"/>
  <c r="AB29" i="21"/>
  <c r="S28" i="21"/>
  <c r="AC34" i="21"/>
  <c r="AB36" i="21"/>
  <c r="W30" i="40"/>
  <c r="C19" i="39"/>
  <c r="C15" i="40"/>
  <c r="C17" i="40"/>
  <c r="C23" i="40"/>
  <c r="C21" i="40"/>
  <c r="U30" i="40"/>
  <c r="B56" i="43"/>
  <c r="B67" i="43"/>
  <c r="B51" i="43"/>
  <c r="B54" i="43"/>
  <c r="B58" i="43"/>
  <c r="B65" i="43"/>
  <c r="B69" i="43"/>
  <c r="D22" i="15"/>
  <c r="E4" i="4"/>
  <c r="B5" i="62" s="1"/>
  <c r="B73" i="72" s="1"/>
  <c r="C4" i="4"/>
  <c r="AA39" i="40"/>
  <c r="S39" i="40"/>
  <c r="S12" i="33"/>
  <c r="AA12" i="33"/>
  <c r="J32" i="39"/>
  <c r="W32" i="39" s="1"/>
  <c r="H32" i="39"/>
  <c r="AB32" i="39" s="1"/>
  <c r="AA32" i="39"/>
  <c r="S32" i="39"/>
  <c r="AB21" i="39"/>
  <c r="AA21" i="39"/>
  <c r="S21" i="39"/>
  <c r="J23" i="37"/>
  <c r="AC23" i="37" s="1"/>
  <c r="G79" i="37"/>
  <c r="J10" i="37"/>
  <c r="W10" i="37" s="1"/>
  <c r="G63" i="37"/>
  <c r="H63" i="37" s="1"/>
  <c r="I63" i="37" s="1"/>
  <c r="H11" i="37"/>
  <c r="AB11" i="37" s="1"/>
  <c r="G70" i="34"/>
  <c r="H70" i="34" s="1"/>
  <c r="I70" i="34" s="1"/>
  <c r="J70" i="34" s="1"/>
  <c r="K70" i="34" s="1"/>
  <c r="L70" i="34" s="1"/>
  <c r="M70" i="34" s="1"/>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G91" i="33"/>
  <c r="H91" i="33" s="1"/>
  <c r="I91" i="33" s="1"/>
  <c r="J91" i="33" s="1"/>
  <c r="K91" i="33" s="1"/>
  <c r="L91" i="33" s="1"/>
  <c r="M91" i="33" s="1"/>
  <c r="J27" i="33"/>
  <c r="AC27" i="33" s="1"/>
  <c r="U25" i="33"/>
  <c r="AB25" i="33"/>
  <c r="AA25" i="33"/>
  <c r="G87" i="33"/>
  <c r="H87" i="33"/>
  <c r="I87" i="33" s="1"/>
  <c r="J87" i="33" s="1"/>
  <c r="K87" i="33" s="1"/>
  <c r="L87" i="33" s="1"/>
  <c r="M87" i="33" s="1"/>
  <c r="J25" i="33"/>
  <c r="AB23" i="33"/>
  <c r="U23" i="33"/>
  <c r="F23" i="33"/>
  <c r="G85" i="33"/>
  <c r="AA19" i="33"/>
  <c r="H19" i="33"/>
  <c r="U19" i="33" s="1"/>
  <c r="H17" i="33"/>
  <c r="U17" i="33" s="1"/>
  <c r="F17" i="33"/>
  <c r="S17" i="33" s="1"/>
  <c r="W17" i="33"/>
  <c r="S37" i="21"/>
  <c r="AA23" i="21"/>
  <c r="AB15" i="21"/>
  <c r="J23" i="21"/>
  <c r="F85" i="21"/>
  <c r="G85" i="21" s="1"/>
  <c r="H23" i="21"/>
  <c r="U23" i="21" s="1"/>
  <c r="S13" i="21"/>
  <c r="AP7" i="1"/>
  <c r="AB45" i="21"/>
  <c r="AB9" i="21"/>
  <c r="AA32" i="21"/>
  <c r="S32" i="21"/>
  <c r="W9" i="21"/>
  <c r="AB32" i="21"/>
  <c r="U32" i="21"/>
  <c r="U32" i="39"/>
  <c r="AC32" i="39"/>
  <c r="J63" i="37"/>
  <c r="K63" i="37" s="1"/>
  <c r="L63" i="37" s="1"/>
  <c r="M63" i="37" s="1"/>
  <c r="J11" i="37"/>
  <c r="AC11" i="37" s="1"/>
  <c r="J11" i="34"/>
  <c r="W11" i="34" s="1"/>
  <c r="AB36" i="33"/>
  <c r="W27" i="33"/>
  <c r="W25" i="33"/>
  <c r="AC25" i="33"/>
  <c r="AB19" i="33"/>
  <c r="AA17" i="33"/>
  <c r="AC23" i="21"/>
  <c r="W23" i="21"/>
  <c r="H109" i="9"/>
  <c r="AD3" i="71"/>
  <c r="J1" i="7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11" i="76"/>
  <c r="E2" i="68"/>
  <c r="M26" i="67"/>
  <c r="M9" i="15"/>
  <c r="C76" i="67"/>
  <c r="F42" i="67"/>
  <c r="F16" i="67"/>
  <c r="J15" i="67"/>
  <c r="D6" i="73"/>
  <c r="B11" i="76"/>
  <c r="B9" i="76"/>
  <c r="M23" i="67"/>
  <c r="M22" i="67"/>
  <c r="M6" i="15"/>
  <c r="F9" i="67"/>
  <c r="E10" i="76"/>
  <c r="M9" i="67"/>
  <c r="F42" i="15"/>
  <c r="M26" i="15"/>
  <c r="L47" i="15"/>
  <c r="F13" i="15"/>
  <c r="B13" i="76"/>
  <c r="B12" i="76"/>
  <c r="AO13" i="1"/>
  <c r="F3" i="73"/>
  <c r="F38" i="15"/>
  <c r="B7" i="76"/>
  <c r="J15" i="15"/>
  <c r="M8" i="67"/>
  <c r="L47" i="67"/>
  <c r="F36" i="67"/>
  <c r="F7" i="73"/>
  <c r="F6" i="67"/>
  <c r="F26" i="15"/>
  <c r="F9" i="15"/>
  <c r="F40" i="67"/>
  <c r="F37" i="15"/>
  <c r="L48" i="67"/>
  <c r="E2" i="69"/>
  <c r="F13" i="67"/>
  <c r="E9" i="76"/>
  <c r="B10" i="76"/>
  <c r="M6" i="67"/>
  <c r="E7" i="76"/>
  <c r="M28" i="15"/>
  <c r="F40" i="15"/>
  <c r="E8" i="76"/>
  <c r="B8" i="76"/>
  <c r="F26" i="67"/>
  <c r="M23" i="15"/>
  <c r="F43" i="67"/>
  <c r="M24" i="67"/>
  <c r="M29" i="67"/>
  <c r="E13" i="76"/>
  <c r="F5" i="73"/>
  <c r="F4" i="73"/>
  <c r="M8" i="15"/>
  <c r="E12" i="76"/>
  <c r="F6" i="73"/>
  <c r="M28" i="67"/>
  <c r="F20" i="31"/>
  <c r="F37" i="67"/>
  <c r="W40" i="37" l="1"/>
  <c r="F38" i="37"/>
  <c r="S38" i="37" s="1"/>
  <c r="J38" i="37"/>
  <c r="AC38" i="37" s="1"/>
  <c r="H39" i="37"/>
  <c r="AB39" i="37" s="1"/>
  <c r="C40" i="68"/>
  <c r="C40" i="69"/>
  <c r="C21" i="68"/>
  <c r="G99" i="37"/>
  <c r="H99" i="37" s="1"/>
  <c r="I99" i="37" s="1"/>
  <c r="J99" i="37" s="1"/>
  <c r="K99" i="37" s="1"/>
  <c r="L99" i="37" s="1"/>
  <c r="M99" i="37" s="1"/>
  <c r="F33" i="37"/>
  <c r="AA33" i="37" s="1"/>
  <c r="H33" i="37"/>
  <c r="AB33" i="37" s="1"/>
  <c r="J33" i="37"/>
  <c r="AC33" i="37" s="1"/>
  <c r="U8" i="37"/>
  <c r="AA29" i="37"/>
  <c r="AC29" i="37"/>
  <c r="H37" i="37"/>
  <c r="F37" i="37"/>
  <c r="F107" i="37"/>
  <c r="G107" i="37" s="1"/>
  <c r="H107" i="37" s="1"/>
  <c r="I107" i="37" s="1"/>
  <c r="J107" i="37" s="1"/>
  <c r="K107" i="37" s="1"/>
  <c r="L107" i="37" s="1"/>
  <c r="M107" i="37" s="1"/>
  <c r="J37" i="37"/>
  <c r="AC37" i="37" s="1"/>
  <c r="F32" i="37"/>
  <c r="AA32" i="37" s="1"/>
  <c r="F96" i="37"/>
  <c r="G96" i="37" s="1"/>
  <c r="H96" i="37" s="1"/>
  <c r="I96" i="37" s="1"/>
  <c r="J96" i="37" s="1"/>
  <c r="K96" i="37" s="1"/>
  <c r="L96" i="37" s="1"/>
  <c r="M96" i="37" s="1"/>
  <c r="F31" i="37"/>
  <c r="S31" i="37" s="1"/>
  <c r="E94" i="37"/>
  <c r="F94" i="37" s="1"/>
  <c r="G94" i="37" s="1"/>
  <c r="H94" i="37" s="1"/>
  <c r="I94" i="37" s="1"/>
  <c r="J94" i="37" s="1"/>
  <c r="K94" i="37" s="1"/>
  <c r="L94" i="37" s="1"/>
  <c r="M94" i="37" s="1"/>
  <c r="W39" i="37"/>
  <c r="W38" i="37"/>
  <c r="AA31" i="37"/>
  <c r="AC34" i="37"/>
  <c r="AB35" i="37"/>
  <c r="AB34" i="37"/>
  <c r="S27" i="37"/>
  <c r="U26" i="37"/>
  <c r="F19" i="37"/>
  <c r="S19" i="37" s="1"/>
  <c r="F75" i="37"/>
  <c r="G75" i="37" s="1"/>
  <c r="H19" i="37"/>
  <c r="AB19" i="37" s="1"/>
  <c r="J19" i="37"/>
  <c r="W19" i="37" s="1"/>
  <c r="AB13" i="37"/>
  <c r="U13" i="37"/>
  <c r="F13" i="37"/>
  <c r="U21" i="37"/>
  <c r="AC17" i="37"/>
  <c r="W23" i="37"/>
  <c r="U23" i="37"/>
  <c r="AA19" i="37"/>
  <c r="U19" i="37"/>
  <c r="AB17" i="37"/>
  <c r="U15" i="37"/>
  <c r="AC15" i="37"/>
  <c r="H9" i="37"/>
  <c r="U9" i="37" s="1"/>
  <c r="U38" i="37"/>
  <c r="U36" i="37"/>
  <c r="W36" i="37"/>
  <c r="S36" i="37"/>
  <c r="S34" i="37"/>
  <c r="U32" i="37"/>
  <c r="W32" i="37"/>
  <c r="U31" i="37"/>
  <c r="W31" i="37"/>
  <c r="S30" i="37"/>
  <c r="M20" i="67"/>
  <c r="F34" i="67"/>
  <c r="F62" i="67" s="1"/>
  <c r="B62" i="43"/>
  <c r="B75" i="43"/>
  <c r="BA13" i="3"/>
  <c r="AZ13" i="3" s="1"/>
  <c r="BA17" i="3"/>
  <c r="AZ17" i="3" s="1"/>
  <c r="BA15" i="3"/>
  <c r="A15" i="62"/>
  <c r="B61" i="72" s="1"/>
  <c r="J51" i="15"/>
  <c r="BC5" i="3"/>
  <c r="BB5" i="3"/>
  <c r="G29" i="6"/>
  <c r="BA14" i="3"/>
  <c r="AZ14" i="3" s="1"/>
  <c r="BD5" i="3"/>
  <c r="BO5" i="3"/>
  <c r="BF5" i="3"/>
  <c r="BL20" i="3"/>
  <c r="BA21" i="3"/>
  <c r="G23" i="3"/>
  <c r="H5" i="3"/>
  <c r="G15" i="3"/>
  <c r="F28" i="15"/>
  <c r="F28" i="67"/>
  <c r="F32" i="67"/>
  <c r="F60" i="67" s="1"/>
  <c r="F30" i="11"/>
  <c r="C48" i="11" s="1"/>
  <c r="F54" i="9"/>
  <c r="F32" i="15"/>
  <c r="F60" i="15" s="1"/>
  <c r="F52" i="9"/>
  <c r="F30" i="68"/>
  <c r="F48" i="68" s="1"/>
  <c r="M18" i="15"/>
  <c r="M18" i="67"/>
  <c r="D68" i="9"/>
  <c r="F30" i="69"/>
  <c r="F48" i="69" s="1"/>
  <c r="F31" i="12"/>
  <c r="D23" i="15"/>
  <c r="F29" i="6"/>
  <c r="C7" i="37"/>
  <c r="C52" i="37" s="1"/>
  <c r="D52" i="37" s="1"/>
  <c r="C7" i="21"/>
  <c r="G23" i="43"/>
  <c r="C23" i="43" s="1"/>
  <c r="D121" i="9"/>
  <c r="D7" i="52" s="1"/>
  <c r="D6" i="52"/>
  <c r="AB23" i="21"/>
  <c r="AA17" i="37"/>
  <c r="S17" i="37"/>
  <c r="AA23" i="37"/>
  <c r="W33" i="34"/>
  <c r="AB33" i="34"/>
  <c r="S23" i="39"/>
  <c r="S43" i="34"/>
  <c r="AB20" i="36"/>
  <c r="U25" i="39"/>
  <c r="AZ362" i="3"/>
  <c r="S25" i="21"/>
  <c r="AA25" i="21"/>
  <c r="AC5" i="3"/>
  <c r="G521" i="3"/>
  <c r="AZ520" i="3"/>
  <c r="U33" i="40"/>
  <c r="AB33" i="40"/>
  <c r="S14" i="34"/>
  <c r="AA14" i="34"/>
  <c r="W31" i="33"/>
  <c r="AC31" i="33"/>
  <c r="W28" i="34"/>
  <c r="AC28" i="34"/>
  <c r="AB17" i="39"/>
  <c r="U17" i="39"/>
  <c r="U38" i="21"/>
  <c r="AB38" i="21"/>
  <c r="AZ334" i="3"/>
  <c r="AZ347" i="3"/>
  <c r="AZ336" i="3"/>
  <c r="AZ503" i="3"/>
  <c r="AZ513" i="3"/>
  <c r="AZ575" i="3"/>
  <c r="U45" i="33"/>
  <c r="AB45" i="33"/>
  <c r="S44" i="34"/>
  <c r="AA44" i="34"/>
  <c r="U17" i="34"/>
  <c r="AB17" i="34"/>
  <c r="S44" i="33"/>
  <c r="AA44" i="33"/>
  <c r="U34" i="35"/>
  <c r="AB34" i="35"/>
  <c r="AZ540" i="3"/>
  <c r="AA14" i="40"/>
  <c r="S14" i="40"/>
  <c r="AA14" i="37"/>
  <c r="S14" i="37"/>
  <c r="AC36" i="34"/>
  <c r="W36" i="34"/>
  <c r="S29" i="35"/>
  <c r="AA29" i="35"/>
  <c r="AA42" i="39"/>
  <c r="S42" i="39"/>
  <c r="AZ585" i="3"/>
  <c r="AC31" i="40"/>
  <c r="W31" i="40"/>
  <c r="AZ364" i="3"/>
  <c r="AZ306" i="3"/>
  <c r="AZ527" i="3"/>
  <c r="AZ571" i="3"/>
  <c r="AZ579" i="3"/>
  <c r="AZ510" i="3"/>
  <c r="AZ552" i="3"/>
  <c r="AB36" i="40"/>
  <c r="U36" i="40"/>
  <c r="AB36" i="39"/>
  <c r="U36" i="39"/>
  <c r="BL585" i="3"/>
  <c r="H25" i="37"/>
  <c r="F25" i="37"/>
  <c r="G574" i="3"/>
  <c r="AZ360" i="3"/>
  <c r="AZ539" i="3"/>
  <c r="AZ529" i="3"/>
  <c r="AZ537" i="3"/>
  <c r="AZ518" i="3"/>
  <c r="AZ546" i="3"/>
  <c r="H27" i="21"/>
  <c r="F33" i="36"/>
  <c r="AB12" i="35"/>
  <c r="W8" i="40"/>
  <c r="U33" i="33"/>
  <c r="W40" i="39"/>
  <c r="B79" i="43"/>
  <c r="J9" i="33"/>
  <c r="J9" i="34"/>
  <c r="W27" i="35"/>
  <c r="J12" i="36"/>
  <c r="J38" i="40"/>
  <c r="F38" i="40"/>
  <c r="G585" i="3"/>
  <c r="BL587" i="3"/>
  <c r="AZ587" i="3" s="1"/>
  <c r="BL586" i="3"/>
  <c r="AZ586" i="3" s="1"/>
  <c r="BL550" i="3"/>
  <c r="AZ357" i="3"/>
  <c r="AZ322" i="3"/>
  <c r="AZ313" i="3"/>
  <c r="AZ394" i="3"/>
  <c r="AB34" i="39"/>
  <c r="AZ519" i="3"/>
  <c r="AZ531" i="3"/>
  <c r="AZ573" i="3"/>
  <c r="AZ583" i="3"/>
  <c r="AZ568" i="3"/>
  <c r="AZ576" i="3"/>
  <c r="F27" i="21"/>
  <c r="H26" i="33"/>
  <c r="AB8" i="39"/>
  <c r="C15" i="39"/>
  <c r="S34" i="39"/>
  <c r="F26" i="33"/>
  <c r="U31" i="36"/>
  <c r="F39" i="37"/>
  <c r="S39" i="37" s="1"/>
  <c r="G587" i="3"/>
  <c r="F12" i="34"/>
  <c r="S12" i="34" s="1"/>
  <c r="F12" i="35"/>
  <c r="J12" i="35"/>
  <c r="J25" i="37"/>
  <c r="BL16" i="3"/>
  <c r="AZ16" i="3" s="1"/>
  <c r="AZ435" i="3"/>
  <c r="AZ444" i="3"/>
  <c r="AZ462" i="3"/>
  <c r="BA551" i="3"/>
  <c r="AZ551" i="3" s="1"/>
  <c r="BA550" i="3"/>
  <c r="BL548" i="3"/>
  <c r="AZ548" i="3" s="1"/>
  <c r="BL410" i="3"/>
  <c r="BA422" i="3"/>
  <c r="BL431" i="3"/>
  <c r="BL434" i="3"/>
  <c r="G437" i="3"/>
  <c r="BL438" i="3"/>
  <c r="BL439" i="3"/>
  <c r="BL447" i="3"/>
  <c r="AZ451" i="3"/>
  <c r="BL465" i="3"/>
  <c r="AZ469" i="3"/>
  <c r="BA473" i="3"/>
  <c r="AZ473" i="3" s="1"/>
  <c r="AZ483" i="3"/>
  <c r="BL487" i="3"/>
  <c r="BA303" i="3"/>
  <c r="AZ303" i="3" s="1"/>
  <c r="BA307" i="3"/>
  <c r="AZ307" i="3" s="1"/>
  <c r="BA332" i="3"/>
  <c r="AZ332" i="3" s="1"/>
  <c r="BL332" i="3"/>
  <c r="BL350" i="3"/>
  <c r="BL224" i="3"/>
  <c r="BA237" i="3"/>
  <c r="AZ237" i="3" s="1"/>
  <c r="BA400" i="3"/>
  <c r="BA401" i="3"/>
  <c r="AZ401" i="3" s="1"/>
  <c r="BL402" i="3"/>
  <c r="AZ402" i="3" s="1"/>
  <c r="G403" i="3"/>
  <c r="BA404" i="3"/>
  <c r="AZ404" i="3" s="1"/>
  <c r="BA405" i="3"/>
  <c r="AZ405" i="3" s="1"/>
  <c r="BL406" i="3"/>
  <c r="AZ406" i="3" s="1"/>
  <c r="G407" i="3"/>
  <c r="BL407" i="3"/>
  <c r="BA414" i="3"/>
  <c r="AZ414" i="3" s="1"/>
  <c r="BA415" i="3"/>
  <c r="BA416" i="3"/>
  <c r="AZ416" i="3" s="1"/>
  <c r="BA418" i="3"/>
  <c r="BA425" i="3"/>
  <c r="BA426" i="3"/>
  <c r="BA427" i="3"/>
  <c r="AZ427" i="3" s="1"/>
  <c r="BL440" i="3"/>
  <c r="G441" i="3"/>
  <c r="BL441" i="3"/>
  <c r="AZ441" i="3" s="1"/>
  <c r="BL442" i="3"/>
  <c r="BL449" i="3"/>
  <c r="BL450" i="3"/>
  <c r="BA452" i="3"/>
  <c r="BL455" i="3"/>
  <c r="BL456" i="3"/>
  <c r="G459" i="3"/>
  <c r="BA460" i="3"/>
  <c r="AZ460" i="3" s="1"/>
  <c r="BA461" i="3"/>
  <c r="BL467" i="3"/>
  <c r="BL468" i="3"/>
  <c r="BA470" i="3"/>
  <c r="BL476" i="3"/>
  <c r="BL477" i="3"/>
  <c r="BL478" i="3"/>
  <c r="G479" i="3"/>
  <c r="BA482" i="3"/>
  <c r="BA484" i="3"/>
  <c r="AZ484" i="3" s="1"/>
  <c r="BL308" i="3"/>
  <c r="AZ308" i="3" s="1"/>
  <c r="BL316" i="3"/>
  <c r="BA367" i="3"/>
  <c r="AZ367" i="3" s="1"/>
  <c r="BA370" i="3"/>
  <c r="AZ370" i="3" s="1"/>
  <c r="G382" i="3"/>
  <c r="BA384" i="3"/>
  <c r="AZ384" i="3" s="1"/>
  <c r="BA386" i="3"/>
  <c r="AZ386" i="3" s="1"/>
  <c r="BA212" i="3"/>
  <c r="G215" i="3"/>
  <c r="AZ217" i="3"/>
  <c r="BL219" i="3"/>
  <c r="BA226" i="3"/>
  <c r="BL230" i="3"/>
  <c r="BA240" i="3"/>
  <c r="AZ240" i="3" s="1"/>
  <c r="BA242" i="3"/>
  <c r="AZ242" i="3" s="1"/>
  <c r="G253" i="3"/>
  <c r="BL262" i="3"/>
  <c r="BA270" i="3"/>
  <c r="AZ270" i="3" s="1"/>
  <c r="BA272" i="3"/>
  <c r="AZ272" i="3" s="1"/>
  <c r="BA288" i="3"/>
  <c r="BL15" i="3"/>
  <c r="BA398" i="3"/>
  <c r="BA399" i="3"/>
  <c r="AZ399" i="3" s="1"/>
  <c r="AZ403" i="3"/>
  <c r="AZ407" i="3"/>
  <c r="BA410" i="3"/>
  <c r="BA413" i="3"/>
  <c r="AZ419" i="3"/>
  <c r="G421" i="3"/>
  <c r="BA424" i="3"/>
  <c r="BA431" i="3"/>
  <c r="BL443" i="3"/>
  <c r="AZ443" i="3" s="1"/>
  <c r="G444" i="3"/>
  <c r="BL444" i="3"/>
  <c r="G446" i="3"/>
  <c r="BA454" i="3"/>
  <c r="AZ454" i="3" s="1"/>
  <c r="BA458" i="3"/>
  <c r="AZ458" i="3" s="1"/>
  <c r="BA459" i="3"/>
  <c r="G463" i="3"/>
  <c r="G464" i="3"/>
  <c r="BL464" i="3"/>
  <c r="AZ464" i="3" s="1"/>
  <c r="AZ476" i="3"/>
  <c r="G485" i="3"/>
  <c r="BA487" i="3"/>
  <c r="AZ487" i="3" s="1"/>
  <c r="BA315" i="3"/>
  <c r="AZ315" i="3" s="1"/>
  <c r="BL340" i="3"/>
  <c r="AZ340" i="3" s="1"/>
  <c r="BL346" i="3"/>
  <c r="AZ346" i="3" s="1"/>
  <c r="G349" i="3"/>
  <c r="G380" i="3"/>
  <c r="G387" i="3"/>
  <c r="BA392" i="3"/>
  <c r="AZ392" i="3" s="1"/>
  <c r="BA395" i="3"/>
  <c r="AZ395" i="3" s="1"/>
  <c r="BA208" i="3"/>
  <c r="AZ208" i="3" s="1"/>
  <c r="BA211" i="3"/>
  <c r="AZ211" i="3" s="1"/>
  <c r="BL215" i="3"/>
  <c r="G229" i="3"/>
  <c r="BA238" i="3"/>
  <c r="AZ238" i="3" s="1"/>
  <c r="BA245" i="3"/>
  <c r="AZ245" i="3" s="1"/>
  <c r="BL248" i="3"/>
  <c r="AZ248" i="3" s="1"/>
  <c r="G250" i="3"/>
  <c r="BL250" i="3"/>
  <c r="AZ250" i="3" s="1"/>
  <c r="G252" i="3"/>
  <c r="BL280" i="3"/>
  <c r="BA286" i="3"/>
  <c r="AZ286" i="3" s="1"/>
  <c r="W21" i="37"/>
  <c r="AC21" i="37"/>
  <c r="AB21" i="34"/>
  <c r="U21" i="34"/>
  <c r="B71" i="71"/>
  <c r="B70" i="71" s="1"/>
  <c r="S72" i="71"/>
  <c r="V72" i="71"/>
  <c r="F71" i="71"/>
  <c r="F70" i="71" s="1"/>
  <c r="BA153" i="3"/>
  <c r="BA178" i="3"/>
  <c r="AZ178" i="3" s="1"/>
  <c r="BL207" i="3"/>
  <c r="BL18" i="3"/>
  <c r="BL19" i="3"/>
  <c r="BA20" i="3"/>
  <c r="AZ20" i="3" s="1"/>
  <c r="BA32" i="3"/>
  <c r="BA42" i="3"/>
  <c r="BL55" i="3"/>
  <c r="AZ55" i="3" s="1"/>
  <c r="G58" i="3"/>
  <c r="BA59" i="3"/>
  <c r="BL61" i="3"/>
  <c r="G64" i="3"/>
  <c r="BA64" i="3"/>
  <c r="O65" i="71"/>
  <c r="D66" i="71"/>
  <c r="O66" i="71"/>
  <c r="B38" i="71"/>
  <c r="B39" i="71" s="1"/>
  <c r="B40" i="71" s="1"/>
  <c r="S40" i="71" s="1"/>
  <c r="X36" i="71"/>
  <c r="X25" i="71"/>
  <c r="AB38" i="71"/>
  <c r="AB34" i="71"/>
  <c r="AB35" i="71"/>
  <c r="C47" i="71"/>
  <c r="D47" i="71" s="1"/>
  <c r="D46" i="71"/>
  <c r="G398" i="3"/>
  <c r="G399" i="3"/>
  <c r="BL400" i="3"/>
  <c r="BL408" i="3"/>
  <c r="BL411" i="3"/>
  <c r="BL413" i="3"/>
  <c r="G415" i="3"/>
  <c r="G416" i="3"/>
  <c r="BL417" i="3"/>
  <c r="BL418" i="3"/>
  <c r="BL420" i="3"/>
  <c r="G422" i="3"/>
  <c r="G423" i="3"/>
  <c r="BL424" i="3"/>
  <c r="G426" i="3"/>
  <c r="G427" i="3"/>
  <c r="BL428" i="3"/>
  <c r="BL429" i="3"/>
  <c r="BL432" i="3"/>
  <c r="BL435" i="3"/>
  <c r="BL436" i="3"/>
  <c r="BA439" i="3"/>
  <c r="BA440" i="3"/>
  <c r="AZ440" i="3" s="1"/>
  <c r="BA442" i="3"/>
  <c r="BA445" i="3"/>
  <c r="BA447" i="3"/>
  <c r="AZ447" i="3" s="1"/>
  <c r="BA449" i="3"/>
  <c r="BL453" i="3"/>
  <c r="BL454" i="3"/>
  <c r="G458" i="3"/>
  <c r="BL459" i="3"/>
  <c r="G461" i="3"/>
  <c r="G462" i="3"/>
  <c r="BA465" i="3"/>
  <c r="AZ465" i="3" s="1"/>
  <c r="BA467" i="3"/>
  <c r="BA468" i="3"/>
  <c r="BL471" i="3"/>
  <c r="BL475" i="3"/>
  <c r="BA477" i="3"/>
  <c r="BA478" i="3"/>
  <c r="BA481" i="3"/>
  <c r="G484" i="3"/>
  <c r="BA488" i="3"/>
  <c r="AZ488" i="3" s="1"/>
  <c r="BA491" i="3"/>
  <c r="AZ491" i="3" s="1"/>
  <c r="BL324" i="3"/>
  <c r="AZ324" i="3" s="1"/>
  <c r="BL328" i="3"/>
  <c r="AZ328" i="3" s="1"/>
  <c r="G329" i="3"/>
  <c r="BA335" i="3"/>
  <c r="AZ335" i="3" s="1"/>
  <c r="BA339" i="3"/>
  <c r="AZ339" i="3" s="1"/>
  <c r="G343" i="3"/>
  <c r="G347" i="3"/>
  <c r="BA348" i="3"/>
  <c r="BA350" i="3"/>
  <c r="BA354" i="3"/>
  <c r="BA366" i="3"/>
  <c r="AZ366" i="3" s="1"/>
  <c r="BL375" i="3"/>
  <c r="AZ375" i="3" s="1"/>
  <c r="BL385" i="3"/>
  <c r="G392" i="3"/>
  <c r="BA397" i="3"/>
  <c r="AZ397" i="3" s="1"/>
  <c r="BL397" i="3"/>
  <c r="BA210" i="3"/>
  <c r="BL210" i="3"/>
  <c r="BL212" i="3"/>
  <c r="G214" i="3"/>
  <c r="BL214" i="3"/>
  <c r="AZ214" i="3" s="1"/>
  <c r="G216" i="3"/>
  <c r="G217" i="3"/>
  <c r="BL217" i="3"/>
  <c r="BA219" i="3"/>
  <c r="AZ219" i="3" s="1"/>
  <c r="BA222" i="3"/>
  <c r="AZ222" i="3" s="1"/>
  <c r="BA224" i="3"/>
  <c r="AZ224" i="3" s="1"/>
  <c r="BA227" i="3"/>
  <c r="AZ227" i="3" s="1"/>
  <c r="BA231" i="3"/>
  <c r="BL232" i="3"/>
  <c r="BL235" i="3"/>
  <c r="AZ235" i="3" s="1"/>
  <c r="BL236" i="3"/>
  <c r="BL238" i="3"/>
  <c r="BL243" i="3"/>
  <c r="AZ243" i="3" s="1"/>
  <c r="BA247" i="3"/>
  <c r="AZ247" i="3" s="1"/>
  <c r="BL247" i="3"/>
  <c r="BA249" i="3"/>
  <c r="BL249" i="3"/>
  <c r="BA251" i="3"/>
  <c r="AZ251" i="3" s="1"/>
  <c r="BL251" i="3"/>
  <c r="BL254" i="3"/>
  <c r="BA259" i="3"/>
  <c r="AZ259" i="3" s="1"/>
  <c r="BA262" i="3"/>
  <c r="AZ262" i="3" s="1"/>
  <c r="G265" i="3"/>
  <c r="BL265" i="3"/>
  <c r="AZ265" i="3" s="1"/>
  <c r="G267" i="3"/>
  <c r="G269" i="3"/>
  <c r="BL270" i="3"/>
  <c r="G273" i="3"/>
  <c r="BA274" i="3"/>
  <c r="AZ274" i="3" s="1"/>
  <c r="BL274" i="3"/>
  <c r="BA278" i="3"/>
  <c r="AZ278" i="3" s="1"/>
  <c r="BA280" i="3"/>
  <c r="AZ280" i="3" s="1"/>
  <c r="G283" i="3"/>
  <c r="BL283" i="3"/>
  <c r="AZ283" i="3" s="1"/>
  <c r="BL284" i="3"/>
  <c r="G285" i="3"/>
  <c r="G288" i="3"/>
  <c r="BA290" i="3"/>
  <c r="G294" i="3"/>
  <c r="BL295" i="3"/>
  <c r="BA298" i="3"/>
  <c r="AZ298" i="3" s="1"/>
  <c r="BL301" i="3"/>
  <c r="AZ301" i="3" s="1"/>
  <c r="BL302" i="3"/>
  <c r="BA114" i="3"/>
  <c r="BA122" i="3"/>
  <c r="AZ122" i="3" s="1"/>
  <c r="BA125" i="3"/>
  <c r="AZ125" i="3" s="1"/>
  <c r="BA126" i="3"/>
  <c r="AZ126" i="3" s="1"/>
  <c r="BA128" i="3"/>
  <c r="AZ128" i="3" s="1"/>
  <c r="BL134" i="3"/>
  <c r="BL137" i="3"/>
  <c r="BA146" i="3"/>
  <c r="AZ146" i="3" s="1"/>
  <c r="BL154" i="3"/>
  <c r="BA164" i="3"/>
  <c r="AZ164" i="3" s="1"/>
  <c r="BA166" i="3"/>
  <c r="AZ166" i="3" s="1"/>
  <c r="G175" i="3"/>
  <c r="BA176" i="3"/>
  <c r="AZ176" i="3" s="1"/>
  <c r="BL189" i="3"/>
  <c r="AZ189" i="3" s="1"/>
  <c r="BL190" i="3"/>
  <c r="BA192" i="3"/>
  <c r="AZ192" i="3" s="1"/>
  <c r="G195" i="3"/>
  <c r="BA196" i="3"/>
  <c r="AZ196" i="3" s="1"/>
  <c r="BA202" i="3"/>
  <c r="BA30" i="3"/>
  <c r="BA31" i="3"/>
  <c r="BA41" i="3"/>
  <c r="AZ52" i="3"/>
  <c r="BL54" i="3"/>
  <c r="D60" i="71"/>
  <c r="T60" i="71"/>
  <c r="BL398" i="3"/>
  <c r="BL403" i="3"/>
  <c r="G405" i="3"/>
  <c r="BA408" i="3"/>
  <c r="AZ408" i="3" s="1"/>
  <c r="BA409" i="3"/>
  <c r="AZ409" i="3" s="1"/>
  <c r="BA411" i="3"/>
  <c r="AZ411" i="3" s="1"/>
  <c r="BL414" i="3"/>
  <c r="BL415" i="3"/>
  <c r="BA417" i="3"/>
  <c r="AZ417" i="3" s="1"/>
  <c r="BL421" i="3"/>
  <c r="AZ421" i="3" s="1"/>
  <c r="BL422" i="3"/>
  <c r="BL425" i="3"/>
  <c r="BL426" i="3"/>
  <c r="BA428" i="3"/>
  <c r="AZ428" i="3" s="1"/>
  <c r="BA429" i="3"/>
  <c r="BA430" i="3"/>
  <c r="AZ430" i="3" s="1"/>
  <c r="BA432" i="3"/>
  <c r="AZ432" i="3" s="1"/>
  <c r="BA434" i="3"/>
  <c r="BA436" i="3"/>
  <c r="BA438" i="3"/>
  <c r="G442" i="3"/>
  <c r="BA446" i="3"/>
  <c r="BA450" i="3"/>
  <c r="BA453" i="3"/>
  <c r="AZ453" i="3" s="1"/>
  <c r="BA455" i="3"/>
  <c r="AZ455" i="3" s="1"/>
  <c r="BL457" i="3"/>
  <c r="AZ457" i="3" s="1"/>
  <c r="BL460" i="3"/>
  <c r="BL461" i="3"/>
  <c r="BL463" i="3"/>
  <c r="G465" i="3"/>
  <c r="BA471" i="3"/>
  <c r="AZ471" i="3" s="1"/>
  <c r="G486" i="3"/>
  <c r="G488" i="3"/>
  <c r="BL317" i="3"/>
  <c r="G318" i="3"/>
  <c r="BA349" i="3"/>
  <c r="AZ349" i="3" s="1"/>
  <c r="BA353" i="3"/>
  <c r="AZ353" i="3" s="1"/>
  <c r="BL353" i="3"/>
  <c r="BA358" i="3"/>
  <c r="AZ358" i="3" s="1"/>
  <c r="G362" i="3"/>
  <c r="BL365" i="3"/>
  <c r="AZ365" i="3" s="1"/>
  <c r="G366" i="3"/>
  <c r="BA368" i="3"/>
  <c r="BL368" i="3"/>
  <c r="BA374" i="3"/>
  <c r="AZ374" i="3" s="1"/>
  <c r="BA388" i="3"/>
  <c r="AZ388" i="3" s="1"/>
  <c r="BA396" i="3"/>
  <c r="BA209" i="3"/>
  <c r="BL220" i="3"/>
  <c r="BL221" i="3"/>
  <c r="BL223" i="3"/>
  <c r="AZ223" i="3" s="1"/>
  <c r="G228" i="3"/>
  <c r="BL228" i="3"/>
  <c r="AZ228" i="3" s="1"/>
  <c r="BA230" i="3"/>
  <c r="BL233" i="3"/>
  <c r="AZ233" i="3" s="1"/>
  <c r="BL252" i="3"/>
  <c r="G254" i="3"/>
  <c r="BL255" i="3"/>
  <c r="G257" i="3"/>
  <c r="BL257" i="3"/>
  <c r="AZ257" i="3" s="1"/>
  <c r="BL258" i="3"/>
  <c r="G259" i="3"/>
  <c r="BL260" i="3"/>
  <c r="BL263" i="3"/>
  <c r="AZ263" i="3" s="1"/>
  <c r="BA273" i="3"/>
  <c r="AZ273" i="3" s="1"/>
  <c r="BL275" i="3"/>
  <c r="AZ275" i="3" s="1"/>
  <c r="BL285" i="3"/>
  <c r="BL287" i="3"/>
  <c r="G292" i="3"/>
  <c r="BA294" i="3"/>
  <c r="BL299" i="3"/>
  <c r="BL113" i="3"/>
  <c r="BL115" i="3"/>
  <c r="AZ115" i="3" s="1"/>
  <c r="BA118" i="3"/>
  <c r="BL118" i="3"/>
  <c r="G123" i="3"/>
  <c r="BA124" i="3"/>
  <c r="AZ124" i="3" s="1"/>
  <c r="BA144" i="3"/>
  <c r="AZ144" i="3" s="1"/>
  <c r="G150" i="3"/>
  <c r="G154" i="3"/>
  <c r="G167" i="3"/>
  <c r="BA168" i="3"/>
  <c r="AZ168" i="3" s="1"/>
  <c r="G184" i="3"/>
  <c r="BA185" i="3"/>
  <c r="BA207" i="3"/>
  <c r="BA22" i="3"/>
  <c r="BA25" i="3"/>
  <c r="AZ25" i="3" s="1"/>
  <c r="BA26" i="3"/>
  <c r="G28" i="3"/>
  <c r="BL28" i="3"/>
  <c r="AZ28" i="3" s="1"/>
  <c r="BA29" i="3"/>
  <c r="G32" i="3"/>
  <c r="BA33" i="3"/>
  <c r="BA36" i="3"/>
  <c r="BL38" i="3"/>
  <c r="AZ38" i="3" s="1"/>
  <c r="BA39" i="3"/>
  <c r="AZ39" i="3" s="1"/>
  <c r="G42" i="3"/>
  <c r="BA43" i="3"/>
  <c r="BL47" i="3"/>
  <c r="AZ47" i="3" s="1"/>
  <c r="G49" i="3"/>
  <c r="G66" i="3"/>
  <c r="BA68" i="3"/>
  <c r="G71" i="3"/>
  <c r="BA97" i="3"/>
  <c r="AZ97" i="3" s="1"/>
  <c r="BL103" i="3"/>
  <c r="AZ103" i="3" s="1"/>
  <c r="B100" i="43"/>
  <c r="B57" i="43"/>
  <c r="B68" i="43"/>
  <c r="B77" i="43"/>
  <c r="C29" i="39"/>
  <c r="E66" i="71"/>
  <c r="P67" i="71"/>
  <c r="BA80" i="3"/>
  <c r="BL84" i="3"/>
  <c r="BA90" i="3"/>
  <c r="BA109" i="3"/>
  <c r="BA111" i="3"/>
  <c r="AZ111" i="3" s="1"/>
  <c r="K13" i="1"/>
  <c r="M13" i="1" s="1"/>
  <c r="O13" i="1" s="1"/>
  <c r="P13" i="1" s="1"/>
  <c r="AC18" i="36"/>
  <c r="W18" i="36"/>
  <c r="AB25" i="40"/>
  <c r="U25" i="40"/>
  <c r="T28" i="71"/>
  <c r="D28" i="71"/>
  <c r="U28" i="71" s="1"/>
  <c r="C27" i="71"/>
  <c r="AB28" i="71"/>
  <c r="AB32" i="71"/>
  <c r="E34" i="71"/>
  <c r="E35" i="71" s="1"/>
  <c r="E36" i="71" s="1"/>
  <c r="U36" i="71" s="1"/>
  <c r="AA30" i="71"/>
  <c r="AA3" i="71"/>
  <c r="C63" i="71"/>
  <c r="D62" i="71"/>
  <c r="BL225" i="3"/>
  <c r="BL226" i="3"/>
  <c r="G227" i="3"/>
  <c r="BA239" i="3"/>
  <c r="AZ239" i="3" s="1"/>
  <c r="BL239" i="3"/>
  <c r="BA241" i="3"/>
  <c r="AZ241" i="3" s="1"/>
  <c r="BL241" i="3"/>
  <c r="BA244" i="3"/>
  <c r="AZ244" i="3" s="1"/>
  <c r="BL244" i="3"/>
  <c r="BA246" i="3"/>
  <c r="BA252" i="3"/>
  <c r="BA254" i="3"/>
  <c r="AZ254" i="3" s="1"/>
  <c r="BA256" i="3"/>
  <c r="AZ256" i="3" s="1"/>
  <c r="BL256" i="3"/>
  <c r="BA258" i="3"/>
  <c r="BL264" i="3"/>
  <c r="BL266" i="3"/>
  <c r="BA268" i="3"/>
  <c r="BL273" i="3"/>
  <c r="G274" i="3"/>
  <c r="BA277" i="3"/>
  <c r="AZ277" i="3" s="1"/>
  <c r="BL277" i="3"/>
  <c r="BA282" i="3"/>
  <c r="BL282" i="3"/>
  <c r="BA284" i="3"/>
  <c r="AZ284" i="3" s="1"/>
  <c r="BL290" i="3"/>
  <c r="BL291" i="3"/>
  <c r="AZ291" i="3" s="1"/>
  <c r="BL293" i="3"/>
  <c r="BL294" i="3"/>
  <c r="BA297" i="3"/>
  <c r="AZ297" i="3" s="1"/>
  <c r="BL297" i="3"/>
  <c r="BL300" i="3"/>
  <c r="BA302" i="3"/>
  <c r="AZ302" i="3" s="1"/>
  <c r="G115" i="3"/>
  <c r="BA117" i="3"/>
  <c r="BA130" i="3"/>
  <c r="AZ130" i="3" s="1"/>
  <c r="BL130" i="3"/>
  <c r="BA137" i="3"/>
  <c r="AZ137" i="3" s="1"/>
  <c r="BL138" i="3"/>
  <c r="BA140" i="3"/>
  <c r="AZ140" i="3" s="1"/>
  <c r="BA142" i="3"/>
  <c r="BL149" i="3"/>
  <c r="AZ149" i="3" s="1"/>
  <c r="BL150" i="3"/>
  <c r="AZ150" i="3" s="1"/>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199" i="3"/>
  <c r="G204" i="3"/>
  <c r="G205" i="3"/>
  <c r="BL206" i="3"/>
  <c r="BA19" i="3"/>
  <c r="G22" i="3"/>
  <c r="G24" i="3"/>
  <c r="G25" i="3"/>
  <c r="G27" i="3"/>
  <c r="BA27" i="3"/>
  <c r="AZ27" i="3" s="1"/>
  <c r="G30" i="3"/>
  <c r="BL30" i="3"/>
  <c r="BL31" i="3"/>
  <c r="G35" i="3"/>
  <c r="G36" i="3"/>
  <c r="G37" i="3"/>
  <c r="G40" i="3"/>
  <c r="BL40" i="3"/>
  <c r="BL41" i="3"/>
  <c r="G45" i="3"/>
  <c r="BL45" i="3"/>
  <c r="BA48" i="3"/>
  <c r="BA49" i="3"/>
  <c r="BA51" i="3"/>
  <c r="G55" i="3"/>
  <c r="BL56" i="3"/>
  <c r="BA58" i="3"/>
  <c r="BL59" i="3"/>
  <c r="BL60" i="3"/>
  <c r="BA61" i="3"/>
  <c r="AZ61" i="3" s="1"/>
  <c r="BL69" i="3"/>
  <c r="AZ69" i="3" s="1"/>
  <c r="G70" i="3"/>
  <c r="BL70" i="3"/>
  <c r="AZ70" i="3" s="1"/>
  <c r="BL71" i="3"/>
  <c r="BL72" i="3"/>
  <c r="AZ72" i="3" s="1"/>
  <c r="G74" i="3"/>
  <c r="BA75" i="3"/>
  <c r="AZ75" i="3" s="1"/>
  <c r="BL86" i="3"/>
  <c r="AZ86" i="3" s="1"/>
  <c r="G87" i="3"/>
  <c r="BA91" i="3"/>
  <c r="AZ91" i="3" s="1"/>
  <c r="BA98" i="3"/>
  <c r="BA100" i="3"/>
  <c r="AZ100" i="3" s="1"/>
  <c r="BA102" i="3"/>
  <c r="BL105" i="3"/>
  <c r="AZ105" i="3" s="1"/>
  <c r="G107" i="3"/>
  <c r="BL107" i="3"/>
  <c r="BA110" i="3"/>
  <c r="AZ110" i="3" s="1"/>
  <c r="N65" i="71"/>
  <c r="AB26" i="71"/>
  <c r="C40" i="71"/>
  <c r="D39" i="71"/>
  <c r="D34" i="71"/>
  <c r="C35" i="71"/>
  <c r="B28" i="71"/>
  <c r="X26" i="71"/>
  <c r="Y27" i="71"/>
  <c r="Z27" i="71" s="1"/>
  <c r="Y29" i="71"/>
  <c r="Z29" i="71" s="1"/>
  <c r="X28" i="71"/>
  <c r="X31" i="71"/>
  <c r="X32" i="71"/>
  <c r="D42" i="71"/>
  <c r="C43" i="71"/>
  <c r="C52" i="71"/>
  <c r="D51" i="71"/>
  <c r="C55" i="71"/>
  <c r="D54" i="71"/>
  <c r="D88" i="71"/>
  <c r="C87" i="71"/>
  <c r="BL157" i="3"/>
  <c r="AZ157" i="3" s="1"/>
  <c r="BL159" i="3"/>
  <c r="AZ159" i="3" s="1"/>
  <c r="G160" i="3"/>
  <c r="BL177" i="3"/>
  <c r="AZ177" i="3" s="1"/>
  <c r="G179" i="3"/>
  <c r="BL183" i="3"/>
  <c r="AZ183" i="3" s="1"/>
  <c r="BA186" i="3"/>
  <c r="AZ186" i="3" s="1"/>
  <c r="BA190" i="3"/>
  <c r="AZ190" i="3" s="1"/>
  <c r="G196" i="3"/>
  <c r="BA197" i="3"/>
  <c r="AZ197" i="3" s="1"/>
  <c r="BL201" i="3"/>
  <c r="AZ201" i="3" s="1"/>
  <c r="BL203" i="3"/>
  <c r="AZ203" i="3" s="1"/>
  <c r="BA204" i="3"/>
  <c r="AZ204" i="3" s="1"/>
  <c r="BA18" i="3"/>
  <c r="AZ18" i="3" s="1"/>
  <c r="G21" i="3"/>
  <c r="BL21" i="3"/>
  <c r="G29" i="3"/>
  <c r="BL29" i="3"/>
  <c r="BA37" i="3"/>
  <c r="G39" i="3"/>
  <c r="BL39" i="3"/>
  <c r="BA45" i="3"/>
  <c r="AZ45" i="3" s="1"/>
  <c r="BA46" i="3"/>
  <c r="BL49" i="3"/>
  <c r="BL50" i="3"/>
  <c r="AZ50" i="3" s="1"/>
  <c r="BL51" i="3"/>
  <c r="BL64" i="3"/>
  <c r="G65" i="3"/>
  <c r="BL65" i="3"/>
  <c r="AZ65" i="3" s="1"/>
  <c r="BL66" i="3"/>
  <c r="BL67" i="3"/>
  <c r="AZ67" i="3" s="1"/>
  <c r="G69" i="3"/>
  <c r="BL73" i="3"/>
  <c r="BA74" i="3"/>
  <c r="AZ74" i="3" s="1"/>
  <c r="BL79" i="3"/>
  <c r="BL81" i="3"/>
  <c r="BA82" i="3"/>
  <c r="AZ82" i="3" s="1"/>
  <c r="BL83" i="3"/>
  <c r="G86" i="3"/>
  <c r="BA87" i="3"/>
  <c r="BL93" i="3"/>
  <c r="BL94" i="3"/>
  <c r="AZ94" i="3" s="1"/>
  <c r="BL101" i="3"/>
  <c r="BL102" i="3"/>
  <c r="G104" i="3"/>
  <c r="BL106" i="3"/>
  <c r="BA108" i="3"/>
  <c r="AZ108" i="3" s="1"/>
  <c r="AC18" i="35"/>
  <c r="W18" i="35"/>
  <c r="S18" i="35"/>
  <c r="AA18" i="35"/>
  <c r="D75" i="71"/>
  <c r="C74" i="71"/>
  <c r="D74" i="71" s="1"/>
  <c r="C70" i="71"/>
  <c r="D70" i="71" s="1"/>
  <c r="D71" i="71"/>
  <c r="C31" i="71"/>
  <c r="D30" i="71"/>
  <c r="Y26" i="71"/>
  <c r="Z26" i="71" s="1"/>
  <c r="X34" i="71"/>
  <c r="F66" i="71"/>
  <c r="Q67" i="71"/>
  <c r="P68" i="71"/>
  <c r="U68" i="71"/>
  <c r="F79" i="71"/>
  <c r="F78" i="71" s="1"/>
  <c r="V80" i="71"/>
  <c r="F3" i="35"/>
  <c r="S21" i="37"/>
  <c r="W29" i="39"/>
  <c r="S25" i="40"/>
  <c r="O67" i="71"/>
  <c r="AA28" i="71"/>
  <c r="E79" i="71"/>
  <c r="E78" i="71" s="1"/>
  <c r="AB25" i="71"/>
  <c r="Y25" i="71"/>
  <c r="Z25" i="71" s="1"/>
  <c r="N68" i="71"/>
  <c r="X33" i="71"/>
  <c r="AB37" i="71"/>
  <c r="G53" i="3"/>
  <c r="BL53" i="3"/>
  <c r="AZ53" i="3" s="1"/>
  <c r="BA56" i="3"/>
  <c r="BA57" i="3"/>
  <c r="AZ57" i="3" s="1"/>
  <c r="BL58" i="3"/>
  <c r="G60" i="3"/>
  <c r="BA60" i="3"/>
  <c r="BA63" i="3"/>
  <c r="AZ63" i="3" s="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S21" i="34"/>
  <c r="B88" i="43"/>
  <c r="AA34" i="71"/>
  <c r="B51" i="71"/>
  <c r="B52" i="71" s="1"/>
  <c r="S52" i="71" s="1"/>
  <c r="E23" i="71"/>
  <c r="E22" i="71" s="1"/>
  <c r="E21" i="71" s="1"/>
  <c r="E20" i="71" s="1"/>
  <c r="AB33" i="71"/>
  <c r="B32" i="71"/>
  <c r="S32" i="71" s="1"/>
  <c r="AB31" i="71"/>
  <c r="AB36" i="71"/>
  <c r="AA36" i="71"/>
  <c r="B47" i="71"/>
  <c r="B48" i="71" s="1"/>
  <c r="S48" i="71" s="1"/>
  <c r="B55" i="71"/>
  <c r="B56" i="71" s="1"/>
  <c r="S56" i="71" s="1"/>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C19" i="37"/>
  <c r="W23" i="33"/>
  <c r="AB13" i="34"/>
  <c r="S41" i="34"/>
  <c r="AA41" i="34"/>
  <c r="AZ495" i="3"/>
  <c r="AZ567" i="3"/>
  <c r="AC14" i="37"/>
  <c r="W14" i="37"/>
  <c r="U28" i="37"/>
  <c r="AB28" i="37"/>
  <c r="W30" i="34"/>
  <c r="AC30" i="34"/>
  <c r="AC29" i="33"/>
  <c r="W29" i="33"/>
  <c r="W46" i="21"/>
  <c r="AC46" i="2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G30" i="6" s="1"/>
  <c r="G31" i="6" s="1"/>
  <c r="U26" i="21"/>
  <c r="W36" i="39"/>
  <c r="U23" i="40"/>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BL33" i="3"/>
  <c r="AZ33" i="3" s="1"/>
  <c r="BL43" i="3"/>
  <c r="AZ43" i="3" s="1"/>
  <c r="BL46" i="3"/>
  <c r="AZ54" i="3"/>
  <c r="AZ90" i="3"/>
  <c r="AZ92" i="3"/>
  <c r="BL78" i="3"/>
  <c r="BA83" i="3"/>
  <c r="AZ83" i="3" s="1"/>
  <c r="G91" i="3"/>
  <c r="BL95" i="3"/>
  <c r="AZ95" i="3" s="1"/>
  <c r="BL98" i="3"/>
  <c r="AZ98" i="3" s="1"/>
  <c r="BL109" i="3"/>
  <c r="AZ109" i="3" s="1"/>
  <c r="AB21" i="21"/>
  <c r="AZ78"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E29" i="6"/>
  <c r="K15" i="1" s="1"/>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P11" i="1"/>
  <c r="D9" i="11"/>
  <c r="C9" i="11" s="1"/>
  <c r="D19" i="12"/>
  <c r="C19" i="12" s="1"/>
  <c r="O9" i="1"/>
  <c r="P9" i="1" s="1"/>
  <c r="O12" i="1"/>
  <c r="P12" i="1" s="1"/>
  <c r="O8" i="1"/>
  <c r="P8" i="1" s="1"/>
  <c r="H73" i="43"/>
  <c r="H90"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F65" i="67"/>
  <c r="J53" i="67"/>
  <c r="J57" i="67"/>
  <c r="J55" i="67" s="1"/>
  <c r="J58" i="67" s="1"/>
  <c r="Q50" i="67" s="1"/>
  <c r="L56" i="67"/>
  <c r="I54" i="67"/>
  <c r="L59" i="15"/>
  <c r="N59" i="15"/>
  <c r="M59" i="15"/>
  <c r="F66" i="15"/>
  <c r="Q71" i="67"/>
  <c r="C27" i="67"/>
  <c r="F71" i="67"/>
  <c r="C27" i="15"/>
  <c r="F65" i="15"/>
  <c r="N59" i="67"/>
  <c r="L59" i="67"/>
  <c r="L58" i="67"/>
  <c r="M59" i="67"/>
  <c r="B13" i="70"/>
  <c r="F68" i="67"/>
  <c r="F64" i="67"/>
  <c r="F68" i="15"/>
  <c r="C36" i="68"/>
  <c r="D9" i="69"/>
  <c r="D9" i="68"/>
  <c r="F8" i="15"/>
  <c r="F36" i="15"/>
  <c r="D4" i="73"/>
  <c r="C76" i="15"/>
  <c r="F38" i="67"/>
  <c r="L48" i="15"/>
  <c r="F16" i="15"/>
  <c r="M24" i="15"/>
  <c r="D5" i="73"/>
  <c r="F7" i="67"/>
  <c r="D3" i="73"/>
  <c r="D7" i="73"/>
  <c r="C16" i="67"/>
  <c r="M22" i="15"/>
  <c r="F8" i="67"/>
  <c r="U33" i="37" l="1"/>
  <c r="W33" i="37"/>
  <c r="S33" i="37"/>
  <c r="V42" i="37"/>
  <c r="T42" i="37"/>
  <c r="U39" i="37"/>
  <c r="AA38" i="37"/>
  <c r="R42" i="37"/>
  <c r="S32" i="37"/>
  <c r="AA37" i="37"/>
  <c r="S37" i="37"/>
  <c r="W37" i="37"/>
  <c r="U37" i="37"/>
  <c r="AB37" i="37"/>
  <c r="S13" i="37"/>
  <c r="AA13" i="37"/>
  <c r="AA39" i="37"/>
  <c r="E10" i="6"/>
  <c r="E8" i="6"/>
  <c r="E56" i="39" s="1"/>
  <c r="AZ15" i="3"/>
  <c r="E12" i="6"/>
  <c r="E57" i="40" s="1"/>
  <c r="AZ21" i="3"/>
  <c r="E11" i="6"/>
  <c r="E60" i="39" s="1"/>
  <c r="E15" i="6"/>
  <c r="E64" i="39" s="1"/>
  <c r="E14" i="6"/>
  <c r="E63" i="39" s="1"/>
  <c r="E13" i="6"/>
  <c r="E62" i="39" s="1"/>
  <c r="J7" i="36"/>
  <c r="O23" i="43"/>
  <c r="E28" i="6"/>
  <c r="K14" i="1" s="1"/>
  <c r="AZ19" i="3"/>
  <c r="AZ22" i="3"/>
  <c r="P6" i="1"/>
  <c r="C13" i="12" s="1"/>
  <c r="F64" i="15"/>
  <c r="F51" i="15"/>
  <c r="F31" i="15"/>
  <c r="F50" i="67"/>
  <c r="M7" i="67"/>
  <c r="J6" i="67" s="1"/>
  <c r="J18" i="67" s="1"/>
  <c r="F31" i="67"/>
  <c r="F51" i="67"/>
  <c r="F59" i="67" s="1"/>
  <c r="C6" i="67"/>
  <c r="C32" i="67" s="1"/>
  <c r="J57" i="15"/>
  <c r="J55" i="15" s="1"/>
  <c r="J58" i="15" s="1"/>
  <c r="Q50" i="15" s="1"/>
  <c r="I54" i="15"/>
  <c r="L58" i="15"/>
  <c r="Q60" i="15" s="1"/>
  <c r="J53" i="15"/>
  <c r="L56" i="15" s="1"/>
  <c r="Q71" i="15"/>
  <c r="F66" i="67"/>
  <c r="C56" i="71"/>
  <c r="D55" i="71"/>
  <c r="C36" i="71"/>
  <c r="D35" i="71"/>
  <c r="AZ282" i="3"/>
  <c r="AZ252" i="3"/>
  <c r="C64" i="71"/>
  <c r="D63" i="71"/>
  <c r="P65" i="71"/>
  <c r="P66" i="71"/>
  <c r="AZ29" i="3"/>
  <c r="AZ368" i="3"/>
  <c r="AZ429" i="3"/>
  <c r="AZ31" i="3"/>
  <c r="AZ249" i="3"/>
  <c r="AZ210" i="3"/>
  <c r="AZ350" i="3"/>
  <c r="AZ413" i="3"/>
  <c r="AZ418" i="3"/>
  <c r="AZ400" i="3"/>
  <c r="AZ550" i="3"/>
  <c r="AC25" i="37"/>
  <c r="W25" i="37"/>
  <c r="AA27" i="21"/>
  <c r="S27" i="21"/>
  <c r="AC12" i="36"/>
  <c r="W12" i="36"/>
  <c r="D31" i="71"/>
  <c r="C32" i="71"/>
  <c r="C86" i="71"/>
  <c r="D86" i="71" s="1"/>
  <c r="D87" i="71"/>
  <c r="AZ51" i="3"/>
  <c r="AZ118" i="3"/>
  <c r="AZ294" i="3"/>
  <c r="AZ230" i="3"/>
  <c r="AZ59" i="3"/>
  <c r="AZ459" i="3"/>
  <c r="AZ398" i="3"/>
  <c r="AZ461" i="3"/>
  <c r="AZ422" i="3"/>
  <c r="W12" i="35"/>
  <c r="AC12" i="35"/>
  <c r="S33" i="36"/>
  <c r="AA33" i="36"/>
  <c r="AA25" i="37"/>
  <c r="S25" i="37"/>
  <c r="T52" i="71"/>
  <c r="D52" i="71"/>
  <c r="AZ102" i="3"/>
  <c r="AZ58" i="3"/>
  <c r="AZ49" i="3"/>
  <c r="C26" i="71"/>
  <c r="D26" i="71" s="1"/>
  <c r="D27" i="71"/>
  <c r="AZ64" i="3"/>
  <c r="AZ415" i="3"/>
  <c r="S38" i="40"/>
  <c r="AA38" i="40"/>
  <c r="AC9" i="34"/>
  <c r="W9" i="34"/>
  <c r="AB27" i="21"/>
  <c r="U27" i="21"/>
  <c r="U25" i="37"/>
  <c r="AB25" i="37"/>
  <c r="G5" i="3"/>
  <c r="B3" i="3" s="1"/>
  <c r="D43" i="71"/>
  <c r="C44" i="71"/>
  <c r="B27" i="71"/>
  <c r="B26" i="71" s="1"/>
  <c r="S28" i="71"/>
  <c r="T40" i="71"/>
  <c r="D40" i="71"/>
  <c r="AZ41" i="3"/>
  <c r="AZ425" i="3"/>
  <c r="S26" i="33"/>
  <c r="AA26" i="33"/>
  <c r="AB26" i="33"/>
  <c r="U26" i="33"/>
  <c r="AC38" i="40"/>
  <c r="W38" i="40"/>
  <c r="AC9" i="33"/>
  <c r="W9" i="33"/>
  <c r="J7" i="37"/>
  <c r="AC7" i="37" s="1"/>
  <c r="K1" i="73"/>
  <c r="AA26" i="37"/>
  <c r="S26" i="37"/>
  <c r="BA5" i="3"/>
  <c r="C19" i="71"/>
  <c r="T20" i="71"/>
  <c r="D20" i="71"/>
  <c r="U20" i="71" s="1"/>
  <c r="W40" i="40"/>
  <c r="AC40" i="40"/>
  <c r="AC12" i="21"/>
  <c r="W12" i="21"/>
  <c r="AB12" i="21"/>
  <c r="U12" i="21"/>
  <c r="AA27" i="34"/>
  <c r="S27" i="34"/>
  <c r="AC26" i="37"/>
  <c r="W26" i="37"/>
  <c r="BL5" i="3"/>
  <c r="B15" i="71"/>
  <c r="B14" i="71" s="1"/>
  <c r="B13" i="71" s="1"/>
  <c r="B12" i="71" s="1"/>
  <c r="S16" i="71"/>
  <c r="F7" i="36"/>
  <c r="S7" i="36" s="1"/>
  <c r="H7" i="36"/>
  <c r="AA9" i="36"/>
  <c r="S9" i="36"/>
  <c r="AA34" i="35"/>
  <c r="S34" i="35"/>
  <c r="E15" i="71"/>
  <c r="E14" i="71" s="1"/>
  <c r="E13" i="71" s="1"/>
  <c r="E12" i="71" s="1"/>
  <c r="V16" i="71"/>
  <c r="S40" i="40"/>
  <c r="AA40" i="40"/>
  <c r="AC34" i="35"/>
  <c r="W34" i="35"/>
  <c r="E61" i="43"/>
  <c r="B59" i="43" s="1"/>
  <c r="C28" i="43" s="1"/>
  <c r="E30" i="6"/>
  <c r="H7" i="34"/>
  <c r="AB7" i="34" s="1"/>
  <c r="T49" i="34" s="1"/>
  <c r="G49" i="34" s="1"/>
  <c r="E67" i="39"/>
  <c r="E69" i="39" s="1"/>
  <c r="J7" i="34"/>
  <c r="W7" i="34" s="1"/>
  <c r="F7" i="34"/>
  <c r="S7" i="34" s="1"/>
  <c r="AA26" i="35"/>
  <c r="S26" i="35"/>
  <c r="AC26" i="35"/>
  <c r="W26" i="35"/>
  <c r="AB26" i="35"/>
  <c r="U26" i="35"/>
  <c r="E61" i="39"/>
  <c r="C9" i="69"/>
  <c r="C9" i="68"/>
  <c r="E72" i="43"/>
  <c r="B70" i="43" s="1"/>
  <c r="M14" i="1"/>
  <c r="D5" i="43"/>
  <c r="C7" i="43"/>
  <c r="C5" i="43" s="1"/>
  <c r="D10" i="52"/>
  <c r="D125" i="9"/>
  <c r="D11" i="52" s="1"/>
  <c r="B7" i="74"/>
  <c r="C7" i="74" s="1"/>
  <c r="H7" i="37"/>
  <c r="AB7" i="37" s="1"/>
  <c r="G42" i="37" s="1"/>
  <c r="H7" i="33"/>
  <c r="J7" i="33"/>
  <c r="D65" i="40"/>
  <c r="E63" i="40"/>
  <c r="F48" i="35"/>
  <c r="AA7" i="36"/>
  <c r="R36" i="36" s="1"/>
  <c r="AB7" i="36"/>
  <c r="T36" i="36" s="1"/>
  <c r="G36" i="36" s="1"/>
  <c r="U7" i="36"/>
  <c r="F7" i="33"/>
  <c r="E58" i="21"/>
  <c r="AC7" i="36"/>
  <c r="V36" i="36" s="1"/>
  <c r="I36" i="36" s="1"/>
  <c r="W7" i="36"/>
  <c r="F7" i="37"/>
  <c r="M17" i="67"/>
  <c r="M17" i="15"/>
  <c r="F59" i="15"/>
  <c r="P28" i="43"/>
  <c r="B66" i="40" s="1"/>
  <c r="P25" i="43"/>
  <c r="P29" i="43"/>
  <c r="P27" i="43"/>
  <c r="B70" i="39" s="1"/>
  <c r="Q60" i="67"/>
  <c r="Q73" i="67"/>
  <c r="M11" i="67"/>
  <c r="J10" i="67" s="1"/>
  <c r="F11" i="15"/>
  <c r="M11" i="15"/>
  <c r="F11" i="67"/>
  <c r="F1" i="67"/>
  <c r="Q52" i="67"/>
  <c r="Q61" i="67"/>
  <c r="Q74" i="67"/>
  <c r="Q74" i="15"/>
  <c r="Q61" i="15"/>
  <c r="AE11" i="1"/>
  <c r="AE9" i="1"/>
  <c r="AE7" i="1"/>
  <c r="AE8" i="1"/>
  <c r="AE12" i="1"/>
  <c r="AE10" i="1"/>
  <c r="F41" i="67"/>
  <c r="G1" i="73"/>
  <c r="R43" i="37" l="1"/>
  <c r="E51" i="40"/>
  <c r="E56" i="40"/>
  <c r="W7" i="37"/>
  <c r="AZ5" i="3"/>
  <c r="AY6" i="3" s="1"/>
  <c r="E58" i="40"/>
  <c r="E60" i="40"/>
  <c r="E16" i="6"/>
  <c r="E59" i="40"/>
  <c r="F67" i="39"/>
  <c r="E24" i="3"/>
  <c r="D1" i="43"/>
  <c r="J5" i="67"/>
  <c r="J24" i="67" s="1"/>
  <c r="F1" i="15"/>
  <c r="Q52" i="15"/>
  <c r="E131" i="3"/>
  <c r="M6" i="3"/>
  <c r="E89" i="3"/>
  <c r="E27" i="3"/>
  <c r="E302" i="3"/>
  <c r="E392" i="3"/>
  <c r="E248" i="3"/>
  <c r="E242" i="3"/>
  <c r="E201" i="3"/>
  <c r="E362" i="3"/>
  <c r="E318" i="3"/>
  <c r="E285" i="3"/>
  <c r="E104" i="3"/>
  <c r="E423" i="3"/>
  <c r="E377" i="3"/>
  <c r="E545" i="3"/>
  <c r="E229" i="3"/>
  <c r="E224" i="3"/>
  <c r="E378" i="3"/>
  <c r="E161" i="3"/>
  <c r="E70" i="3"/>
  <c r="E586" i="3"/>
  <c r="E121" i="3"/>
  <c r="E87" i="3"/>
  <c r="E119" i="3"/>
  <c r="E563" i="3"/>
  <c r="E509" i="3"/>
  <c r="E557" i="3"/>
  <c r="E106" i="3"/>
  <c r="E183" i="3"/>
  <c r="E45" i="3"/>
  <c r="E580" i="3"/>
  <c r="E92" i="3"/>
  <c r="E584" i="3"/>
  <c r="X6" i="3"/>
  <c r="E215" i="3"/>
  <c r="E526" i="3"/>
  <c r="AO6" i="3"/>
  <c r="E406" i="3"/>
  <c r="E337" i="3"/>
  <c r="E117" i="3"/>
  <c r="E177" i="3"/>
  <c r="E14" i="3"/>
  <c r="E536" i="3"/>
  <c r="E198" i="3"/>
  <c r="E78" i="3"/>
  <c r="AH6" i="3"/>
  <c r="L6" i="3"/>
  <c r="E137" i="3"/>
  <c r="E52" i="3"/>
  <c r="E50" i="3"/>
  <c r="E101" i="3"/>
  <c r="E155" i="3"/>
  <c r="E51" i="3"/>
  <c r="E57" i="3"/>
  <c r="E19" i="3"/>
  <c r="E375" i="3"/>
  <c r="E341" i="3"/>
  <c r="E39" i="3"/>
  <c r="E66" i="3"/>
  <c r="E459" i="3"/>
  <c r="E154" i="3"/>
  <c r="E504" i="3"/>
  <c r="E82" i="3"/>
  <c r="E352" i="3"/>
  <c r="E313" i="3"/>
  <c r="E438" i="3"/>
  <c r="E471" i="3"/>
  <c r="E208" i="3"/>
  <c r="E93" i="3"/>
  <c r="E145" i="3"/>
  <c r="E548" i="3"/>
  <c r="E403" i="3"/>
  <c r="E126" i="3"/>
  <c r="AM6" i="3"/>
  <c r="E501" i="3"/>
  <c r="O6" i="3"/>
  <c r="E97" i="3"/>
  <c r="E506" i="3"/>
  <c r="E298" i="3"/>
  <c r="E565" i="3"/>
  <c r="E221" i="3"/>
  <c r="E402"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271" i="3"/>
  <c r="E478" i="3"/>
  <c r="AS6" i="3"/>
  <c r="E162" i="3"/>
  <c r="E384" i="3"/>
  <c r="E530" i="3"/>
  <c r="E388" i="3"/>
  <c r="E143" i="3"/>
  <c r="E561" i="3"/>
  <c r="E231" i="3"/>
  <c r="E528" i="3"/>
  <c r="E180" i="3"/>
  <c r="E350" i="3"/>
  <c r="E399" i="3"/>
  <c r="E181" i="3"/>
  <c r="E277" i="3"/>
  <c r="E472" i="3"/>
  <c r="E577" i="3"/>
  <c r="E146" i="3"/>
  <c r="E251" i="3"/>
  <c r="E370" i="3"/>
  <c r="E401" i="3"/>
  <c r="E473" i="3"/>
  <c r="E234" i="3"/>
  <c r="E112" i="3"/>
  <c r="E62" i="3"/>
  <c r="E141" i="3"/>
  <c r="E58" i="3"/>
  <c r="E244" i="3"/>
  <c r="E446" i="3"/>
  <c r="E149" i="3"/>
  <c r="E47" i="3"/>
  <c r="E373" i="3"/>
  <c r="E259" i="3"/>
  <c r="Y6" i="3"/>
  <c r="E488" i="3"/>
  <c r="E167" i="3"/>
  <c r="E98" i="3"/>
  <c r="E122" i="3"/>
  <c r="E306" i="3"/>
  <c r="E532" i="3"/>
  <c r="E288" i="3"/>
  <c r="E475" i="3"/>
  <c r="E257" i="3"/>
  <c r="E397" i="3"/>
  <c r="E379" i="3"/>
  <c r="E432" i="3"/>
  <c r="E546" i="3"/>
  <c r="E272" i="3"/>
  <c r="E29" i="3"/>
  <c r="E153" i="3"/>
  <c r="E574" i="3"/>
  <c r="E390" i="3"/>
  <c r="E418" i="3"/>
  <c r="E169" i="3"/>
  <c r="E213" i="3"/>
  <c r="E254" i="3"/>
  <c r="AN6"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449" i="3"/>
  <c r="E469" i="3"/>
  <c r="E223" i="3"/>
  <c r="E108" i="3"/>
  <c r="E455" i="3"/>
  <c r="E339" i="3"/>
  <c r="E147" i="3"/>
  <c r="E218" i="3"/>
  <c r="E398" i="3"/>
  <c r="E65" i="3"/>
  <c r="E421" i="3"/>
  <c r="E209" i="3"/>
  <c r="E582" i="3"/>
  <c r="E266" i="3"/>
  <c r="E542" i="3"/>
  <c r="E462" i="3"/>
  <c r="E179" i="3"/>
  <c r="E195" i="3"/>
  <c r="E413" i="3"/>
  <c r="E307" i="3"/>
  <c r="E461" i="3"/>
  <c r="E157" i="3"/>
  <c r="E529" i="3"/>
  <c r="W6" i="3"/>
  <c r="E54" i="3"/>
  <c r="E357" i="3"/>
  <c r="E196" i="3"/>
  <c r="U6" i="3"/>
  <c r="E367" i="3"/>
  <c r="E71" i="3"/>
  <c r="E291" i="3"/>
  <c r="E53" i="3"/>
  <c r="E426" i="3"/>
  <c r="E359" i="3"/>
  <c r="S6" i="3"/>
  <c r="E338" i="3"/>
  <c r="E237"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139" i="3"/>
  <c r="E369" i="3"/>
  <c r="E94" i="3"/>
  <c r="E219" i="3"/>
  <c r="E275" i="3"/>
  <c r="E148" i="3"/>
  <c r="E246" i="3"/>
  <c r="E263" i="3"/>
  <c r="E535" i="3"/>
  <c r="E278" i="3"/>
  <c r="E335" i="3"/>
  <c r="E570" i="3"/>
  <c r="E247" i="3"/>
  <c r="AJ6" i="3"/>
  <c r="E217" i="3"/>
  <c r="E273" i="3"/>
  <c r="E28" i="3"/>
  <c r="E345" i="3"/>
  <c r="Z6" i="3"/>
  <c r="E368" i="3"/>
  <c r="E315" i="3"/>
  <c r="E454" i="3"/>
  <c r="E560" i="3"/>
  <c r="E568" i="3"/>
  <c r="E301" i="3"/>
  <c r="E261" i="3"/>
  <c r="E508" i="3"/>
  <c r="E505" i="3"/>
  <c r="E111" i="3"/>
  <c r="E85" i="3"/>
  <c r="E415" i="3"/>
  <c r="E239" i="3"/>
  <c r="E581" i="3"/>
  <c r="E203" i="3"/>
  <c r="E434" i="3"/>
  <c r="E304" i="3"/>
  <c r="E328" i="3"/>
  <c r="E547" i="3"/>
  <c r="E168" i="3"/>
  <c r="E136" i="3"/>
  <c r="AD6" i="3"/>
  <c r="E297" i="3"/>
  <c r="E460" i="3"/>
  <c r="E38" i="3"/>
  <c r="E267" i="3"/>
  <c r="E118" i="3"/>
  <c r="E487" i="3"/>
  <c r="E296" i="3"/>
  <c r="E200" i="3"/>
  <c r="E385" i="3"/>
  <c r="E191" i="3"/>
  <c r="E445" i="3"/>
  <c r="E69" i="3"/>
  <c r="E387" i="3"/>
  <c r="E514" i="3"/>
  <c r="E431" i="3"/>
  <c r="E322" i="3"/>
  <c r="E109" i="3"/>
  <c r="E211" i="3"/>
  <c r="E489" i="3"/>
  <c r="E400" i="3"/>
  <c r="E327" i="3"/>
  <c r="E227" i="3"/>
  <c r="E214" i="3"/>
  <c r="E468" i="3"/>
  <c r="E133" i="3"/>
  <c r="E347" i="3"/>
  <c r="E91" i="3"/>
  <c r="E380" i="3"/>
  <c r="E175" i="3"/>
  <c r="E515" i="3"/>
  <c r="E571" i="3"/>
  <c r="E336" i="3"/>
  <c r="E294" i="3"/>
  <c r="E366" i="3"/>
  <c r="E448" i="3"/>
  <c r="E429" i="3"/>
  <c r="E280" i="3"/>
  <c r="E321" i="3"/>
  <c r="E319" i="3"/>
  <c r="E411" i="3"/>
  <c r="E537" i="3"/>
  <c r="E127" i="3"/>
  <c r="E163" i="3"/>
  <c r="E48" i="3"/>
  <c r="E365" i="3"/>
  <c r="E276" i="3"/>
  <c r="E3" i="6"/>
  <c r="E142" i="3"/>
  <c r="E240" i="3"/>
  <c r="E483" i="3"/>
  <c r="E132" i="3"/>
  <c r="E100" i="3"/>
  <c r="AI6" i="3"/>
  <c r="E135" i="3"/>
  <c r="E172" i="3"/>
  <c r="E189" i="3"/>
  <c r="AB6" i="3"/>
  <c r="E311" i="3"/>
  <c r="E579" i="3"/>
  <c r="E268" i="3"/>
  <c r="E572" i="3"/>
  <c r="E182" i="3"/>
  <c r="E531" i="3"/>
  <c r="E485" i="3"/>
  <c r="E204" i="3"/>
  <c r="E74" i="3"/>
  <c r="E171" i="3"/>
  <c r="E587" i="3"/>
  <c r="E228" i="3"/>
  <c r="E124" i="3"/>
  <c r="E503" i="3"/>
  <c r="AR6" i="3"/>
  <c r="E331" i="3"/>
  <c r="E269" i="3"/>
  <c r="E458" i="3"/>
  <c r="E382" i="3"/>
  <c r="E551" i="3"/>
  <c r="E334" i="3"/>
  <c r="E252" i="3"/>
  <c r="E481" i="3"/>
  <c r="E303" i="3"/>
  <c r="E523" i="3"/>
  <c r="E317" i="3"/>
  <c r="E207" i="3"/>
  <c r="E474" i="3"/>
  <c r="E187" i="3"/>
  <c r="E374" i="3"/>
  <c r="E500" i="3"/>
  <c r="E340" i="3"/>
  <c r="E486" i="3"/>
  <c r="E436" i="3"/>
  <c r="E323" i="3"/>
  <c r="E354" i="3"/>
  <c r="E110" i="3"/>
  <c r="E416" i="3"/>
  <c r="E222" i="3"/>
  <c r="E386" i="3"/>
  <c r="E348" i="3"/>
  <c r="E566" i="3"/>
  <c r="E165" i="3"/>
  <c r="E265" i="3"/>
  <c r="E20" i="3"/>
  <c r="E289" i="3"/>
  <c r="E36" i="3"/>
  <c r="E325" i="3"/>
  <c r="E194" i="3"/>
  <c r="E79" i="3"/>
  <c r="E540" i="3"/>
  <c r="E372" i="3"/>
  <c r="E226" i="3"/>
  <c r="E25" i="3"/>
  <c r="E419" i="3"/>
  <c r="E490" i="3"/>
  <c r="E543" i="3"/>
  <c r="E16" i="3"/>
  <c r="E49" i="3"/>
  <c r="E428" i="3"/>
  <c r="E420" i="3"/>
  <c r="E534" i="3"/>
  <c r="E522" i="3"/>
  <c r="E283" i="3"/>
  <c r="E409" i="3"/>
  <c r="E286" i="3"/>
  <c r="E43" i="3"/>
  <c r="E333" i="3"/>
  <c r="E202" i="3"/>
  <c r="E40" i="3"/>
  <c r="E498" i="3"/>
  <c r="E440" i="3"/>
  <c r="E493" i="3"/>
  <c r="E83" i="3"/>
  <c r="E342" i="3"/>
  <c r="E243" i="3"/>
  <c r="E452" i="3"/>
  <c r="E140" i="3"/>
  <c r="E129" i="3"/>
  <c r="E355" i="3"/>
  <c r="E241" i="3"/>
  <c r="E464" i="3"/>
  <c r="E284" i="3"/>
  <c r="E138" i="3"/>
  <c r="E520" i="3"/>
  <c r="E312" i="3"/>
  <c r="E250" i="3"/>
  <c r="E521" i="3"/>
  <c r="E90" i="3"/>
  <c r="E552" i="3"/>
  <c r="E524" i="3"/>
  <c r="E176" i="3"/>
  <c r="E364" i="3"/>
  <c r="E123" i="3"/>
  <c r="AQ6" i="3"/>
  <c r="E299" i="3"/>
  <c r="E170" i="3"/>
  <c r="E15" i="3"/>
  <c r="E60" i="3"/>
  <c r="E346" i="3"/>
  <c r="E178" i="3"/>
  <c r="E463" i="3"/>
  <c r="J6" i="3"/>
  <c r="E422" i="3"/>
  <c r="E105" i="3"/>
  <c r="E158" i="3"/>
  <c r="E220" i="3"/>
  <c r="E115" i="3"/>
  <c r="E360" i="3"/>
  <c r="E287" i="3"/>
  <c r="E42" i="3"/>
  <c r="E67" i="3"/>
  <c r="E417" i="3"/>
  <c r="E427" i="3"/>
  <c r="E393" i="3"/>
  <c r="E188" i="3"/>
  <c r="E326" i="3"/>
  <c r="E232" i="3"/>
  <c r="E324" i="3"/>
  <c r="E412" i="3"/>
  <c r="E225" i="3"/>
  <c r="E26" i="3"/>
  <c r="E13" i="3"/>
  <c r="E451" i="3"/>
  <c r="E456" i="3"/>
  <c r="E525" i="3"/>
  <c r="E205" i="3"/>
  <c r="E113" i="3"/>
  <c r="E206" i="3"/>
  <c r="E383" i="3"/>
  <c r="E96" i="3"/>
  <c r="AL6" i="3"/>
  <c r="E494" i="3"/>
  <c r="E81" i="3"/>
  <c r="E233" i="3"/>
  <c r="E84" i="3"/>
  <c r="E160" i="3"/>
  <c r="E59" i="3"/>
  <c r="E258" i="3"/>
  <c r="E491" i="3"/>
  <c r="E430" i="3"/>
  <c r="E539" i="3"/>
  <c r="E497" i="3"/>
  <c r="E408" i="3"/>
  <c r="E405" i="3"/>
  <c r="E173" i="3"/>
  <c r="E22" i="3"/>
  <c r="E102" i="3"/>
  <c r="E34" i="3"/>
  <c r="E235" i="3"/>
  <c r="E18" i="3"/>
  <c r="E391" i="3"/>
  <c r="E513" i="3"/>
  <c r="E63" i="3"/>
  <c r="E184" i="3"/>
  <c r="E310" i="3"/>
  <c r="E64" i="3"/>
  <c r="E389" i="3"/>
  <c r="E95" i="3"/>
  <c r="E554" i="3"/>
  <c r="E442" i="3"/>
  <c r="E376" i="3"/>
  <c r="E507" i="3"/>
  <c r="E564" i="3"/>
  <c r="E116" i="3"/>
  <c r="E329" i="3"/>
  <c r="E80" i="3"/>
  <c r="E35" i="3"/>
  <c r="E190" i="3"/>
  <c r="E356" i="3"/>
  <c r="E41" i="3"/>
  <c r="E470" i="3"/>
  <c r="E556" i="3"/>
  <c r="E512" i="3"/>
  <c r="T6" i="3"/>
  <c r="E197" i="3"/>
  <c r="E308" i="3"/>
  <c r="AF6" i="3"/>
  <c r="E86" i="3"/>
  <c r="E174" i="3"/>
  <c r="E482" i="3"/>
  <c r="E281" i="3"/>
  <c r="E309" i="3"/>
  <c r="E68" i="3"/>
  <c r="E33" i="3"/>
  <c r="E371" i="3"/>
  <c r="E467" i="3"/>
  <c r="E349" i="3"/>
  <c r="E37" i="3"/>
  <c r="AP6" i="3"/>
  <c r="E502" i="3"/>
  <c r="C49" i="67"/>
  <c r="Q73" i="15"/>
  <c r="E75" i="3"/>
  <c r="E332" i="3"/>
  <c r="E21" i="3"/>
  <c r="E264" i="3"/>
  <c r="E381" i="3"/>
  <c r="E144" i="3"/>
  <c r="E23" i="3"/>
  <c r="E300" i="3"/>
  <c r="E103" i="3"/>
  <c r="E425" i="3"/>
  <c r="E76" i="3"/>
  <c r="E363" i="3"/>
  <c r="E192" i="3"/>
  <c r="E56" i="3"/>
  <c r="E435" i="3"/>
  <c r="I3" i="6"/>
  <c r="E541" i="3"/>
  <c r="R6" i="3"/>
  <c r="E199" i="3"/>
  <c r="E510" i="3"/>
  <c r="T64" i="71"/>
  <c r="D64" i="71"/>
  <c r="D36" i="71"/>
  <c r="T36" i="71"/>
  <c r="E492" i="3"/>
  <c r="E249" i="3"/>
  <c r="E46" i="3"/>
  <c r="E484" i="3"/>
  <c r="E544" i="3"/>
  <c r="E292" i="3"/>
  <c r="E152" i="3"/>
  <c r="E479" i="3"/>
  <c r="E517" i="3"/>
  <c r="E255" i="3"/>
  <c r="E466" i="3"/>
  <c r="E499" i="3"/>
  <c r="E212" i="3"/>
  <c r="D44" i="71"/>
  <c r="T44" i="71"/>
  <c r="E575" i="3"/>
  <c r="T32" i="71"/>
  <c r="D32" i="71"/>
  <c r="D56" i="71"/>
  <c r="T56" i="71"/>
  <c r="B40" i="1"/>
  <c r="L36" i="43" s="1"/>
  <c r="L37" i="43" s="1"/>
  <c r="I42" i="37"/>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AG11" i="1"/>
  <c r="AG9" i="1"/>
  <c r="AG10" i="1"/>
  <c r="AG8" i="1"/>
  <c r="AG12" i="1"/>
  <c r="AG7" i="1"/>
  <c r="F69" i="67"/>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O14" i="1"/>
  <c r="AY308" i="3"/>
  <c r="AY422" i="3"/>
  <c r="AY516" i="3"/>
  <c r="AY559" i="3"/>
  <c r="AY496" i="3"/>
  <c r="AY81" i="3"/>
  <c r="AY132" i="3"/>
  <c r="AY220" i="3"/>
  <c r="AY412" i="3"/>
  <c r="AY229" i="3"/>
  <c r="AY326" i="3"/>
  <c r="AY557" i="3"/>
  <c r="AY105" i="3"/>
  <c r="AY52" i="3"/>
  <c r="AY162" i="3"/>
  <c r="AY291" i="3"/>
  <c r="AY238" i="3"/>
  <c r="AY368" i="3"/>
  <c r="AY507" i="3"/>
  <c r="AY72" i="3"/>
  <c r="AY29" i="3"/>
  <c r="AY121" i="3"/>
  <c r="AY275" i="3"/>
  <c r="AY215" i="3"/>
  <c r="AY370" i="3"/>
  <c r="AY341" i="3"/>
  <c r="AY324" i="3"/>
  <c r="AY483" i="3"/>
  <c r="AY480"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14" i="74"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C39" i="43"/>
  <c r="C42" i="43"/>
  <c r="E42" i="43" s="1"/>
  <c r="C38" i="43"/>
  <c r="U7" i="37"/>
  <c r="G67" i="39"/>
  <c r="F69" i="39"/>
  <c r="I53" i="34"/>
  <c r="J53" i="34" s="1"/>
  <c r="F58" i="21"/>
  <c r="R37" i="36"/>
  <c r="E36" i="36"/>
  <c r="F63" i="40"/>
  <c r="E65" i="40"/>
  <c r="W7" i="33"/>
  <c r="AC7" i="33"/>
  <c r="V48" i="33" s="1"/>
  <c r="I48" i="33" s="1"/>
  <c r="AA7" i="37"/>
  <c r="S7" i="37"/>
  <c r="I40" i="36"/>
  <c r="J40" i="36" s="1"/>
  <c r="S7" i="33"/>
  <c r="AA7" i="33"/>
  <c r="R48" i="33" s="1"/>
  <c r="G53" i="34"/>
  <c r="H53" i="34" s="1"/>
  <c r="G54" i="34"/>
  <c r="H54" i="34" s="1"/>
  <c r="G40" i="36"/>
  <c r="H40" i="36" s="1"/>
  <c r="G41" i="36"/>
  <c r="H41" i="36" s="1"/>
  <c r="G46" i="37"/>
  <c r="H46" i="37" s="1"/>
  <c r="G48" i="35"/>
  <c r="U7" i="33"/>
  <c r="AB7" i="33"/>
  <c r="T48" i="33" s="1"/>
  <c r="G48" i="33" s="1"/>
  <c r="C53" i="67"/>
  <c r="C10" i="67"/>
  <c r="C5" i="67" s="1"/>
  <c r="C38" i="67" s="1"/>
  <c r="C53" i="15"/>
  <c r="AE6" i="1"/>
  <c r="M27" i="67"/>
  <c r="I46" i="37" l="1"/>
  <c r="J46" i="37" s="1"/>
  <c r="AY51" i="3"/>
  <c r="AY207" i="3"/>
  <c r="AY124" i="3"/>
  <c r="AY42" i="3"/>
  <c r="AY281" i="3"/>
  <c r="AY168" i="3"/>
  <c r="AY236" i="3"/>
  <c r="AY366" i="3"/>
  <c r="AY67" i="3"/>
  <c r="AY139" i="3"/>
  <c r="AY123" i="3"/>
  <c r="AY252"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171" i="3"/>
  <c r="AY237" i="3"/>
  <c r="AY444" i="3"/>
  <c r="AY269" i="3"/>
  <c r="AY311" i="3"/>
  <c r="AY535" i="3"/>
  <c r="AY555" i="3"/>
  <c r="AY68" i="3"/>
  <c r="AY178" i="3"/>
  <c r="AY117" i="3"/>
  <c r="AY254" i="3"/>
  <c r="AY365" i="3"/>
  <c r="AY57" i="3"/>
  <c r="AY130" i="3"/>
  <c r="AY393" i="3"/>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D37" i="11"/>
  <c r="B14" i="74"/>
  <c r="M15" i="82"/>
  <c r="B9" i="82"/>
  <c r="AG6" i="1"/>
  <c r="D3" i="34"/>
  <c r="E6" i="6"/>
  <c r="D10" i="11" s="1"/>
  <c r="C10" i="11" s="1"/>
  <c r="D3" i="33"/>
  <c r="C17" i="4"/>
  <c r="B4" i="52" s="1"/>
  <c r="B43" i="72" s="1"/>
  <c r="D3" i="21"/>
  <c r="L18" i="9"/>
  <c r="D14" i="12"/>
  <c r="D17" i="12" s="1"/>
  <c r="C17" i="12" s="1"/>
  <c r="M18" i="9"/>
  <c r="B118" i="9" s="1"/>
  <c r="B1" i="74" s="1"/>
  <c r="D3" i="37"/>
  <c r="D19" i="11"/>
  <c r="C19" i="11" s="1"/>
  <c r="C20" i="11" s="1"/>
  <c r="E19" i="6"/>
  <c r="D19" i="6" s="1"/>
  <c r="F27" i="6"/>
  <c r="F31" i="6" s="1"/>
  <c r="H6" i="3"/>
  <c r="AC6" i="3"/>
  <c r="F24" i="67"/>
  <c r="C24" i="67" s="1"/>
  <c r="F22" i="68"/>
  <c r="C44" i="68" s="1"/>
  <c r="D41" i="68" s="1"/>
  <c r="F25" i="12"/>
  <c r="C26" i="12" s="1"/>
  <c r="D25" i="12" s="1"/>
  <c r="F24" i="15"/>
  <c r="C24" i="15" s="1"/>
  <c r="F22" i="69"/>
  <c r="F41" i="69" s="1"/>
  <c r="F22" i="11"/>
  <c r="C48" i="67"/>
  <c r="C60" i="67" s="1"/>
  <c r="E49" i="34"/>
  <c r="E54" i="34" s="1"/>
  <c r="F54" i="34" s="1"/>
  <c r="O36" i="43"/>
  <c r="Q36" i="43"/>
  <c r="N36" i="43"/>
  <c r="M36" i="43"/>
  <c r="P36" i="43"/>
  <c r="C17" i="71"/>
  <c r="D18" i="71"/>
  <c r="P37" i="43"/>
  <c r="M37" i="43"/>
  <c r="Q37" i="43"/>
  <c r="O37" i="43"/>
  <c r="N37" i="43"/>
  <c r="S11" i="1"/>
  <c r="E11" i="70" s="1"/>
  <c r="S9" i="1"/>
  <c r="S7" i="1"/>
  <c r="E7" i="70" s="1"/>
  <c r="S10" i="1"/>
  <c r="E10" i="70" s="1"/>
  <c r="S12" i="1"/>
  <c r="D25" i="6"/>
  <c r="D15" i="6"/>
  <c r="D22" i="6"/>
  <c r="D21" i="6"/>
  <c r="D24" i="6"/>
  <c r="D20" i="6"/>
  <c r="M19" i="9"/>
  <c r="C118" i="9" s="1"/>
  <c r="B2" i="74" s="1"/>
  <c r="D26" i="6"/>
  <c r="D8" i="6"/>
  <c r="D14" i="6"/>
  <c r="D9" i="6"/>
  <c r="D10" i="6"/>
  <c r="L19" i="9"/>
  <c r="D29" i="6"/>
  <c r="C18" i="4"/>
  <c r="D23" i="6"/>
  <c r="D5" i="6"/>
  <c r="D12" i="6"/>
  <c r="D11" i="6"/>
  <c r="D13" i="6"/>
  <c r="D28" i="6"/>
  <c r="E61" i="40"/>
  <c r="P14" i="1"/>
  <c r="P16" i="1" s="1"/>
  <c r="C11" i="12" s="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I54" i="34"/>
  <c r="J54" i="34" s="1"/>
  <c r="G52" i="33"/>
  <c r="H52" i="33" s="1"/>
  <c r="G53" i="33"/>
  <c r="H53" i="33" s="1"/>
  <c r="H48" i="35"/>
  <c r="C49" i="34"/>
  <c r="C50" i="34"/>
  <c r="I41" i="36"/>
  <c r="J41" i="36" s="1"/>
  <c r="E42" i="37"/>
  <c r="G63" i="40"/>
  <c r="F65" i="40"/>
  <c r="C37" i="36"/>
  <c r="C36" i="36"/>
  <c r="G58" i="21"/>
  <c r="M27" i="15"/>
  <c r="C14" i="67"/>
  <c r="C17" i="67"/>
  <c r="F41" i="15"/>
  <c r="L9" i="82" l="1"/>
  <c r="L10" i="82" s="1"/>
  <c r="O9" i="82"/>
  <c r="M9" i="82"/>
  <c r="N9" i="82"/>
  <c r="P9" i="82"/>
  <c r="D10" i="69"/>
  <c r="D19" i="69" s="1"/>
  <c r="M10" i="82"/>
  <c r="O10" i="82"/>
  <c r="N10" i="82"/>
  <c r="P10" i="82"/>
  <c r="D10" i="68"/>
  <c r="C10" i="68" s="1"/>
  <c r="B29" i="1" s="1"/>
  <c r="C8" i="68" s="1"/>
  <c r="D20" i="12"/>
  <c r="C20" i="12" s="1"/>
  <c r="D6" i="6"/>
  <c r="F69" i="15"/>
  <c r="D30" i="6"/>
  <c r="C66" i="67"/>
  <c r="C24" i="11"/>
  <c r="K6" i="1"/>
  <c r="E27" i="6"/>
  <c r="C44" i="11"/>
  <c r="D41" i="11" s="1"/>
  <c r="C26" i="68"/>
  <c r="D22" i="68" s="1"/>
  <c r="F41" i="68"/>
  <c r="C26" i="11"/>
  <c r="D22" i="11" s="1"/>
  <c r="C23" i="11"/>
  <c r="C44" i="69"/>
  <c r="D41" i="69" s="1"/>
  <c r="C26" i="69"/>
  <c r="D22" i="69" s="1"/>
  <c r="E6" i="3"/>
  <c r="C25" i="11"/>
  <c r="E53" i="34"/>
  <c r="F53" i="34" s="1"/>
  <c r="C16" i="71"/>
  <c r="D17" i="71"/>
  <c r="C18" i="67"/>
  <c r="C15" i="67"/>
  <c r="E12" i="70"/>
  <c r="F34" i="11"/>
  <c r="F11" i="12"/>
  <c r="E9" i="70"/>
  <c r="AR9" i="1"/>
  <c r="AQ9" i="1"/>
  <c r="T9" i="1"/>
  <c r="AQ11" i="1"/>
  <c r="AR11" i="1"/>
  <c r="T11" i="1"/>
  <c r="AR12" i="1"/>
  <c r="T12" i="1"/>
  <c r="AQ12" i="1"/>
  <c r="AQ10" i="1"/>
  <c r="T10" i="1"/>
  <c r="AR10" i="1"/>
  <c r="AR7" i="1"/>
  <c r="AQ7" i="1"/>
  <c r="T7" i="1"/>
  <c r="D16" i="6"/>
  <c r="C15" i="12"/>
  <c r="C12" i="12"/>
  <c r="D27" i="6"/>
  <c r="D8" i="74"/>
  <c r="D7" i="74"/>
  <c r="C4" i="52"/>
  <c r="B45" i="72" s="1"/>
  <c r="A10" i="51"/>
  <c r="B9" i="72" s="1"/>
  <c r="A7" i="51"/>
  <c r="B7" i="72" s="1"/>
  <c r="H69" i="39"/>
  <c r="I67" i="39"/>
  <c r="G65" i="40"/>
  <c r="H63" i="40"/>
  <c r="C43" i="37"/>
  <c r="U6" i="1" s="1"/>
  <c r="C42" i="37"/>
  <c r="I48" i="35"/>
  <c r="C48" i="33"/>
  <c r="C49" i="33"/>
  <c r="H58" i="21"/>
  <c r="E47" i="37"/>
  <c r="F47" i="37" s="1"/>
  <c r="E46" i="37"/>
  <c r="F46" i="37" s="1"/>
  <c r="I47" i="37"/>
  <c r="J47" i="37" s="1"/>
  <c r="E53" i="33"/>
  <c r="F53" i="33" s="1"/>
  <c r="E52" i="33"/>
  <c r="F52" i="33" s="1"/>
  <c r="C33" i="67"/>
  <c r="J19" i="67"/>
  <c r="M29" i="15"/>
  <c r="F7" i="15"/>
  <c r="F43" i="15"/>
  <c r="C10" i="69" l="1"/>
  <c r="C8" i="69" s="1"/>
  <c r="C5" i="69" s="1"/>
  <c r="C23" i="69" s="1"/>
  <c r="M14" i="82"/>
  <c r="N14" i="82" s="1"/>
  <c r="D19" i="68"/>
  <c r="D37" i="68" s="1"/>
  <c r="C37" i="68" s="1"/>
  <c r="D31" i="6"/>
  <c r="C18" i="12"/>
  <c r="C22" i="11"/>
  <c r="M7" i="15"/>
  <c r="J6" i="15" s="1"/>
  <c r="J10" i="15" s="1"/>
  <c r="F50" i="15"/>
  <c r="C49" i="15" s="1"/>
  <c r="C48" i="15" s="1"/>
  <c r="F71" i="15"/>
  <c r="K26" i="6"/>
  <c r="M26" i="6" s="1"/>
  <c r="I26" i="6" s="1"/>
  <c r="K21" i="6"/>
  <c r="K25" i="6"/>
  <c r="M25" i="6" s="1"/>
  <c r="I25" i="6" s="1"/>
  <c r="E31" i="6"/>
  <c r="K20" i="6"/>
  <c r="M20" i="6" s="1"/>
  <c r="I20" i="6" s="1"/>
  <c r="K24" i="6"/>
  <c r="M24" i="6" s="1"/>
  <c r="I24" i="6" s="1"/>
  <c r="K23" i="6"/>
  <c r="M23" i="6" s="1"/>
  <c r="I23" i="6" s="1"/>
  <c r="K22" i="6"/>
  <c r="M22" i="6" s="1"/>
  <c r="I22" i="6" s="1"/>
  <c r="K19" i="6"/>
  <c r="AP6" i="1"/>
  <c r="C36" i="69" s="1"/>
  <c r="Q16" i="1"/>
  <c r="M6" i="1"/>
  <c r="H16" i="1"/>
  <c r="G16" i="1"/>
  <c r="K16" i="1"/>
  <c r="C34" i="69"/>
  <c r="C15" i="71"/>
  <c r="T16" i="71"/>
  <c r="D16" i="71"/>
  <c r="U16" i="71" s="1"/>
  <c r="C19" i="67"/>
  <c r="C20" i="67" s="1"/>
  <c r="C26" i="67" s="1"/>
  <c r="C36" i="11"/>
  <c r="C37" i="11"/>
  <c r="C23" i="12"/>
  <c r="C14" i="12"/>
  <c r="C16" i="12" s="1"/>
  <c r="C19" i="68"/>
  <c r="C19" i="69"/>
  <c r="C24" i="69" s="1"/>
  <c r="D37" i="69"/>
  <c r="C37" i="69" s="1"/>
  <c r="I6" i="6"/>
  <c r="G3" i="43" s="1"/>
  <c r="I69" i="39"/>
  <c r="J67" i="39"/>
  <c r="I63" i="40"/>
  <c r="H65" i="40"/>
  <c r="I58" i="21"/>
  <c r="J58" i="21" s="1"/>
  <c r="K58" i="21" s="1"/>
  <c r="L58" i="21" s="1"/>
  <c r="M58" i="21" s="1"/>
  <c r="N58" i="21" s="1"/>
  <c r="O58" i="21" s="1"/>
  <c r="H7" i="21" s="1"/>
  <c r="J48" i="35"/>
  <c r="C16" i="15"/>
  <c r="F6" i="15"/>
  <c r="C6" i="15" l="1"/>
  <c r="C33" i="15" s="1"/>
  <c r="I5" i="6"/>
  <c r="C21" i="12"/>
  <c r="C22" i="12" s="1"/>
  <c r="J26" i="43"/>
  <c r="H26" i="43"/>
  <c r="B116" i="43"/>
  <c r="N370" i="46"/>
  <c r="G26" i="43"/>
  <c r="F26" i="43"/>
  <c r="E26" i="43"/>
  <c r="Z7" i="43"/>
  <c r="N94" i="46"/>
  <c r="O6" i="1"/>
  <c r="O16" i="1" s="1"/>
  <c r="M16" i="1"/>
  <c r="S22" i="6"/>
  <c r="H22" i="6"/>
  <c r="R22" i="6" s="1"/>
  <c r="R9" i="1" s="1"/>
  <c r="F27" i="69"/>
  <c r="F27" i="11"/>
  <c r="F27" i="68"/>
  <c r="F28" i="12"/>
  <c r="C29" i="12" s="1"/>
  <c r="D28" i="12" s="1"/>
  <c r="S23" i="6"/>
  <c r="H23" i="6"/>
  <c r="R23" i="6" s="1"/>
  <c r="R10" i="1" s="1"/>
  <c r="S25" i="6"/>
  <c r="H25" i="6"/>
  <c r="R25" i="6" s="1"/>
  <c r="R12" i="1" s="1"/>
  <c r="C32" i="15"/>
  <c r="C10" i="15"/>
  <c r="C5" i="15" s="1"/>
  <c r="C38" i="15" s="1"/>
  <c r="F10" i="39"/>
  <c r="J10" i="39"/>
  <c r="J10" i="40"/>
  <c r="H10" i="40"/>
  <c r="F10" i="40"/>
  <c r="H10" i="39"/>
  <c r="S24" i="6"/>
  <c r="H24" i="6"/>
  <c r="R24" i="6" s="1"/>
  <c r="R11" i="1" s="1"/>
  <c r="S8" i="1"/>
  <c r="M21" i="6"/>
  <c r="I21" i="6" s="1"/>
  <c r="C66" i="15"/>
  <c r="C60" i="15"/>
  <c r="C38" i="69"/>
  <c r="C35" i="69"/>
  <c r="S6" i="1"/>
  <c r="K27" i="6"/>
  <c r="M19" i="6"/>
  <c r="S20" i="6"/>
  <c r="H20" i="6"/>
  <c r="R20" i="6" s="1"/>
  <c r="R7" i="1" s="1"/>
  <c r="S26" i="6"/>
  <c r="H26" i="6"/>
  <c r="R26" i="6" s="1"/>
  <c r="J18" i="15"/>
  <c r="J5" i="15"/>
  <c r="J24" i="15" s="1"/>
  <c r="C14" i="71"/>
  <c r="D15" i="71"/>
  <c r="F7" i="21"/>
  <c r="S7" i="21" s="1"/>
  <c r="J7" i="21"/>
  <c r="AC7" i="21" s="1"/>
  <c r="V48" i="21" s="1"/>
  <c r="I48" i="21" s="1"/>
  <c r="C23" i="67"/>
  <c r="C29" i="67" s="1"/>
  <c r="J59" i="67" s="1"/>
  <c r="J60" i="67" s="1"/>
  <c r="Q48" i="67" s="1"/>
  <c r="C20" i="69"/>
  <c r="C24" i="68"/>
  <c r="J69" i="39"/>
  <c r="K67" i="39"/>
  <c r="U7" i="21"/>
  <c r="AB7" i="21"/>
  <c r="T48" i="21" s="1"/>
  <c r="G48" i="21" s="1"/>
  <c r="J63" i="40"/>
  <c r="I65" i="40"/>
  <c r="K48" i="35"/>
  <c r="L48" i="35" s="1"/>
  <c r="M48" i="35" s="1"/>
  <c r="N48" i="35" s="1"/>
  <c r="O48" i="35" s="1"/>
  <c r="H7" i="35" s="1"/>
  <c r="C17" i="15"/>
  <c r="C27" i="12" l="1"/>
  <c r="C25" i="12" s="1"/>
  <c r="C33" i="69"/>
  <c r="C42" i="69" s="1"/>
  <c r="C28" i="69"/>
  <c r="C27" i="69" s="1"/>
  <c r="D26" i="43"/>
  <c r="C25" i="43" s="1"/>
  <c r="C33" i="43" s="1"/>
  <c r="E8" i="70"/>
  <c r="AQ8" i="1"/>
  <c r="T8" i="1"/>
  <c r="AR8" i="1"/>
  <c r="S10" i="40"/>
  <c r="AA10" i="40"/>
  <c r="AA10" i="39"/>
  <c r="S10" i="39"/>
  <c r="AQ6" i="1"/>
  <c r="AR6" i="1"/>
  <c r="T6" i="1"/>
  <c r="S16" i="1"/>
  <c r="E6" i="70"/>
  <c r="C29" i="11"/>
  <c r="D27" i="11" s="1"/>
  <c r="C47" i="11"/>
  <c r="D45" i="11" s="1"/>
  <c r="C28" i="11"/>
  <c r="C27" i="11" s="1"/>
  <c r="L16" i="1"/>
  <c r="N16" i="1"/>
  <c r="C34" i="68"/>
  <c r="C34" i="1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C30" i="12"/>
  <c r="C28" i="12" s="1"/>
  <c r="AB10" i="40"/>
  <c r="U10" i="40"/>
  <c r="F45" i="68"/>
  <c r="C47" i="68"/>
  <c r="D45" i="68" s="1"/>
  <c r="C29" i="68"/>
  <c r="D27" i="68" s="1"/>
  <c r="AC10" i="40"/>
  <c r="W10" i="40"/>
  <c r="M27" i="6"/>
  <c r="I19" i="6"/>
  <c r="S21" i="6"/>
  <c r="H21" i="6"/>
  <c r="R21" i="6" s="1"/>
  <c r="R8" i="1" s="1"/>
  <c r="U10" i="39"/>
  <c r="AB10" i="39"/>
  <c r="W10" i="39"/>
  <c r="AC10" i="39"/>
  <c r="C47" i="69"/>
  <c r="D45" i="69" s="1"/>
  <c r="C29" i="69"/>
  <c r="D27" i="69" s="1"/>
  <c r="F45" i="69"/>
  <c r="D14" i="71"/>
  <c r="C13" i="71"/>
  <c r="W7" i="21"/>
  <c r="AA7" i="21"/>
  <c r="R48" i="21" s="1"/>
  <c r="R49" i="21" s="1"/>
  <c r="J7" i="35"/>
  <c r="W7" i="35" s="1"/>
  <c r="Q49" i="67"/>
  <c r="J14" i="67"/>
  <c r="J13" i="67" s="1"/>
  <c r="J23" i="67" s="1"/>
  <c r="C36" i="67"/>
  <c r="C57" i="67"/>
  <c r="C64" i="67" s="1"/>
  <c r="C13" i="67"/>
  <c r="Q70" i="67" s="1"/>
  <c r="C61" i="67"/>
  <c r="C25" i="69"/>
  <c r="C22" i="69" s="1"/>
  <c r="L67" i="39"/>
  <c r="K69" i="39"/>
  <c r="J65" i="40"/>
  <c r="K63" i="40"/>
  <c r="I52" i="21"/>
  <c r="J52" i="21" s="1"/>
  <c r="U7" i="35"/>
  <c r="AB7" i="35"/>
  <c r="T38" i="35" s="1"/>
  <c r="G38" i="35" s="1"/>
  <c r="G52" i="21"/>
  <c r="H52" i="21" s="1"/>
  <c r="G53" i="21"/>
  <c r="H53" i="21" s="1"/>
  <c r="F7" i="35"/>
  <c r="M21" i="67"/>
  <c r="C14" i="15"/>
  <c r="F35" i="67"/>
  <c r="C32" i="12" l="1"/>
  <c r="B2" i="12" s="1"/>
  <c r="B3" i="12" s="1"/>
  <c r="E2" i="70"/>
  <c r="C31" i="11"/>
  <c r="C39" i="69"/>
  <c r="C31" i="69"/>
  <c r="C18" i="15"/>
  <c r="C15" i="15"/>
  <c r="C35" i="11"/>
  <c r="C38" i="11"/>
  <c r="I27" i="6"/>
  <c r="H19" i="6"/>
  <c r="S19" i="6"/>
  <c r="S27" i="6" s="1"/>
  <c r="C35" i="68"/>
  <c r="C38" i="68"/>
  <c r="T16" i="1"/>
  <c r="F50" i="68"/>
  <c r="F50" i="11"/>
  <c r="F50" i="69"/>
  <c r="C118" i="43"/>
  <c r="D116" i="43" s="1"/>
  <c r="E33" i="43"/>
  <c r="C30" i="43" s="1"/>
  <c r="C34" i="43"/>
  <c r="E34" i="43" s="1"/>
  <c r="C31" i="43" s="1"/>
  <c r="E48" i="21"/>
  <c r="E52" i="21" s="1"/>
  <c r="F52" i="21" s="1"/>
  <c r="AC7" i="35"/>
  <c r="V38" i="35" s="1"/>
  <c r="I38" i="35" s="1"/>
  <c r="C12" i="71"/>
  <c r="D13" i="71"/>
  <c r="C56" i="67"/>
  <c r="C65" i="67" s="1"/>
  <c r="J22" i="67"/>
  <c r="C37" i="67"/>
  <c r="C75" i="67"/>
  <c r="C34" i="67"/>
  <c r="C31" i="67" s="1"/>
  <c r="F63" i="67"/>
  <c r="C62" i="67" s="1"/>
  <c r="C59" i="67" s="1"/>
  <c r="J20" i="67"/>
  <c r="J17" i="67" s="1"/>
  <c r="J19" i="15"/>
  <c r="L69" i="39"/>
  <c r="M67" i="39"/>
  <c r="S7" i="35"/>
  <c r="AA7" i="35"/>
  <c r="R38" i="35" s="1"/>
  <c r="C49" i="21"/>
  <c r="C48" i="21"/>
  <c r="G42" i="35"/>
  <c r="H42" i="35" s="1"/>
  <c r="G43" i="35"/>
  <c r="H43" i="35" s="1"/>
  <c r="K65" i="40"/>
  <c r="L63" i="40"/>
  <c r="I42" i="35"/>
  <c r="J42" i="35" s="1"/>
  <c r="E6" i="76"/>
  <c r="E53" i="21" l="1"/>
  <c r="F53" i="21" s="1"/>
  <c r="I53" i="21"/>
  <c r="J53" i="21" s="1"/>
  <c r="C33" i="11"/>
  <c r="C39" i="11" s="1"/>
  <c r="C43" i="11" s="1"/>
  <c r="C19" i="15"/>
  <c r="C20" i="15" s="1"/>
  <c r="C26" i="15" s="1"/>
  <c r="C43" i="69"/>
  <c r="C41" i="69" s="1"/>
  <c r="C46" i="69"/>
  <c r="C45" i="69" s="1"/>
  <c r="C33" i="68"/>
  <c r="C42" i="68" s="1"/>
  <c r="E2" i="76"/>
  <c r="H27" i="6"/>
  <c r="R19" i="6"/>
  <c r="B2" i="43"/>
  <c r="C11" i="71"/>
  <c r="T12" i="71"/>
  <c r="D12" i="71"/>
  <c r="U12" i="71" s="1"/>
  <c r="C58" i="67"/>
  <c r="C67" i="67" s="1"/>
  <c r="C68" i="67" s="1"/>
  <c r="C71" i="67" s="1"/>
  <c r="J16" i="67"/>
  <c r="J25" i="67" s="1"/>
  <c r="J26" i="67" s="1"/>
  <c r="J29" i="67" s="1"/>
  <c r="C30" i="67"/>
  <c r="C39" i="67" s="1"/>
  <c r="Q69" i="67" s="1"/>
  <c r="Q68" i="67" s="1"/>
  <c r="C61" i="15"/>
  <c r="M69" i="39"/>
  <c r="N67" i="39"/>
  <c r="R39" i="35"/>
  <c r="E38" i="35"/>
  <c r="M63" i="40"/>
  <c r="L65" i="40"/>
  <c r="B6" i="76"/>
  <c r="D2" i="21"/>
  <c r="C42" i="11" l="1"/>
  <c r="C41" i="11" s="1"/>
  <c r="C39" i="68"/>
  <c r="C43" i="68" s="1"/>
  <c r="C41" i="68" s="1"/>
  <c r="C49" i="69"/>
  <c r="C51" i="69" s="1"/>
  <c r="C23" i="15"/>
  <c r="C29" i="15" s="1"/>
  <c r="J14" i="15" s="1"/>
  <c r="C46" i="11"/>
  <c r="C45" i="11" s="1"/>
  <c r="B2" i="76"/>
  <c r="B3" i="76" s="1"/>
  <c r="B3" i="43"/>
  <c r="C6" i="68"/>
  <c r="C7" i="68" s="1"/>
  <c r="C5" i="68" s="1"/>
  <c r="R6" i="1"/>
  <c r="R27" i="6"/>
  <c r="C10" i="71"/>
  <c r="D11" i="71"/>
  <c r="C80" i="67"/>
  <c r="C79" i="67" s="1"/>
  <c r="C40" i="67"/>
  <c r="C45" i="67" s="1"/>
  <c r="B2" i="21"/>
  <c r="B3" i="21" s="1"/>
  <c r="O67" i="39"/>
  <c r="O69" i="39" s="1"/>
  <c r="N69" i="39"/>
  <c r="F7" i="39"/>
  <c r="C39" i="35"/>
  <c r="C38" i="35"/>
  <c r="N63" i="40"/>
  <c r="M65" i="40"/>
  <c r="E43" i="35"/>
  <c r="F43" i="35" s="1"/>
  <c r="E42" i="35"/>
  <c r="F42" i="35" s="1"/>
  <c r="I43" i="35"/>
  <c r="J43" i="35" s="1"/>
  <c r="M21" i="15"/>
  <c r="F35" i="15"/>
  <c r="D2" i="33"/>
  <c r="L51" i="67"/>
  <c r="C36" i="15" l="1"/>
  <c r="C46" i="68"/>
  <c r="C45" i="68" s="1"/>
  <c r="C49" i="68" s="1"/>
  <c r="C51" i="68" s="1"/>
  <c r="C52" i="69"/>
  <c r="B2" i="69" s="1"/>
  <c r="B3" i="69" s="1"/>
  <c r="C13" i="15"/>
  <c r="C37" i="15" s="1"/>
  <c r="J59" i="15"/>
  <c r="J60" i="15" s="1"/>
  <c r="Q48" i="15" s="1"/>
  <c r="C57" i="15"/>
  <c r="C64" i="15" s="1"/>
  <c r="Q49" i="15"/>
  <c r="C49" i="11"/>
  <c r="C51" i="11" s="1"/>
  <c r="F63" i="15"/>
  <c r="C62" i="15" s="1"/>
  <c r="C59" i="15" s="1"/>
  <c r="C34" i="15"/>
  <c r="C31" i="15" s="1"/>
  <c r="J20" i="15"/>
  <c r="J17" i="15" s="1"/>
  <c r="C23" i="68"/>
  <c r="C20" i="68"/>
  <c r="J13" i="15"/>
  <c r="J23" i="15" s="1"/>
  <c r="J22" i="15"/>
  <c r="R16" i="1"/>
  <c r="D10" i="71"/>
  <c r="C9" i="71"/>
  <c r="L57" i="67"/>
  <c r="L60" i="67" s="1"/>
  <c r="L46" i="67" s="1"/>
  <c r="D2" i="67" s="1"/>
  <c r="B2" i="67" s="1"/>
  <c r="Q67" i="67"/>
  <c r="Q65" i="67"/>
  <c r="B2" i="33"/>
  <c r="B3" i="33" s="1"/>
  <c r="C83" i="67"/>
  <c r="C82" i="67" s="1"/>
  <c r="Q47" i="67"/>
  <c r="Q53" i="67" s="1"/>
  <c r="C46" i="67"/>
  <c r="Q56" i="67"/>
  <c r="C43" i="67"/>
  <c r="H7" i="39"/>
  <c r="J7" i="39"/>
  <c r="S7" i="39"/>
  <c r="AA7" i="39"/>
  <c r="R47" i="39" s="1"/>
  <c r="O63" i="40"/>
  <c r="O65" i="40" s="1"/>
  <c r="N65" i="40"/>
  <c r="D2" i="34"/>
  <c r="D2" i="35"/>
  <c r="D2" i="36"/>
  <c r="D2" i="37"/>
  <c r="C57" i="69" l="1"/>
  <c r="C56" i="69" s="1"/>
  <c r="C56" i="15"/>
  <c r="C65" i="15" s="1"/>
  <c r="C58" i="15" s="1"/>
  <c r="C67" i="15" s="1"/>
  <c r="C68" i="15" s="1"/>
  <c r="C71" i="15" s="1"/>
  <c r="C75" i="15"/>
  <c r="Q70" i="15"/>
  <c r="C52" i="11"/>
  <c r="B2" i="11" s="1"/>
  <c r="B3" i="11" s="1"/>
  <c r="C28" i="68"/>
  <c r="C27" i="68" s="1"/>
  <c r="C25" i="68"/>
  <c r="C22" i="68" s="1"/>
  <c r="J16" i="15"/>
  <c r="J25" i="15" s="1"/>
  <c r="J26" i="15" s="1"/>
  <c r="J29" i="15" s="1"/>
  <c r="C30" i="15"/>
  <c r="C39" i="15" s="1"/>
  <c r="C8" i="71"/>
  <c r="D9" i="71"/>
  <c r="Q57" i="67"/>
  <c r="Q62" i="67" s="1"/>
  <c r="Q66" i="67"/>
  <c r="Q75" i="67" s="1"/>
  <c r="B3" i="67"/>
  <c r="L57" i="15"/>
  <c r="L60" i="15" s="1"/>
  <c r="Q57" i="15" s="1"/>
  <c r="B2" i="36"/>
  <c r="B3" i="36" s="1"/>
  <c r="B2" i="35"/>
  <c r="B3" i="35" s="1"/>
  <c r="M3" i="35"/>
  <c r="B2" i="37"/>
  <c r="B3" i="37" s="1"/>
  <c r="B2" i="34"/>
  <c r="B3" i="34" s="1"/>
  <c r="W7" i="39"/>
  <c r="AC7" i="39"/>
  <c r="V47" i="39" s="1"/>
  <c r="I47" i="39" s="1"/>
  <c r="E47" i="39"/>
  <c r="R48" i="39"/>
  <c r="U7" i="39"/>
  <c r="AB7" i="39"/>
  <c r="T47" i="39" s="1"/>
  <c r="G47" i="39" s="1"/>
  <c r="J7" i="40"/>
  <c r="F7" i="40"/>
  <c r="H7" i="40"/>
  <c r="AO10" i="1"/>
  <c r="AO9" i="1"/>
  <c r="AO12" i="1"/>
  <c r="L51" i="15"/>
  <c r="AO7" i="1"/>
  <c r="AO8" i="1"/>
  <c r="AO11" i="1"/>
  <c r="C31" i="68" l="1"/>
  <c r="C52" i="68" s="1"/>
  <c r="B2" i="68" s="1"/>
  <c r="C56" i="11"/>
  <c r="C57" i="11" s="1"/>
  <c r="Q67" i="15"/>
  <c r="Q69" i="15"/>
  <c r="Q68" i="15" s="1"/>
  <c r="C80" i="15"/>
  <c r="C79" i="15" s="1"/>
  <c r="C40" i="15"/>
  <c r="C7" i="71"/>
  <c r="D8" i="71"/>
  <c r="L46" i="15"/>
  <c r="Q66"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19" i="9"/>
  <c r="C57" i="68" l="1"/>
  <c r="C56" i="68" s="1"/>
  <c r="B2" i="15"/>
  <c r="B3" i="15" s="1"/>
  <c r="C102" i="9"/>
  <c r="C21" i="9"/>
  <c r="C46" i="15"/>
  <c r="C83" i="15"/>
  <c r="C82" i="15" s="1"/>
  <c r="C43" i="15"/>
  <c r="Q65" i="15"/>
  <c r="Q75" i="15" s="1"/>
  <c r="Q47" i="15"/>
  <c r="Q53" i="15" s="1"/>
  <c r="Q56" i="15"/>
  <c r="Q62" i="15" s="1"/>
  <c r="B3" i="68"/>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20" i="9"/>
  <c r="D20" i="9"/>
  <c r="AO6" i="1"/>
  <c r="D34" i="9"/>
  <c r="D35" i="9"/>
  <c r="D19" i="9"/>
  <c r="D22" i="9" l="1"/>
  <c r="G19" i="9"/>
  <c r="D102" i="9"/>
  <c r="D21" i="9"/>
  <c r="B6" i="70"/>
  <c r="B2" i="70" s="1"/>
  <c r="B3" i="70" s="1"/>
  <c r="C103" i="9"/>
  <c r="D103" i="9"/>
  <c r="G20" i="9"/>
  <c r="D6" i="71"/>
  <c r="C5" i="71"/>
  <c r="D5" i="71" s="1"/>
  <c r="M24" i="43" s="1"/>
  <c r="C42" i="40"/>
  <c r="C43" i="40"/>
  <c r="E47" i="40"/>
  <c r="F47" i="40" s="1"/>
  <c r="E46" i="40"/>
  <c r="F46" i="40" s="1"/>
  <c r="I47" i="40"/>
  <c r="J47" i="40" s="1"/>
  <c r="D14" i="74" l="1"/>
  <c r="G14" i="74" s="1"/>
  <c r="C32" i="9"/>
  <c r="C35" i="9" s="1"/>
  <c r="C34" i="9" s="1"/>
  <c r="G21" i="9"/>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H111" i="9" l="1"/>
  <c r="D19" i="53" s="1"/>
  <c r="D126" i="9"/>
  <c r="D12" i="52" s="1"/>
  <c r="H112" i="9"/>
  <c r="C8" i="74" s="1"/>
  <c r="D20" i="53" l="1"/>
  <c r="B40" i="72" s="1"/>
  <c r="B38" i="72"/>
  <c r="D127" i="9"/>
  <c r="D13" i="52" s="1"/>
  <c r="D21" i="53"/>
  <c r="B39" i="72" s="1"/>
  <c r="D118" i="9"/>
  <c r="F118" i="9"/>
  <c r="H118" i="9"/>
  <c r="H101" i="9" s="1"/>
  <c r="F4" i="52" l="1"/>
  <c r="B51" i="72" s="1"/>
  <c r="L4" i="74"/>
  <c r="D119" i="9"/>
  <c r="D5" i="52" s="1"/>
  <c r="B49" i="72" s="1"/>
  <c r="K4" i="74"/>
  <c r="D4" i="52"/>
  <c r="B47" i="72" s="1"/>
  <c r="G118" i="9"/>
  <c r="G4" i="52" s="1"/>
  <c r="B52" i="72" s="1"/>
  <c r="F119" i="9"/>
  <c r="F5" i="52" s="1"/>
  <c r="B53" i="72" s="1"/>
  <c r="H107" i="9"/>
  <c r="M48" i="9"/>
  <c r="D45" i="9"/>
  <c r="D5" i="53"/>
  <c r="C104" i="9"/>
  <c r="H119" i="9"/>
  <c r="H5" i="52" s="1"/>
  <c r="I118" i="9"/>
  <c r="H4" i="52"/>
  <c r="M4" i="74" l="1"/>
  <c r="B20" i="72"/>
  <c r="D6" i="53"/>
  <c r="B22" i="72" s="1"/>
  <c r="E118" i="9"/>
  <c r="E4" i="52" s="1"/>
  <c r="B48" i="72" s="1"/>
  <c r="C105" i="9"/>
  <c r="H102" i="9"/>
  <c r="H108" i="9" s="1"/>
  <c r="I4" i="52"/>
  <c r="D55" i="9"/>
  <c r="M53" i="9" s="1"/>
  <c r="D53" i="9"/>
  <c r="C72" i="9"/>
  <c r="C85" i="9"/>
  <c r="C64" i="9"/>
  <c r="C63" i="9" s="1"/>
  <c r="C67" i="9" s="1"/>
  <c r="C78" i="9"/>
  <c r="C73" i="9" s="1"/>
  <c r="D52" i="9"/>
  <c r="C93" i="9"/>
  <c r="C86" i="9" s="1"/>
  <c r="M49" i="9"/>
  <c r="D13" i="53"/>
  <c r="D122" i="9"/>
  <c r="D15" i="53" l="1"/>
  <c r="B31" i="72" s="1"/>
  <c r="L65" i="9"/>
  <c r="M65" i="9" s="1"/>
  <c r="L64" i="9"/>
  <c r="M64" i="9" s="1"/>
  <c r="L66" i="9"/>
  <c r="M66" i="9" s="1"/>
  <c r="L68" i="9"/>
  <c r="M68" i="9" s="1"/>
  <c r="L63" i="9"/>
  <c r="M63" i="9" s="1"/>
  <c r="L67" i="9"/>
  <c r="M67" i="9" s="1"/>
  <c r="D59" i="9"/>
  <c r="M55" i="9" s="1"/>
  <c r="C68" i="9"/>
  <c r="D54" i="9" s="1"/>
  <c r="D8" i="52"/>
  <c r="D123" i="9"/>
  <c r="D9" i="52" s="1"/>
  <c r="C95" i="9"/>
  <c r="B30" i="72"/>
  <c r="D14" i="53"/>
  <c r="B32" i="72" s="1"/>
  <c r="C79" i="9"/>
  <c r="D7" i="53"/>
  <c r="B21" i="72" s="1"/>
  <c r="M69" i="9" l="1"/>
  <c r="N69" i="9" s="1"/>
  <c r="C96" i="9"/>
  <c r="E96" i="9" s="1"/>
  <c r="E97" i="9" s="1"/>
  <c r="C80" i="9"/>
  <c r="E80" i="9" s="1"/>
  <c r="E81" i="9" s="1"/>
  <c r="C81" i="9" l="1"/>
  <c r="C97" i="9"/>
  <c r="D58" i="9" s="1"/>
  <c r="D56" i="9" s="1"/>
  <c r="M54" i="9" s="1"/>
  <c r="N57" i="9" s="1"/>
  <c r="N58" i="9" l="1"/>
  <c r="P57" i="9"/>
  <c r="N59" i="9"/>
  <c r="N60" i="9" l="1"/>
  <c r="N61" i="9"/>
  <c r="G15" i="74" l="1"/>
  <c r="B6" i="74" s="1"/>
  <c r="F15" i="74"/>
  <c r="B5" i="74"/>
  <c r="E15" i="74"/>
  <c r="D5" i="74" l="1"/>
  <c r="C5" i="74"/>
  <c r="D6" i="74"/>
  <c r="C6" i="74"/>
  <c r="L6" i="74" l="1"/>
  <c r="L8" i="74" s="1"/>
  <c r="M5" i="74" l="1"/>
  <c r="M6" i="74" s="1"/>
  <c r="K6" i="74"/>
  <c r="K8" i="74" s="1"/>
  <c r="M8" i="74"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<sst xmlns="http://schemas.openxmlformats.org/spreadsheetml/2006/main" count="8011" uniqueCount="3529">
  <si>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</si>
  <si>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</si>
  <si>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</si>
  <si>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</si>
  <si>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</si>
  <si>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</si>
  <si>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</si>
  <si>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</si>
  <si>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</si>
  <si>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</si>
  <si>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</si>
  <si>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</si>
  <si>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</si>
  <si>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</si>
  <si>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</si>
  <si>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</si>
  <si>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</si>
  <si>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</si>
  <si>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</si>
  <si>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</si>
  <si>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</si>
  <si>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</si>
  <si>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</si>
  <si>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</si>
  <si>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</si>
  <si>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</si>
  <si>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</si>
  <si>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</si>
  <si>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</si>
  <si>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</si>
  <si>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</si>
  <si>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</si>
  <si>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</si>
  <si>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</si>
  <si>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</si>
  <si>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</si>
  <si>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</si>
  <si>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</si>
  <si>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</si>
  <si>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</si>
  <si>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</si>
  <si>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</si>
  <si>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</si>
  <si>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</si>
  <si>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</si>
  <si>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</si>
  <si>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</si>
  <si>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</si>
  <si>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</si>
  <si>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</si>
  <si>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</si>
  <si>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</si>
  <si>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</si>
  <si>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</si>
  <si>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</si>
  <si>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</si>
  <si>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</si>
  <si>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</si>
  <si>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</si>
  <si>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</si>
  <si>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</si>
  <si>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</si>
  <si>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</si>
  <si>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</si>
  <si>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</si>
  <si>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</si>
  <si>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</si>
  <si>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</si>
  <si>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</si>
  <si>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</si>
  <si>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</si>
  <si>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</si>
  <si>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</si>
  <si>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</si>
  <si>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</si>
  <si>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</si>
  <si>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</si>
  <si>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</si>
  <si>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</si>
  <si>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</si>
  <si>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</si>
  <si>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</si>
  <si>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</si>
  <si>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</si>
  <si>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</si>
  <si>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</si>
  <si>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</si>
  <si>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</si>
  <si>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</si>
  <si>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</si>
  <si>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</si>
  <si>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</si>
  <si>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</si>
  <si>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</si>
  <si>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</si>
  <si>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</si>
  <si>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</si>
  <si>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</si>
  <si>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</si>
  <si>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</si>
  <si>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</si>
  <si>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</si>
  <si>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</si>
  <si>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</si>
  <si>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</si>
  <si>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</si>
  <si>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</si>
  <si>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</si>
  <si>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</si>
  <si>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</si>
  <si>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</si>
  <si>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</si>
  <si>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</si>
  <si>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</si>
  <si>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</si>
  <si>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</si>
  <si>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</si>
  <si>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</si>
  <si>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</si>
  <si>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</si>
  <si>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</si>
  <si>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</si>
  <si>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</si>
  <si>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</si>
  <si>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</si>
  <si>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</si>
  <si>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</si>
  <si>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</si>
  <si>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</si>
  <si>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</si>
  <si>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</si>
  <si>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</si>
  <si>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</si>
  <si>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</si>
  <si>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</si>
  <si>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</si>
  <si>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</si>
  <si>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</si>
  <si>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</si>
  <si>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</si>
  <si>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</si>
  <si>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</si>
  <si>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</si>
  <si>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</si>
  <si>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</si>
  <si>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</si>
  <si>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</si>
  <si>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</si>
  <si>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</si>
  <si>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</si>
  <si>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</si>
  <si>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</si>
  <si>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</si>
  <si>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</si>
  <si>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</si>
  <si>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</si>
  <si>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</si>
  <si>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</si>
  <si>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</si>
  <si>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</si>
  <si>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</si>
  <si>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</si>
  <si>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</si>
  <si>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</si>
  <si>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</si>
  <si>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</si>
  <si>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</si>
  <si>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</si>
  <si>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</si>
  <si>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</si>
  <si>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</si>
  <si>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</si>
  <si>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</si>
  <si>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</si>
  <si>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</si>
  <si>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</si>
  <si>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</si>
  <si>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</si>
  <si>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</si>
  <si>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</si>
  <si>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</si>
  <si>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</si>
  <si>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</si>
  <si>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</si>
  <si>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</si>
  <si>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</si>
  <si>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</si>
  <si>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</si>
  <si>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</si>
  <si>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</si>
  <si>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</si>
  <si>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</si>
  <si>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</si>
  <si>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</si>
  <si>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</si>
  <si>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</si>
  <si>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</si>
  <si>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</si>
  <si>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</si>
  <si>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</si>
  <si>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</si>
  <si>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</si>
  <si>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</si>
  <si>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</si>
  <si>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</si>
  <si>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</si>
  <si>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</si>
  <si>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</si>
  <si>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</si>
  <si>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</si>
  <si>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</si>
  <si>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</si>
  <si>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</si>
  <si>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</si>
  <si>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</si>
  <si>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</si>
  <si>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</si>
  <si>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</si>
  <si>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</si>
  <si>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</si>
  <si>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</si>
  <si>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</si>
  <si>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</si>
  <si>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</si>
  <si>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</si>
  <si>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</si>
  <si>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</si>
  <si>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</si>
  <si>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</si>
  <si>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</si>
  <si>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</si>
  <si>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</si>
  <si>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</si>
  <si>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</si>
  <si>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</si>
  <si>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</si>
  <si>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</si>
  <si>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</si>
  <si>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</si>
  <si>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</si>
  <si>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</si>
  <si>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</si>
  <si>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</si>
  <si>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</si>
  <si>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</si>
  <si>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</si>
  <si>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</si>
  <si>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</si>
  <si>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</si>
  <si>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</si>
  <si>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</si>
  <si>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</si>
  <si>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</si>
  <si>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</si>
  <si>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</si>
  <si>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</si>
  <si>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</si>
  <si>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</si>
  <si>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</si>
  <si>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</si>
  <si>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</si>
  <si>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</si>
  <si>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</si>
  <si>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</si>
  <si>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</si>
  <si>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</si>
  <si>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</si>
  <si>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</si>
  <si>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</si>
  <si>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</si>
  <si>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</si>
  <si>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</si>
  <si>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</si>
  <si>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</si>
  <si>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</si>
  <si>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</si>
  <si>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</si>
  <si>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</si>
  <si>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</si>
  <si>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</si>
  <si>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</si>
  <si>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</si>
  <si>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</si>
  <si>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</si>
  <si>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</si>
  <si>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</si>
  <si>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</si>
  <si>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</si>
  <si>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</si>
  <si>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</si>
  <si>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</si>
  <si>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</si>
  <si>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</si>
  <si>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</si>
  <si>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</si>
  <si>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</si>
  <si>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</si>
  <si>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</si>
  <si>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</si>
  <si>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</si>
  <si>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</si>
  <si>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</si>
  <si>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</si>
  <si>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</si>
  <si>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</si>
  <si>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</si>
  <si>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</si>
  <si>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</si>
  <si>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</si>
  <si>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</si>
  <si>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</si>
  <si>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</si>
  <si>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</si>
  <si>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</si>
  <si>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</si>
  <si>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</si>
  <si>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</si>
  <si>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</si>
  <si>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</si>
  <si>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</si>
  <si>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</si>
  <si>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</si>
  <si>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</si>
  <si>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</si>
  <si>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</si>
  <si>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</si>
  <si>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</si>
  <si>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</si>
  <si>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</si>
  <si>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</si>
  <si>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</si>
  <si>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</si>
  <si>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</si>
  <si>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</si>
  <si>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</si>
  <si>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</si>
  <si>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</si>
  <si>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</si>
  <si>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</si>
  <si>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</si>
  <si>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</si>
  <si>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</si>
  <si>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</si>
  <si>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</si>
  <si>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</si>
  <si>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</si>
  <si>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</si>
  <si>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</si>
  <si>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</si>
  <si>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</si>
  <si>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</si>
  <si>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</si>
  <si>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</si>
  <si>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</si>
  <si>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</si>
  <si>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</si>
  <si>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</si>
  <si>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</si>
  <si>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</si>
  <si>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</si>
  <si>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</si>
  <si>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</si>
  <si>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</si>
  <si>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</si>
  <si>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</si>
  <si>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</si>
  <si>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</si>
  <si>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</si>
  <si>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</si>
  <si>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</si>
  <si>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</si>
  <si>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</si>
  <si>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</si>
  <si>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</si>
  <si>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</si>
  <si>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</si>
  <si>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</si>
  <si>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</si>
  <si>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</si>
  <si>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</si>
  <si>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</si>
  <si>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</si>
  <si>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</si>
  <si>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</si>
  <si>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</si>
  <si>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</si>
  <si>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</si>
  <si>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</si>
  <si>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</si>
  <si>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</si>
  <si>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</si>
  <si>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</si>
  <si>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</si>
  <si>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</si>
  <si>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</si>
  <si>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</si>
  <si>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</si>
  <si>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</si>
  <si>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</si>
  <si>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</si>
  <si>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</si>
  <si>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</si>
  <si>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</si>
  <si>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</si>
  <si>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</si>
  <si>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</si>
  <si>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</si>
  <si>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</si>
  <si>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</si>
  <si>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</si>
  <si>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</si>
  <si>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</si>
  <si>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</si>
  <si>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</si>
  <si>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</si>
  <si>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</si>
  <si>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</si>
  <si>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</si>
  <si>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</si>
  <si>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</si>
  <si>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</si>
  <si>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</si>
  <si>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</si>
  <si>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</si>
  <si>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</si>
  <si>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</si>
  <si>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</si>
  <si>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</si>
  <si>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</si>
  <si>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</si>
  <si>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</si>
  <si>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</si>
  <si>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</si>
  <si>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</si>
  <si>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</si>
  <si>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</si>
  <si>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</si>
  <si>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</si>
  <si>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</si>
  <si>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</si>
  <si>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</si>
  <si>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</si>
  <si>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</si>
  <si>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</si>
  <si>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</si>
  <si>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</si>
  <si>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</si>
  <si>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</si>
  <si>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</si>
  <si>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</si>
  <si>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</si>
  <si>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</si>
  <si>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</si>
  <si>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</si>
  <si>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</si>
  <si>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</si>
  <si>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</si>
  <si>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</si>
  <si>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</si>
  <si>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</si>
  <si>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</si>
  <si>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</si>
  <si>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</si>
  <si>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</si>
  <si>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</si>
  <si>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</si>
  <si>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</si>
  <si>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</si>
  <si>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</si>
  <si>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</si>
  <si>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</si>
  <si>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</si>
  <si>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</si>
  <si>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</si>
  <si>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</si>
  <si>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</si>
  <si>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</si>
  <si>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</si>
  <si>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</si>
  <si>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</si>
  <si>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</si>
  <si>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</si>
  <si>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</si>
  <si>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</si>
  <si>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</si>
  <si>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</si>
  <si>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</si>
  <si>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</si>
  <si>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</si>
  <si>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</si>
  <si>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</si>
  <si>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</si>
  <si>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</si>
  <si>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</si>
  <si>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</si>
  <si>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</si>
  <si>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</si>
  <si>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</si>
  <si>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</si>
  <si>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</si>
  <si>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</si>
  <si>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</si>
  <si>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</si>
  <si>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</si>
  <si>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</si>
  <si>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</si>
  <si>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</si>
  <si>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</si>
  <si>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</si>
  <si>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</si>
  <si>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</si>
  <si>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</si>
  <si>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</si>
  <si>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</si>
  <si>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</si>
  <si>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</si>
  <si>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</si>
  <si>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</si>
  <si>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</si>
  <si>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</si>
  <si>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</si>
  <si>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</si>
  <si>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</si>
  <si>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</si>
  <si>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</si>
  <si>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</si>
  <si>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</si>
  <si>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</si>
  <si>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</si>
  <si>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</si>
  <si>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</si>
  <si>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</si>
  <si>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</si>
  <si>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</si>
  <si>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</si>
  <si>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</si>
  <si>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</si>
  <si>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</si>
  <si>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</si>
  <si>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</si>
  <si>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</si>
  <si>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</si>
  <si>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</si>
  <si>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</si>
  <si>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</si>
  <si>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</si>
  <si>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</si>
  <si>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</si>
  <si>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</si>
  <si>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</si>
  <si>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</si>
  <si>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</si>
  <si>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</si>
  <si>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</si>
  <si>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</si>
  <si>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</si>
  <si>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</si>
  <si>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</si>
  <si>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</si>
  <si>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</si>
  <si>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</si>
  <si>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</si>
  <si>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</si>
  <si>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</si>
  <si>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</si>
  <si>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</si>
  <si>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</si>
  <si>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</si>
  <si>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</si>
  <si>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</si>
  <si>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</si>
  <si>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</si>
  <si>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</si>
  <si>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</si>
  <si>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</si>
  <si>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</si>
  <si>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</si>
  <si>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</si>
  <si>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</si>
  <si>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</si>
  <si>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</si>
  <si>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</si>
  <si>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</si>
  <si>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</si>
  <si>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</si>
  <si>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</si>
  <si>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</si>
  <si>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</si>
  <si>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</si>
  <si>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</si>
  <si>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</si>
  <si>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</si>
  <si>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</si>
  <si>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</si>
  <si>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</si>
  <si>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</si>
  <si>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</si>
  <si>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</si>
  <si>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</si>
  <si>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</si>
  <si>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</si>
  <si>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</si>
  <si>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</si>
  <si>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</si>
  <si>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</si>
  <si>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</si>
  <si>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</si>
  <si>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</si>
  <si>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</si>
  <si>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</si>
  <si>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</si>
  <si>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</si>
  <si>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</si>
  <si>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</si>
  <si>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</si>
  <si>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</si>
  <si>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</si>
  <si>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</si>
  <si>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</si>
  <si>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</si>
  <si>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</si>
  <si>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</si>
  <si>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</si>
  <si>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</si>
  <si>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</si>
  <si>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</si>
  <si>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</si>
  <si>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</si>
  <si>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</si>
  <si>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</si>
  <si>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</si>
  <si>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</si>
  <si>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</si>
  <si>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</si>
  <si>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</si>
  <si>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</si>
  <si>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</si>
  <si>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</si>
  <si>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</si>
  <si>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</si>
  <si>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</si>
  <si>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</si>
  <si>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</si>
  <si>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</si>
  <si>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</si>
  <si>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</si>
  <si>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</si>
  <si>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</si>
  <si>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</si>
  <si>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抵押净值（万元）</t>
    <phoneticPr fontId="135" type="noConversion"/>
  </si>
  <si>
    <t>租金</t>
    <phoneticPr fontId="135" type="noConversion"/>
  </si>
  <si>
    <t>总投</t>
    <phoneticPr fontId="135" type="noConversion"/>
  </si>
  <si>
    <t>抵押价值-已注销（万元）</t>
    <phoneticPr fontId="135" type="noConversion"/>
  </si>
  <si>
    <t>抵押价值-已注销</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</si>
  <si>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</si>
  <si>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</si>
  <si>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</si>
  <si>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</si>
  <si>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</si>
  <si>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</si>
  <si>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</si>
  <si>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</si>
  <si>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</si>
  <si>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</si>
  <si>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</si>
  <si>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</si>
  <si>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</si>
  <si>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</si>
  <si>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</si>
  <si>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</si>
  <si>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</si>
  <si>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</si>
  <si>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</si>
  <si>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</si>
  <si>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</si>
  <si>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</si>
  <si>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</si>
  <si>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</si>
  <si>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</si>
  <si>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</si>
  <si>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</si>
  <si>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</si>
  <si>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</si>
  <si>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</si>
  <si>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</si>
  <si>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</si>
  <si>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</si>
  <si>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</si>
  <si>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</si>
  <si>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</si>
  <si>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</si>
  <si>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</si>
  <si>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</si>
  <si>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</si>
  <si>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</si>
  <si>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</si>
  <si>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</si>
  <si>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</si>
  <si>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</si>
  <si>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</si>
  <si>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</si>
  <si>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</si>
  <si>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</si>
  <si>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</si>
  <si>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</si>
  <si>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</si>
  <si>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</si>
  <si>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</si>
  <si>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</si>
  <si>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</si>
  <si>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</si>
  <si>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</si>
  <si>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</si>
  <si>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</si>
  <si>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</si>
  <si>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</si>
  <si>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</si>
  <si>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</si>
  <si>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</si>
  <si>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</si>
  <si>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</si>
  <si>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</si>
  <si>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</si>
  <si>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</si>
  <si>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</si>
  <si>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</si>
  <si>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</si>
  <si>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</si>
  <si>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</si>
  <si>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</si>
  <si>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</si>
  <si>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</si>
  <si>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</si>
  <si>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</si>
  <si>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</si>
  <si>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</si>
  <si>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</si>
  <si>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</si>
  <si>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</si>
  <si>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</si>
  <si>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</si>
  <si>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</si>
  <si>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</si>
  <si>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</si>
  <si>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</si>
  <si>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</si>
  <si>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</si>
  <si>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</si>
  <si>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</si>
  <si>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</si>
  <si>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</si>
  <si>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</si>
  <si>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</si>
  <si>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</si>
  <si>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</si>
  <si>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</si>
  <si>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</si>
  <si>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</si>
  <si>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</si>
  <si>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</si>
  <si>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</si>
  <si>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</si>
  <si>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</si>
  <si>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</si>
  <si>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</si>
  <si>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</si>
  <si>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</si>
  <si>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</si>
  <si>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</si>
  <si>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</si>
  <si>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</si>
  <si>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</si>
  <si>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</si>
  <si>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</si>
  <si>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</si>
  <si>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</si>
  <si>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</si>
  <si>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</si>
  <si>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</si>
  <si>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</si>
  <si>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</si>
  <si>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</si>
  <si>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</si>
  <si>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</si>
  <si>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</si>
  <si>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</si>
  <si>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</si>
  <si>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</si>
  <si>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</si>
  <si>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</si>
  <si>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</si>
  <si>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</si>
  <si>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</si>
  <si>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</si>
  <si>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</si>
  <si>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</si>
  <si>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</si>
  <si>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</si>
  <si>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</si>
  <si>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</si>
  <si>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</si>
  <si>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</si>
  <si>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</si>
  <si>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</si>
  <si>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</si>
  <si>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</si>
  <si>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</si>
  <si>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</si>
  <si>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</si>
  <si>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</si>
  <si>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</si>
  <si>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</si>
  <si>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</si>
  <si>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</si>
  <si>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</si>
  <si>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</si>
  <si>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</si>
  <si>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</si>
  <si>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</si>
  <si>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</si>
  <si>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</si>
  <si>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</si>
  <si>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</si>
  <si>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</si>
  <si>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</si>
  <si>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</si>
  <si>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</si>
  <si>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</si>
  <si>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</si>
  <si>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</si>
  <si>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</si>
  <si>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</si>
  <si>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</si>
  <si>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</si>
  <si>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</si>
  <si>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</si>
  <si>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</si>
  <si>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</si>
  <si>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</si>
  <si>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</si>
  <si>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</si>
  <si>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</si>
  <si>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</si>
  <si>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</si>
  <si>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</si>
  <si>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</si>
  <si>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</si>
  <si>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</si>
  <si>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</si>
  <si>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</si>
  <si>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</si>
  <si>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</si>
  <si>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</si>
  <si>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</si>
  <si>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</si>
  <si>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</si>
  <si>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</si>
  <si>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</si>
  <si>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</si>
  <si>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</si>
  <si>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</si>
  <si>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</si>
  <si>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</si>
  <si>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</si>
  <si>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</si>
  <si>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</si>
  <si>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</si>
  <si>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</si>
  <si>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</si>
  <si>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</si>
  <si>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</si>
  <si>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</si>
  <si>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</si>
  <si>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</si>
  <si>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</si>
  <si>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</si>
  <si>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</si>
  <si>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</si>
  <si>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</si>
  <si>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</si>
  <si>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</si>
  <si>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</si>
  <si>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</si>
  <si>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</si>
  <si>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</si>
  <si>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</si>
  <si>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</si>
  <si>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</si>
  <si>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</si>
  <si>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</si>
  <si>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</si>
  <si>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</si>
  <si>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</si>
  <si>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</si>
  <si>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</si>
  <si>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</si>
  <si>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</si>
  <si>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</si>
  <si>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</si>
  <si>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</si>
  <si>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</si>
  <si>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</si>
  <si>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</si>
  <si>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</si>
  <si>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</si>
  <si>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</si>
  <si>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</si>
  <si>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</si>
  <si>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</si>
  <si>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</si>
  <si>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</si>
  <si>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</si>
  <si>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</si>
  <si>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</si>
  <si>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</si>
  <si>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</si>
  <si>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</si>
  <si>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</si>
  <si>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</si>
  <si>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</si>
  <si>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</si>
  <si>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</si>
  <si>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</si>
  <si>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</si>
  <si>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</si>
  <si>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</si>
  <si>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</si>
  <si>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</si>
  <si>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</si>
  <si>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</si>
  <si>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</si>
  <si>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</si>
  <si>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</si>
  <si>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</si>
  <si>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</si>
  <si>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</si>
  <si>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</si>
  <si>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</si>
  <si>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</si>
  <si>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</si>
  <si>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</si>
  <si>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</si>
  <si>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</si>
  <si>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</si>
  <si>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</si>
  <si>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</si>
  <si>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</si>
  <si>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</si>
  <si>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</si>
  <si>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</si>
  <si>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</si>
  <si>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</si>
  <si>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</si>
  <si>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</si>
  <si>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</si>
  <si>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</si>
  <si>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</si>
  <si>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</si>
  <si>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</si>
  <si>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</si>
  <si>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</si>
  <si>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</si>
  <si>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</si>
  <si>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</si>
  <si>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</si>
  <si>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</si>
  <si>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</si>
  <si>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</si>
  <si>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</si>
  <si>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</si>
  <si>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</si>
  <si>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</si>
  <si>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</si>
  <si>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</si>
  <si>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</si>
  <si>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</si>
  <si>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</si>
  <si>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</si>
  <si>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</si>
  <si>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</si>
  <si>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</si>
  <si>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</si>
  <si>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</si>
  <si>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</si>
  <si>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</si>
  <si>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</si>
  <si>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</si>
  <si>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</si>
  <si>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</si>
  <si>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</si>
  <si>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</si>
  <si>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</si>
  <si>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</si>
  <si>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</si>
  <si>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</si>
  <si>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</si>
  <si>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</si>
  <si>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</si>
  <si>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</si>
  <si>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</si>
  <si>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</si>
  <si>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</si>
  <si>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</si>
  <si>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</si>
  <si>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</si>
  <si>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</si>
  <si>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</si>
  <si>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</si>
  <si>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</si>
  <si>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</si>
  <si>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</si>
  <si>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</si>
  <si>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</si>
  <si>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</si>
  <si>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</si>
  <si>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</si>
  <si>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</si>
  <si>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</si>
  <si>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</si>
  <si>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</si>
  <si>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</si>
  <si>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</si>
  <si>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</si>
  <si>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</si>
  <si>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</si>
  <si>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</si>
  <si>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</si>
  <si>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</si>
  <si>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</si>
  <si>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</si>
  <si>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</si>
  <si>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</si>
  <si>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</si>
  <si>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</si>
  <si>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</si>
  <si>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</si>
  <si>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</si>
  <si>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</si>
  <si>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</si>
  <si>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</si>
  <si>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</si>
  <si>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</si>
  <si>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</si>
  <si>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</si>
  <si>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</si>
  <si>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</si>
  <si>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</si>
  <si>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</si>
  <si>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</si>
  <si>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</si>
  <si>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</si>
  <si>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</si>
  <si>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</si>
  <si>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</si>
  <si>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</si>
  <si>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</si>
  <si>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</si>
  <si>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</si>
  <si>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</si>
  <si>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</si>
  <si>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</si>
  <si>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</si>
  <si>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</si>
  <si>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</si>
  <si>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</si>
  <si>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</si>
  <si>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</si>
  <si>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</si>
  <si>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</si>
  <si>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</si>
  <si>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</si>
  <si>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</si>
  <si>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</si>
  <si>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</si>
  <si>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</si>
  <si>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</si>
  <si>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</si>
  <si>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</si>
  <si>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</si>
  <si>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</si>
  <si>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</si>
  <si>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</si>
  <si>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</si>
  <si>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</si>
  <si>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</si>
  <si>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</si>
  <si>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</si>
  <si>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</si>
  <si>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</si>
  <si>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</si>
  <si>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</si>
  <si>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</si>
  <si>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</si>
  <si>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</si>
  <si>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</si>
  <si>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</si>
  <si>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</si>
  <si>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</si>
  <si>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</si>
  <si>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</si>
  <si>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</si>
  <si>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</si>
  <si>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</si>
  <si>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</si>
  <si>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</si>
  <si>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</si>
  <si>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</si>
  <si>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</si>
  <si>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</si>
  <si>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</si>
  <si>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</si>
  <si>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</si>
  <si>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</si>
  <si>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</si>
  <si>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</si>
  <si>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</si>
  <si>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</si>
  <si>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</si>
  <si>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</si>
  <si>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</si>
  <si>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</si>
  <si>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</si>
  <si>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</si>
  <si>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</si>
  <si>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</si>
  <si>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</si>
  <si>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</si>
  <si>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</si>
  <si>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</si>
  <si>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</si>
  <si>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</si>
  <si>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</si>
  <si>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</si>
  <si>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</si>
  <si>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</si>
  <si>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</si>
  <si>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</si>
  <si>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</si>
  <si>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</si>
  <si>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</si>
  <si>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</si>
  <si>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</si>
  <si>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</si>
  <si>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</si>
  <si>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</si>
  <si>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</si>
  <si>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</si>
  <si>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</si>
  <si>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</si>
  <si>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</si>
  <si>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</si>
  <si>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</si>
  <si>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</si>
  <si>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</si>
  <si>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</si>
  <si>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</si>
  <si>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</si>
  <si>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</si>
  <si>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</si>
  <si>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</si>
  <si>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</si>
  <si>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</si>
  <si>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</si>
  <si>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</si>
  <si>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</si>
  <si>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</si>
  <si>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</si>
  <si>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</si>
  <si>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</si>
  <si>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</si>
  <si>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</si>
  <si>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</si>
  <si>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</si>
  <si>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</si>
  <si>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</si>
  <si>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</si>
  <si>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</si>
  <si>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</si>
  <si>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</si>
  <si>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</si>
  <si>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</si>
  <si>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</si>
  <si>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</si>
  <si>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</si>
  <si>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</si>
  <si>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</si>
  <si>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</si>
  <si>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</si>
  <si>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</si>
  <si>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</si>
  <si>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</si>
  <si>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</si>
  <si>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</si>
  <si>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</si>
  <si>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</si>
  <si>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</si>
  <si>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</si>
  <si>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</si>
  <si>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</si>
  <si>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</si>
  <si>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</si>
  <si>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</si>
  <si>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</si>
  <si>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</si>
  <si>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</si>
  <si>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</si>
  <si>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</si>
  <si>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</si>
  <si>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</si>
  <si>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</si>
  <si>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</si>
  <si>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</si>
  <si>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</si>
  <si>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</si>
  <si>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</si>
  <si>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</si>
  <si>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</si>
  <si>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</si>
  <si>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</si>
  <si>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</si>
  <si>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</si>
  <si>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</si>
  <si>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</si>
  <si>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</si>
  <si>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</si>
  <si>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</si>
  <si>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</si>
  <si>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</si>
  <si>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</si>
  <si>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</si>
  <si>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</si>
  <si>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</si>
  <si>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</si>
  <si>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</si>
  <si>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</si>
  <si>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</si>
  <si>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</si>
  <si>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</si>
  <si>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</si>
  <si>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</si>
  <si>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</si>
  <si>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</si>
  <si>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</si>
  <si>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</si>
  <si>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</si>
  <si>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</si>
  <si>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</si>
  <si>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</si>
  <si>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</si>
  <si>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</si>
  <si>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</si>
  <si>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</si>
  <si>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</si>
  <si>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</si>
  <si>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</si>
  <si>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</si>
  <si>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</si>
  <si>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</si>
  <si>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</si>
  <si>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</si>
  <si>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</si>
  <si>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</si>
  <si>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</si>
  <si>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</si>
  <si>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</si>
  <si>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</si>
  <si>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</si>
  <si>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</si>
  <si>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</si>
  <si>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</si>
  <si>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</si>
  <si>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</si>
  <si>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</si>
  <si>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</si>
  <si>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</si>
  <si>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</si>
  <si>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</si>
  <si>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</si>
  <si>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</si>
  <si>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</si>
  <si>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</si>
  <si>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</si>
  <si>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</si>
  <si>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</si>
  <si>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</si>
  <si>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</si>
  <si>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</si>
  <si>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</si>
  <si>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</si>
  <si>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</si>
  <si>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</si>
  <si>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</si>
  <si>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</si>
  <si>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</si>
  <si>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</si>
  <si>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</si>
  <si>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</si>
  <si>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</si>
  <si>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</si>
  <si>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</si>
  <si>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</si>
  <si>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</si>
  <si>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</si>
  <si>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</si>
  <si>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</si>
  <si>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</si>
  <si>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</si>
  <si>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</si>
  <si>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</si>
  <si>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</si>
  <si>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</si>
  <si>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</si>
  <si>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</si>
  <si>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</si>
  <si>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</si>
  <si>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</si>
  <si>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</si>
  <si>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</si>
  <si>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</si>
  <si>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</si>
  <si>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</si>
  <si>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</si>
  <si>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</si>
  <si>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</si>
  <si>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</si>
  <si>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</si>
  <si>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</si>
  <si>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</si>
  <si>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</si>
  <si>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</si>
  <si>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</si>
  <si>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</si>
  <si>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</si>
  <si>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</si>
  <si>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</si>
  <si>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</si>
  <si>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</si>
  <si>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</si>
  <si>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</si>
  <si>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</si>
  <si>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</si>
  <si>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</si>
  <si>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</si>
  <si>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</si>
  <si>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</si>
  <si>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</si>
  <si>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</si>
  <si>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</si>
  <si>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</si>
  <si>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</si>
  <si>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</si>
  <si>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</si>
  <si>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</si>
  <si>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</si>
  <si>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</si>
  <si>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</si>
  <si>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</si>
  <si>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</si>
  <si>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</si>
  <si>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</si>
  <si>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</si>
  <si>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</si>
  <si>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</si>
  <si>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</si>
  <si>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</si>
  <si>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</si>
  <si>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</si>
  <si>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</si>
  <si>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</si>
  <si>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</si>
  <si>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</si>
  <si>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</si>
  <si>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</si>
  <si>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</si>
  <si>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</si>
  <si>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</si>
  <si>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</si>
  <si>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</si>
  <si>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</si>
  <si>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</si>
  <si>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</si>
  <si>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</si>
  <si>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</si>
  <si>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</si>
  <si>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</si>
  <si>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</si>
  <si>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</si>
  <si>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</si>
  <si>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</si>
  <si>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</si>
  <si>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</si>
  <si>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</si>
  <si>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</si>
  <si>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</si>
  <si>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</si>
  <si>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</si>
  <si>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</si>
  <si>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</si>
  <si>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</si>
  <si>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</si>
  <si>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</si>
  <si>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</si>
  <si>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</si>
  <si>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</si>
  <si>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</si>
  <si>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</si>
  <si>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</si>
  <si>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</si>
  <si>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</si>
  <si>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</si>
  <si>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</si>
  <si>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</si>
  <si>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</si>
  <si>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</si>
  <si>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</si>
  <si>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</si>
  <si>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</si>
  <si>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</si>
  <si>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</si>
  <si>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</si>
  <si>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</si>
  <si>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</si>
  <si>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</si>
  <si>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</si>
  <si>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</si>
  <si>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</si>
  <si>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</si>
  <si>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</si>
  <si>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</si>
  <si>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</si>
  <si>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</si>
  <si>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</si>
  <si>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</si>
  <si>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</si>
  <si>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</si>
  <si>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</si>
  <si>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</si>
  <si>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</si>
  <si>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</si>
  <si>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</si>
  <si>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</si>
  <si>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</si>
  <si>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</si>
  <si>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</si>
  <si>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</si>
  <si>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</si>
  <si>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</si>
  <si>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</si>
  <si>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</si>
  <si>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</si>
  <si>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</si>
  <si>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</si>
  <si>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</si>
  <si>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</si>
  <si>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</si>
  <si>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</si>
  <si>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</si>
  <si>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</si>
  <si>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</si>
  <si>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</si>
  <si>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</si>
  <si>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</si>
  <si>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</si>
  <si>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</si>
  <si>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</si>
  <si>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</si>
  <si>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</si>
  <si>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</si>
  <si>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</si>
  <si>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</si>
  <si>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</si>
  <si>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</si>
  <si>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</si>
  <si>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</si>
  <si>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</si>
  <si>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</si>
  <si>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</si>
  <si>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</si>
  <si>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</si>
  <si>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</si>
  <si>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</si>
  <si>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</si>
  <si>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</si>
  <si>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</si>
  <si>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</si>
  <si>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</si>
  <si>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</si>
  <si>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</si>
  <si>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</si>
  <si>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</si>
  <si>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</si>
  <si>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</si>
  <si>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</si>
  <si>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</si>
  <si>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</si>
  <si>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</si>
  <si>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</si>
  <si>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</si>
  <si>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</si>
  <si>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</si>
  <si>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</si>
  <si>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</si>
  <si>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</si>
  <si>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</si>
  <si>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</si>
  <si>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</si>
  <si>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</si>
  <si>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</si>
  <si>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</si>
  <si>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</si>
  <si>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</si>
  <si>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</si>
  <si>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</si>
  <si>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</si>
  <si>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</si>
  <si>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</si>
  <si>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</si>
  <si>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</si>
  <si>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</si>
  <si>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</si>
  <si>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</si>
  <si>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</si>
  <si>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</si>
  <si>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</si>
  <si>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</si>
  <si>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</si>
  <si>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</si>
  <si>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</si>
  <si>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</si>
  <si>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</si>
  <si>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</si>
  <si>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</si>
  <si>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</si>
  <si>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</si>
  <si>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</si>
  <si>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</si>
  <si>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</si>
  <si>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</si>
  <si>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</si>
  <si>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</si>
  <si>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</si>
  <si>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</si>
  <si>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</si>
  <si>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</si>
  <si>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</si>
  <si>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</si>
  <si>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</si>
  <si>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</si>
  <si>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</si>
  <si>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</si>
  <si>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</si>
  <si>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</si>
  <si>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</si>
  <si>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</si>
  <si>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</si>
  <si>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</si>
  <si>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</si>
  <si>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</si>
  <si>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</si>
  <si>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</si>
  <si>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</si>
  <si>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</si>
  <si>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</si>
  <si>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</si>
  <si>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</si>
  <si>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</si>
  <si>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</si>
  <si>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</si>
  <si>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</si>
  <si>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</si>
  <si>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</si>
  <si>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</si>
  <si>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</si>
  <si>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</si>
  <si>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</si>
  <si>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</si>
  <si>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</si>
  <si>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</si>
  <si>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</si>
  <si>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</si>
  <si>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</si>
  <si>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</si>
  <si>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</si>
  <si>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</si>
  <si>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</si>
  <si>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</si>
  <si>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</si>
  <si>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</si>
  <si>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</si>
  <si>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</si>
  <si>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</si>
  <si>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</si>
  <si>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</si>
  <si>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</si>
  <si>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</si>
  <si>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</si>
  <si>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</si>
  <si>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</si>
  <si>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</si>
  <si>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</si>
  <si>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</si>
  <si>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</si>
  <si>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</si>
  <si>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</si>
  <si>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</si>
  <si>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</si>
  <si>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</si>
  <si>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</si>
  <si>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</si>
  <si>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</si>
  <si>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</si>
  <si>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</si>
  <si>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</si>
  <si>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</si>
  <si>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</si>
  <si>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</si>
  <si>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</si>
  <si>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</si>
  <si>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</si>
  <si>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</si>
  <si>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</si>
  <si>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</si>
  <si>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</si>
  <si>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</si>
  <si>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</si>
  <si>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</si>
  <si>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</si>
  <si>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</si>
  <si>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</si>
  <si>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</si>
  <si>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</si>
  <si>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</si>
  <si>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</si>
  <si>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</si>
  <si>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</si>
  <si>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</si>
  <si>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</si>
  <si>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</si>
  <si>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</si>
  <si>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</si>
  <si>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</si>
  <si>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</si>
  <si>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</si>
  <si>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</si>
  <si>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</si>
  <si>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</si>
  <si>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</si>
  <si>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</si>
  <si>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</si>
  <si>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</si>
  <si>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</si>
  <si>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</si>
  <si>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</si>
  <si>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</si>
  <si>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</si>
  <si>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</si>
  <si>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</si>
  <si>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</si>
  <si>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</si>
  <si>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</si>
  <si>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</si>
  <si>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</si>
  <si>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</si>
  <si>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</si>
  <si>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</si>
  <si>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</si>
  <si>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</si>
  <si>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</si>
  <si>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</si>
  <si>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</si>
  <si>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</si>
  <si>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</si>
  <si>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</si>
  <si>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</si>
  <si>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</si>
  <si>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</si>
  <si>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</si>
  <si>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</si>
  <si>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</si>
  <si>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</si>
  <si>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</si>
  <si>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</si>
  <si>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</si>
  <si>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</si>
  <si>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</si>
  <si>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</si>
  <si>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</si>
  <si>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</si>
  <si>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</si>
  <si>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</si>
  <si>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</si>
  <si>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</si>
  <si>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</si>
  <si>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</si>
  <si>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</si>
  <si>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</si>
  <si>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</si>
  <si>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</si>
  <si>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</si>
  <si>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</si>
  <si>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</si>
  <si>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</si>
  <si>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</si>
  <si>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</si>
  <si>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</si>
  <si>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</si>
  <si>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</si>
  <si>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</si>
  <si>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</si>
  <si>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</si>
  <si>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</si>
  <si>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</si>
  <si>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</si>
  <si>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</si>
  <si>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</si>
  <si>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</si>
  <si>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</si>
  <si>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</si>
  <si>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</si>
  <si>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</si>
  <si>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</si>
  <si>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</si>
  <si>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</si>
  <si>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</si>
  <si>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</si>
  <si>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</si>
  <si>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</si>
  <si>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</si>
  <si>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</si>
  <si>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</si>
  <si>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</si>
  <si>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</si>
  <si>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</si>
  <si>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</si>
  <si>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</si>
  <si>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</si>
  <si>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</si>
  <si>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</si>
  <si>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</si>
  <si>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</si>
  <si>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</si>
  <si>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</si>
  <si>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</si>
  <si>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</si>
  <si>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</si>
  <si>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</si>
  <si>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</si>
  <si>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</si>
  <si>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</si>
  <si>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</si>
  <si>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</si>
  <si>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</si>
  <si>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</si>
  <si>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</si>
  <si>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</si>
  <si>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</si>
  <si>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</si>
  <si>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</si>
  <si>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</si>
  <si>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</si>
  <si>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</si>
  <si>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</si>
  <si>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</si>
  <si>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</si>
  <si>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</si>
  <si>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</si>
  <si>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</si>
  <si>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</si>
  <si>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</si>
  <si>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</si>
  <si>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</si>
  <si>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</si>
  <si>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</si>
  <si>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</si>
  <si>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</si>
  <si>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</si>
  <si>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</si>
  <si>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</si>
  <si>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</si>
  <si>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</si>
  <si>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</si>
  <si>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</si>
  <si>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</si>
  <si>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</si>
  <si>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</si>
  <si>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</si>
  <si>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</si>
  <si>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</si>
  <si>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</si>
  <si>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</si>
  <si>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</si>
  <si>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</si>
  <si>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</si>
  <si>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</si>
  <si>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</si>
  <si>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</si>
  <si>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</si>
  <si>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</si>
  <si>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</si>
  <si>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</si>
  <si>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</si>
  <si>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</si>
  <si>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</si>
  <si>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</si>
  <si>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</si>
  <si>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</si>
  <si>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</si>
  <si>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</si>
  <si>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</si>
  <si>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</si>
  <si>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</si>
  <si>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</si>
  <si>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</si>
  <si>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</si>
  <si>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</si>
  <si>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</si>
  <si>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</si>
  <si>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</si>
  <si>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</si>
  <si>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</si>
  <si>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</si>
  <si>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</si>
  <si>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</si>
  <si>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</si>
  <si>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</si>
  <si>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</si>
  <si>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</si>
  <si>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</si>
  <si>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</si>
  <si>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</si>
  <si>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</si>
  <si>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</si>
  <si>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</si>
  <si>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</si>
  <si>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</si>
  <si>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</si>
  <si>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</si>
  <si>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</si>
  <si>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</si>
  <si>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</si>
  <si>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</si>
  <si>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</si>
  <si>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</si>
  <si>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</si>
  <si>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</si>
  <si>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</si>
  <si>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</si>
  <si>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</si>
  <si>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</si>
  <si>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</si>
  <si>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</si>
  <si>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</si>
  <si>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</si>
  <si>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</si>
  <si>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</si>
  <si>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</si>
  <si>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</si>
  <si>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</si>
  <si>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</si>
  <si>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</si>
  <si>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</si>
  <si>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</si>
  <si>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</si>
  <si>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</si>
  <si>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</si>
  <si>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</si>
  <si>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</si>
  <si>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</si>
  <si>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</si>
  <si>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</si>
  <si>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</si>
  <si>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</si>
  <si>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</si>
  <si>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</si>
  <si>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</si>
  <si>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</si>
  <si>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</si>
  <si>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</si>
  <si>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</si>
  <si>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</si>
  <si>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</si>
  <si>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</si>
  <si>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</si>
  <si>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</si>
  <si>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</si>
  <si>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</si>
  <si>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</si>
  <si>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</si>
  <si>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</si>
  <si>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</si>
  <si>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</si>
  <si>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</si>
  <si>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</si>
  <si>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</si>
  <si>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</si>
  <si>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</si>
  <si>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</si>
  <si>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</si>
  <si>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</si>
  <si>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</si>
  <si>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</si>
  <si>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</si>
  <si>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</si>
  <si>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</si>
  <si>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</si>
  <si>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</si>
  <si>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</si>
  <si>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</si>
  <si>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</si>
  <si>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</si>
  <si>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</si>
  <si>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</si>
  <si>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</si>
  <si>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</si>
  <si>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</si>
  <si>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</si>
  <si>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</si>
  <si>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</si>
  <si>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</si>
  <si>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</si>
  <si>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</si>
  <si>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</si>
  <si>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</si>
  <si>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</si>
  <si>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</si>
  <si>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</si>
  <si>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</si>
  <si>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</si>
  <si>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</si>
  <si>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</si>
  <si>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</si>
  <si>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</si>
  <si>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</si>
  <si>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</si>
  <si>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</si>
  <si>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</si>
  <si>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</si>
  <si>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</si>
  <si>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</si>
  <si>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</si>
  <si>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</si>
  <si>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</si>
  <si>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</si>
  <si>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</si>
  <si>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</si>
  <si>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</si>
  <si>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</si>
  <si>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</si>
  <si>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</si>
  <si>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</si>
  <si>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</si>
  <si>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</si>
  <si>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</si>
  <si>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</si>
  <si>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</si>
  <si>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</si>
  <si>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</si>
  <si>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</si>
  <si>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</si>
  <si>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</si>
  <si>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</si>
  <si>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</si>
  <si>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</si>
  <si>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</si>
  <si>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</si>
  <si>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</si>
  <si>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</si>
  <si>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</si>
  <si>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</si>
  <si>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</si>
  <si>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</si>
  <si>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</si>
  <si>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</si>
  <si>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</si>
  <si>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</si>
  <si>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</si>
  <si>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</si>
  <si>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</si>
  <si>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</si>
  <si>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</si>
  <si>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</si>
  <si>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</si>
  <si>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</si>
  <si>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</si>
  <si>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</si>
  <si>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</si>
  <si>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</si>
  <si>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</si>
  <si>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</si>
  <si>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</si>
  <si>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</si>
  <si>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</si>
  <si>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</si>
  <si>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</si>
  <si>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</si>
  <si>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</si>
  <si>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</si>
  <si>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</si>
  <si>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</si>
  <si>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</si>
  <si>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</si>
  <si>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</si>
  <si>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</si>
  <si>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</si>
  <si>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</si>
  <si>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</si>
  <si>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</si>
  <si>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</si>
  <si>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</si>
  <si>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</si>
  <si>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</si>
  <si>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</si>
  <si>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</si>
  <si>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</si>
  <si>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</si>
  <si>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</si>
  <si>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</si>
  <si>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</si>
  <si>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</si>
  <si>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</si>
  <si>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</si>
  <si>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</si>
  <si>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</si>
  <si>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</si>
  <si>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</si>
  <si>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</si>
  <si>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</si>
  <si>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</si>
  <si>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</si>
  <si>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</si>
  <si>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</si>
  <si>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</si>
  <si>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</si>
  <si>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</si>
  <si>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</si>
  <si>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</si>
  <si>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</si>
  <si>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</si>
  <si>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</si>
  <si>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</si>
  <si>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</si>
  <si>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</si>
  <si>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</si>
  <si>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</si>
  <si>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</si>
  <si>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</si>
  <si>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</si>
  <si>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</si>
  <si>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</si>
  <si>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</si>
  <si>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</si>
  <si>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</si>
  <si>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</si>
  <si>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</si>
  <si>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</si>
  <si>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</si>
  <si>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</si>
  <si>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</si>
  <si>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</si>
  <si>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</si>
  <si>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</si>
  <si>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</si>
  <si>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</si>
  <si>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</si>
  <si>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</si>
  <si>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</si>
  <si>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</si>
  <si>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</si>
  <si>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</si>
  <si>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</si>
  <si>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</si>
  <si>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</si>
  <si>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</si>
  <si>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</si>
  <si>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</si>
  <si>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</si>
  <si>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</si>
  <si>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</si>
  <si>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</si>
  <si>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</si>
  <si>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</si>
  <si>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</si>
  <si>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</si>
  <si>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</si>
  <si>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</si>
  <si>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</si>
  <si>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</si>
  <si>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</si>
  <si>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</si>
  <si>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</si>
  <si>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</si>
  <si>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</si>
  <si>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</si>
  <si>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</si>
  <si>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</si>
  <si>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</si>
  <si>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</si>
  <si>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</si>
  <si>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</si>
  <si>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</si>
  <si>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</si>
  <si>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</si>
  <si>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</si>
  <si>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</si>
  <si>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</si>
  <si>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</si>
  <si>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</si>
  <si>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</si>
  <si>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</si>
  <si>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</si>
  <si>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</si>
  <si>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</si>
  <si>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</si>
  <si>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</si>
  <si>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</si>
  <si>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</si>
  <si>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</si>
  <si>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</si>
  <si>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</si>
  <si>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</si>
  <si>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</si>
  <si>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</si>
  <si>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</si>
  <si>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</si>
  <si>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</si>
  <si>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</si>
  <si>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</si>
  <si>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</si>
  <si>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</si>
  <si>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</si>
  <si>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</si>
  <si>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</si>
  <si>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</si>
  <si>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</si>
  <si>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</si>
  <si>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</si>
  <si>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</si>
  <si>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</si>
  <si>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</si>
  <si>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</si>
  <si>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</si>
  <si>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</si>
  <si>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</si>
  <si>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</si>
  <si>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</si>
  <si>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</si>
  <si>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</si>
  <si>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</si>
  <si>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</si>
  <si>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</si>
  <si>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</si>
  <si>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</si>
  <si>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</si>
  <si>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</si>
  <si>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</si>
  <si>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</si>
  <si>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</si>
  <si>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</si>
  <si>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</si>
  <si>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</si>
  <si>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</si>
  <si>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</si>
  <si>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</si>
  <si>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</si>
  <si>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</si>
  <si>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</si>
  <si>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</si>
  <si>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</si>
  <si>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</si>
  <si>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</si>
  <si>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</si>
  <si>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</si>
  <si>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</si>
  <si>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</si>
  <si>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</si>
  <si>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</si>
  <si>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</si>
  <si>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</si>
  <si>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</si>
  <si>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</si>
  <si>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</si>
  <si>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</si>
  <si>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</si>
  <si>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</si>
  <si>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</si>
  <si>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</si>
  <si>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</si>
  <si>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</si>
  <si>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</si>
  <si>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</si>
  <si>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</si>
  <si>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</si>
  <si>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</si>
  <si>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</si>
  <si>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</si>
  <si>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</si>
  <si>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</si>
  <si>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</si>
  <si>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</si>
  <si>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</si>
  <si>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</si>
  <si>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</si>
  <si>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</si>
  <si>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</si>
  <si>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</si>
  <si>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</si>
  <si>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</si>
  <si>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</si>
  <si>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</si>
  <si>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</si>
  <si>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</si>
  <si>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</si>
  <si>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</si>
  <si>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</si>
  <si>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</si>
  <si>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</si>
  <si>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</si>
  <si>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</si>
  <si>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</si>
  <si>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</si>
  <si>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</si>
  <si>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</si>
  <si>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</si>
  <si>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</si>
  <si>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</si>
  <si>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</si>
  <si>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</si>
  <si>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</si>
  <si>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</si>
  <si>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</si>
  <si>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</si>
  <si>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</si>
  <si>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</si>
  <si>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</si>
  <si>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</si>
  <si>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</si>
  <si>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</si>
  <si>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</si>
  <si>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</si>
  <si>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</si>
  <si>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</si>
  <si>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</si>
  <si>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</si>
  <si>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</si>
  <si>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</si>
  <si>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</si>
  <si>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</si>
  <si>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</si>
  <si>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</si>
  <si>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</si>
  <si>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</si>
  <si>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</si>
  <si>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</si>
  <si>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</si>
  <si>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</si>
  <si>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</si>
  <si>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</si>
  <si>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</si>
  <si>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</si>
  <si>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</si>
  <si>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</si>
  <si>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</si>
  <si>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</si>
  <si>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</si>
  <si>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</si>
  <si>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</si>
  <si>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</si>
  <si>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</si>
  <si>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</si>
  <si>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</si>
  <si>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</si>
  <si>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</si>
  <si>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</si>
  <si>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</si>
  <si>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</si>
  <si>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</si>
  <si>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</si>
  <si>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</si>
  <si>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</si>
  <si>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</si>
  <si>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</si>
  <si>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</si>
  <si>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</si>
  <si>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</si>
  <si>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</si>
  <si>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</si>
  <si>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</si>
  <si>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</si>
  <si>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</si>
  <si>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</si>
  <si>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</si>
  <si>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</si>
  <si>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</si>
  <si>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</si>
  <si>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</si>
  <si>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</si>
  <si>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</si>
  <si>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</si>
  <si>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</si>
  <si>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</si>
  <si>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</si>
  <si>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</si>
  <si>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</si>
  <si>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</si>
  <si>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</si>
  <si>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</si>
  <si>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</si>
  <si>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</si>
  <si>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</si>
  <si>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</si>
  <si>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</si>
  <si>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</si>
  <si>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</si>
  <si>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</si>
  <si>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</si>
  <si>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</si>
  <si>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</si>
  <si>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</si>
  <si>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</si>
  <si>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</si>
  <si>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</si>
  <si>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</si>
  <si>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</si>
  <si>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</si>
  <si>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</si>
  <si>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</si>
  <si>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</si>
  <si>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</si>
  <si>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</si>
  <si>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</si>
  <si>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</si>
  <si>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</si>
  <si>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</si>
  <si>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</si>
  <si>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</si>
  <si>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</si>
  <si>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</si>
  <si>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</si>
  <si>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</si>
  <si>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</si>
  <si>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</si>
  <si>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</si>
  <si>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</si>
  <si>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</si>
  <si>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</si>
  <si>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</si>
  <si>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</si>
  <si>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</si>
  <si>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</si>
  <si>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</si>
  <si>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</si>
  <si>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</si>
  <si>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</si>
  <si>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</si>
  <si>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</si>
  <si>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</si>
  <si>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</si>
  <si>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</si>
  <si>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</si>
  <si>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</si>
  <si>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</si>
  <si>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</si>
  <si>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</si>
  <si>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</si>
  <si>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</si>
  <si>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</si>
  <si>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</si>
  <si>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</si>
  <si>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</si>
  <si>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</si>
  <si>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</si>
  <si>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</si>
  <si>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</si>
  <si>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</si>
  <si>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</si>
  <si>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</si>
  <si>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</si>
  <si>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</si>
  <si>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</si>
  <si>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</si>
  <si>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</si>
  <si>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</si>
  <si>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</si>
  <si>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</si>
  <si>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</si>
  <si>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</si>
  <si>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</si>
  <si>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</si>
  <si>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</si>
  <si>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</si>
  <si>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</si>
  <si>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</si>
  <si>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</si>
  <si>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</si>
  <si>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</si>
  <si>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</si>
  <si>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</si>
  <si>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</si>
  <si>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</si>
  <si>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</si>
  <si>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</si>
  <si>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</si>
  <si>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</si>
  <si>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</si>
  <si>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</si>
  <si>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</si>
  <si>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</si>
  <si>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</si>
  <si>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</si>
  <si>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</si>
  <si>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</si>
  <si>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</si>
  <si>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</si>
  <si>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</si>
  <si>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</si>
  <si>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</si>
  <si>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</si>
  <si>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</si>
  <si>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</si>
  <si>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</si>
  <si>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</si>
  <si>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</si>
  <si>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</si>
  <si>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</si>
  <si>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</si>
  <si>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</si>
  <si>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</si>
  <si>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</si>
  <si>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</si>
  <si>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</si>
  <si>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</si>
  <si>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</si>
  <si>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</si>
  <si>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</si>
  <si>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</si>
  <si>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</si>
  <si>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</si>
  <si>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</si>
  <si>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</si>
  <si>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</si>
  <si>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</si>
  <si>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</si>
  <si>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</si>
  <si>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</si>
  <si>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</si>
  <si>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</si>
  <si>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</si>
  <si>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</si>
  <si>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</si>
  <si>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</si>
  <si>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</si>
  <si>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</si>
  <si>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</si>
  <si>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</si>
  <si>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</si>
  <si>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</si>
  <si>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</si>
  <si>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</si>
  <si>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</si>
  <si>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</si>
  <si>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</si>
  <si>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</si>
  <si>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</si>
  <si>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</si>
  <si>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</si>
  <si>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</si>
  <si>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</si>
  <si>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</si>
  <si>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</si>
  <si>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</si>
  <si>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</si>
  <si>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</si>
  <si>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</si>
  <si>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</si>
  <si>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</si>
  <si>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</si>
  <si>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</si>
  <si>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</si>
  <si>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</si>
  <si>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</si>
  <si>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</si>
  <si>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</si>
  <si>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</si>
  <si>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</si>
  <si>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</si>
  <si>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</si>
  <si>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</si>
  <si>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</si>
  <si>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</si>
  <si>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</si>
  <si>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</si>
  <si>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</si>
  <si>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</si>
  <si>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</si>
  <si>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</si>
  <si>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</si>
  <si>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</si>
  <si>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</si>
  <si>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</si>
  <si>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</si>
  <si>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</si>
  <si>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</si>
  <si>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</si>
  <si>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</si>
  <si>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</si>
  <si>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</si>
  <si>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</si>
  <si>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</si>
  <si>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</si>
  <si>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</si>
  <si>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</si>
  <si>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</si>
  <si>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</si>
  <si>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</si>
  <si>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</si>
  <si>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</si>
  <si>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</si>
  <si>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</si>
  <si>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</si>
  <si>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</si>
  <si>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</si>
  <si>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</si>
  <si>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</si>
  <si>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</si>
  <si>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</si>
  <si>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</si>
  <si>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</si>
  <si>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</si>
  <si>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</si>
  <si>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</si>
  <si>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</si>
  <si>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</si>
  <si>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</si>
  <si>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</si>
  <si>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</si>
  <si>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</si>
  <si>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</si>
  <si>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</si>
  <si>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</si>
  <si>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</si>
  <si>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</si>
  <si>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</si>
  <si>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</si>
  <si>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</si>
  <si>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</si>
  <si>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</si>
  <si>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</si>
  <si>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</si>
  <si>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</si>
  <si>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</si>
  <si>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</si>
  <si>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</si>
  <si>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</si>
  <si>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</si>
  <si>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</si>
  <si>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</si>
  <si>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</si>
  <si>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</si>
  <si>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</si>
  <si>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</si>
  <si>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</si>
  <si>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</si>
  <si>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</si>
  <si>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</si>
  <si>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</si>
  <si>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</si>
  <si>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</si>
  <si>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</si>
  <si>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</si>
  <si>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</si>
  <si>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</si>
  <si>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</si>
  <si>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</si>
  <si>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</si>
  <si>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</si>
  <si>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</si>
  <si>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</si>
  <si>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</si>
  <si>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</si>
  <si>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</si>
  <si>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</si>
  <si>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</si>
  <si>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</si>
  <si>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</si>
  <si>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</si>
  <si>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</si>
  <si>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</si>
  <si>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</si>
  <si>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</si>
  <si>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</si>
  <si>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</si>
  <si>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</si>
  <si>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</si>
  <si>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</si>
  <si>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</si>
  <si>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</si>
  <si>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</si>
  <si>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</si>
  <si>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</si>
  <si>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</si>
  <si>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</si>
  <si>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</si>
  <si>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</si>
  <si>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</si>
  <si>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</si>
  <si>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</si>
  <si>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</si>
  <si>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</si>
  <si>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</si>
  <si>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</si>
  <si>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</si>
  <si>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</si>
  <si>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</si>
  <si>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</si>
  <si>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</si>
  <si>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</si>
  <si>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</si>
  <si>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</si>
  <si>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</si>
  <si>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</si>
  <si>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</si>
  <si>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</si>
  <si>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</si>
  <si>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</si>
  <si>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</si>
  <si>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</si>
  <si>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</si>
  <si>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</si>
  <si>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</si>
  <si>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</si>
  <si>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</si>
  <si>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</si>
  <si>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</si>
  <si>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</si>
  <si>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</si>
  <si>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</si>
  <si>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</si>
  <si>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</si>
  <si>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</si>
  <si>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</si>
  <si>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</si>
  <si>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</si>
  <si>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</si>
  <si>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</si>
  <si>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</si>
  <si>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</si>
  <si>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</si>
  <si>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</si>
  <si>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</si>
  <si>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</si>
  <si>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</si>
  <si>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</si>
  <si>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</si>
  <si>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</si>
  <si>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</si>
  <si>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</si>
  <si>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</si>
  <si>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</si>
  <si>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</si>
  <si>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</si>
  <si>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</si>
  <si>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</si>
  <si>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</si>
  <si>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</si>
  <si>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</si>
  <si>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</si>
  <si>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</si>
  <si>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</si>
  <si>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</si>
  <si>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</si>
  <si>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</si>
  <si>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</si>
  <si>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</si>
  <si>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</si>
  <si>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</si>
  <si>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</si>
  <si>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</si>
  <si>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</si>
  <si>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</si>
  <si>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</si>
  <si>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</si>
  <si>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</si>
  <si>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</si>
  <si>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</si>
  <si>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</si>
  <si>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</si>
  <si>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</si>
  <si>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</si>
  <si>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</si>
  <si>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</si>
  <si>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</si>
  <si>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</si>
  <si>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</si>
  <si>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</si>
  <si>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</si>
  <si>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</si>
  <si>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</si>
  <si>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</si>
  <si>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</si>
  <si>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</si>
  <si>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</si>
  <si>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</si>
  <si>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</si>
  <si>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</si>
  <si>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</si>
  <si>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</si>
  <si>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</si>
  <si>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</si>
  <si>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</si>
  <si>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</si>
  <si>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</si>
  <si>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</si>
  <si>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</si>
  <si>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</si>
  <si>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</si>
  <si>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</si>
  <si>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</si>
  <si>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</si>
  <si>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</si>
  <si>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</si>
  <si>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</si>
  <si>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</si>
  <si>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</si>
  <si>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</si>
  <si>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</si>
  <si>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</si>
  <si>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</si>
  <si>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</si>
  <si>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</si>
  <si>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</si>
  <si>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</si>
  <si>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</si>
  <si>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</si>
  <si>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</si>
  <si>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</si>
  <si>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</si>
  <si>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</si>
  <si>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</si>
  <si>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</si>
  <si>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</si>
  <si>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</si>
  <si>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</si>
  <si>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</si>
  <si>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</si>
  <si>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</si>
  <si>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</si>
  <si>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</si>
  <si>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</si>
  <si>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</si>
  <si>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</si>
  <si>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</si>
  <si>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</si>
  <si>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</si>
  <si>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</si>
  <si>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</si>
  <si>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</si>
  <si>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</si>
  <si>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</si>
  <si>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</si>
  <si>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</si>
  <si>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</si>
  <si>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</si>
  <si>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</si>
  <si>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</si>
  <si>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</si>
  <si>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</si>
  <si>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</si>
  <si>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</si>
  <si>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</si>
  <si>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</si>
  <si>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</si>
  <si>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</si>
  <si>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</si>
  <si>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</si>
  <si>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</si>
  <si>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</si>
  <si>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</si>
  <si>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</si>
  <si>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</si>
  <si>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</si>
  <si>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</si>
  <si>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</si>
  <si>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</si>
  <si>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</si>
  <si>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</si>
  <si>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</si>
  <si>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</si>
  <si>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</si>
  <si>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</si>
  <si>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</si>
  <si>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</si>
  <si>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</si>
  <si>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</si>
  <si>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</si>
  <si>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</si>
  <si>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</si>
  <si>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</si>
  <si>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</si>
  <si>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</si>
  <si>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</si>
  <si>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</si>
  <si>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</si>
  <si>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</si>
  <si>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</si>
  <si>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</si>
  <si>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</si>
  <si>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</si>
  <si>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</si>
  <si>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</si>
  <si>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</si>
  <si>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</si>
  <si>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</si>
  <si>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</si>
  <si>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</si>
  <si>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</si>
  <si>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</si>
  <si>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</si>
  <si>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</si>
  <si>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</si>
  <si>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</si>
  <si>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</si>
  <si>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</si>
  <si>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</si>
  <si>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</si>
  <si>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</si>
  <si>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</si>
  <si>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</si>
  <si>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</si>
  <si>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</si>
  <si>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</si>
  <si>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</si>
  <si>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</si>
  <si>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</si>
  <si>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</si>
  <si>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</si>
  <si>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</si>
  <si>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</si>
  <si>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</si>
  <si>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</si>
  <si>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</si>
  <si>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</si>
  <si>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</si>
  <si>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</si>
  <si>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</si>
  <si>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</si>
  <si>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</si>
  <si>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</si>
  <si>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</si>
  <si>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</si>
  <si>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</si>
  <si>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</si>
  <si>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</si>
  <si>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</si>
  <si>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</si>
  <si>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</si>
  <si>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</si>
  <si>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</si>
  <si>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</si>
  <si>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</si>
  <si>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</si>
  <si>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</si>
  <si>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</si>
  <si>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</si>
  <si>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</si>
  <si>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</si>
  <si>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</si>
  <si>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</si>
  <si>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</si>
  <si>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</si>
  <si>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</si>
  <si>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</si>
  <si>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</si>
  <si>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</si>
  <si>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</si>
  <si>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</si>
  <si>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</si>
  <si>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</si>
  <si>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</si>
  <si>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</si>
  <si>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</si>
  <si>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</si>
  <si>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</si>
  <si>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</si>
  <si>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</si>
  <si>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</si>
  <si>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</si>
  <si>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</si>
  <si>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</si>
  <si>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</si>
  <si>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</si>
  <si>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</si>
  <si>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</si>
  <si>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</si>
  <si>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</si>
  <si>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</si>
  <si>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</si>
  <si>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</si>
  <si>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</si>
  <si>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</si>
  <si>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</si>
  <si>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</si>
  <si>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</si>
  <si>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</si>
  <si>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</si>
  <si>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</si>
  <si>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</si>
  <si>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</si>
  <si>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</si>
  <si>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</si>
  <si>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</si>
  <si>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</si>
  <si>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</si>
  <si>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</si>
  <si>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</si>
  <si>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</si>
  <si>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</si>
  <si>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</si>
  <si>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</si>
  <si>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</si>
  <si>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</si>
  <si>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</si>
  <si>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</si>
  <si>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</si>
  <si>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</si>
  <si>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</si>
  <si>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</si>
  <si>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</si>
  <si>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</si>
  <si>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</si>
  <si>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</si>
  <si>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</si>
  <si>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</si>
  <si>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</si>
  <si>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</si>
  <si>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</si>
  <si>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</si>
  <si>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</si>
  <si>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</si>
  <si>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</si>
  <si>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</si>
  <si>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</si>
  <si>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</si>
  <si>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</si>
  <si>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</si>
  <si>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</si>
  <si>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</si>
  <si>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</si>
  <si>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</si>
  <si>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</si>
  <si>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</si>
  <si>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</si>
  <si>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</si>
  <si>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</si>
  <si>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</si>
  <si>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</si>
  <si>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</si>
  <si>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</si>
  <si>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</si>
  <si>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</si>
  <si>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</si>
  <si>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</si>
  <si>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</si>
  <si>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</si>
  <si>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</si>
  <si>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</si>
  <si>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</si>
  <si>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</si>
  <si>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</si>
  <si>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</si>
  <si>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</si>
  <si>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</si>
  <si>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</si>
  <si>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</si>
  <si>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</si>
  <si>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</si>
  <si>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</si>
  <si>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</si>
  <si>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</si>
  <si>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</si>
  <si>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</si>
  <si>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</si>
  <si>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</si>
  <si>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</si>
  <si>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</si>
  <si>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</si>
  <si>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</si>
  <si>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</si>
  <si>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</si>
  <si>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</si>
  <si>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</si>
  <si>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</si>
  <si>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</si>
  <si>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</si>
  <si>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</si>
  <si>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</si>
  <si>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</si>
  <si>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</si>
  <si>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</si>
  <si>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</si>
  <si>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</si>
  <si>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</si>
  <si>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</si>
  <si>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</si>
  <si>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</si>
  <si>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</si>
  <si>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</si>
  <si>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</si>
  <si>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</si>
  <si>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</si>
  <si>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</si>
  <si>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</si>
  <si>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</si>
  <si>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</si>
  <si>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</si>
  <si>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</si>
  <si>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</si>
  <si>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</si>
  <si>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</si>
  <si>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</si>
  <si>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</si>
  <si>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</si>
  <si>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</si>
  <si>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</si>
  <si>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</si>
  <si>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</si>
  <si>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</si>
  <si>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</si>
  <si>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</si>
  <si>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</si>
  <si>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</si>
  <si>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</si>
  <si>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</si>
  <si>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</si>
  <si>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</si>
  <si>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</si>
  <si>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</si>
  <si>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</si>
  <si>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</si>
  <si>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</si>
  <si>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</si>
  <si>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</si>
  <si>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</si>
  <si>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</si>
  <si>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</si>
  <si>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</si>
  <si>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</si>
  <si>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</si>
  <si>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</si>
  <si>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</si>
  <si>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</si>
  <si>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</si>
  <si>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</si>
  <si>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</si>
  <si>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</si>
  <si>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</si>
  <si>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</si>
  <si>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</si>
  <si>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</si>
  <si>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</si>
  <si>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</si>
  <si>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</si>
  <si>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</si>
  <si>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</si>
  <si>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</si>
  <si>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</si>
  <si>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</si>
  <si>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</si>
  <si>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</si>
  <si>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</si>
  <si>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</si>
  <si>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</si>
  <si>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</si>
  <si>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</si>
  <si>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</si>
  <si>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</si>
  <si>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</si>
  <si>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</si>
  <si>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</si>
  <si>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</si>
  <si>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</si>
  <si>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</si>
  <si>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</si>
  <si>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</si>
  <si>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</si>
  <si>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</si>
  <si>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</si>
  <si>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</si>
  <si>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</si>
  <si>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</si>
  <si>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</si>
  <si>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</si>
  <si>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</si>
  <si>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</si>
  <si>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</si>
  <si>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</si>
  <si>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</si>
  <si>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</si>
  <si>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</si>
  <si>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</si>
  <si>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</si>
  <si>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</si>
  <si>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</si>
  <si>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</si>
  <si>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</si>
  <si>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</si>
  <si>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</si>
  <si>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</si>
  <si>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</si>
  <si>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</si>
  <si>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</si>
  <si>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</si>
  <si>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</si>
  <si>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</si>
  <si>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</si>
  <si>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</si>
  <si>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</si>
  <si>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</si>
  <si>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</si>
  <si>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</si>
  <si>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</si>
  <si>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</si>
  <si>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</si>
  <si>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</si>
  <si>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</si>
  <si>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</si>
  <si>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</si>
  <si>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</si>
  <si>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</si>
  <si>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</si>
  <si>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</si>
  <si>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</si>
  <si>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</si>
  <si>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</si>
  <si>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</si>
  <si>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</si>
  <si>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</si>
  <si>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</si>
  <si>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</si>
  <si>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</si>
  <si>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</si>
  <si>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</si>
  <si>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</si>
  <si>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</si>
  <si>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</si>
  <si>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</si>
  <si>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</si>
  <si>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</si>
  <si>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</si>
  <si>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</si>
  <si>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</si>
  <si>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</si>
  <si>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</si>
  <si>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</si>
  <si>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</si>
  <si>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</si>
  <si>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</si>
  <si>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</si>
  <si>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</si>
  <si>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</si>
  <si>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</si>
  <si>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</si>
  <si>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</si>
  <si>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</si>
  <si>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</si>
  <si>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</si>
  <si>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</si>
  <si>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</si>
  <si>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</si>
  <si>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</si>
  <si>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</si>
  <si>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</si>
  <si>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</si>
  <si>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</si>
  <si>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</si>
  <si>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</si>
  <si>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</si>
  <si>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</si>
  <si>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</si>
  <si>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</si>
  <si>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</si>
  <si>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</si>
  <si>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</si>
  <si>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</si>
  <si>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</si>
  <si>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</si>
  <si>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</si>
  <si>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</si>
  <si>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</si>
  <si>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</si>
  <si>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</si>
  <si>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</si>
  <si>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</si>
  <si>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</si>
  <si>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</si>
  <si>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</si>
  <si>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</si>
  <si>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</si>
  <si>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</si>
  <si>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</si>
  <si>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</si>
  <si>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</si>
  <si>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</si>
  <si>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</si>
  <si>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</si>
  <si>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</si>
  <si>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</si>
  <si>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</si>
  <si>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</si>
  <si>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</si>
  <si>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</si>
  <si>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</si>
  <si>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</si>
  <si>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</si>
  <si>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</si>
  <si>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</si>
  <si>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</si>
  <si>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</si>
  <si>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</si>
  <si>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</si>
  <si>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</si>
  <si>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</si>
  <si>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</si>
  <si>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</si>
  <si>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</si>
  <si>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</si>
  <si>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</si>
  <si>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</si>
  <si>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</si>
  <si>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</si>
  <si>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</si>
  <si>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</si>
  <si>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</si>
  <si>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</si>
  <si>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</si>
  <si>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</si>
  <si>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</si>
  <si>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</si>
  <si>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</si>
  <si>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</si>
  <si>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</si>
  <si>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</si>
  <si>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</si>
  <si>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</si>
  <si>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</si>
  <si>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</si>
  <si>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</si>
  <si>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</si>
  <si>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</si>
  <si>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</si>
  <si>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</si>
  <si>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</si>
  <si>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</si>
  <si>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</si>
  <si>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</si>
  <si>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</si>
  <si>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</si>
  <si>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</si>
  <si>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</si>
  <si>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</si>
  <si>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</si>
  <si>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</si>
  <si>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</si>
  <si>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</si>
  <si>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</si>
  <si>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</si>
  <si>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</si>
  <si>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</si>
  <si>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</si>
  <si>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</si>
  <si>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</si>
  <si>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</si>
  <si>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</si>
  <si>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</si>
  <si>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</si>
  <si>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</si>
  <si>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</si>
  <si>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</si>
  <si>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</si>
  <si>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</si>
  <si>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</si>
  <si>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</si>
  <si>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</si>
  <si>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</si>
  <si>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</si>
  <si>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</si>
  <si>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</si>
  <si>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</si>
  <si>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</si>
  <si>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</si>
  <si>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</si>
  <si>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</si>
  <si>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</si>
  <si>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</si>
  <si>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</si>
  <si>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</si>
  <si>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</si>
  <si>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</si>
  <si>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</si>
  <si>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</si>
  <si>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</si>
  <si>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</si>
  <si>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</si>
  <si>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</si>
  <si>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</si>
  <si>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</si>
  <si>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</si>
  <si>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</si>
  <si>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</si>
  <si>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</si>
  <si>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</si>
  <si>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</si>
  <si>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</si>
  <si>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</si>
  <si>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</si>
  <si>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</si>
  <si>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</si>
  <si>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</si>
  <si>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</si>
  <si>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</si>
  <si>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</si>
  <si>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</si>
  <si>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</si>
  <si>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</si>
  <si>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</si>
  <si>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</si>
  <si>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</si>
  <si>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</si>
  <si>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</si>
  <si>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</si>
  <si>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</si>
  <si>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</si>
  <si>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</si>
  <si>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</si>
  <si>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</si>
  <si>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</si>
  <si>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</si>
  <si>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</si>
  <si>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</si>
  <si>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</si>
  <si>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</si>
  <si>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</si>
  <si>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2022-4</t>
    <phoneticPr fontId="4" type="noConversion"/>
  </si>
  <si>
    <t>2023-1</t>
    <phoneticPr fontId="4" type="noConversion"/>
  </si>
  <si>
    <t>2023-2</t>
    <phoneticPr fontId="4" type="noConversion"/>
  </si>
  <si>
    <t>2023-2</t>
    <phoneticPr fontId="4" type="noConversion"/>
  </si>
  <si>
    <t>2023-3</t>
    <phoneticPr fontId="4" type="noConversion"/>
  </si>
  <si>
    <t>2023-4</t>
    <phoneticPr fontId="4" type="noConversion"/>
  </si>
  <si>
    <t>2023-4</t>
    <phoneticPr fontId="4" type="noConversion"/>
  </si>
  <si>
    <t>2024-3</t>
    <phoneticPr fontId="4" type="noConversion"/>
  </si>
  <si>
    <t>2024-1</t>
    <phoneticPr fontId="4" type="noConversion"/>
  </si>
  <si>
    <t>2024-1</t>
    <phoneticPr fontId="4" type="noConversion"/>
  </si>
  <si>
    <t>2025-1</t>
    <phoneticPr fontId="4" type="noConversion"/>
  </si>
  <si>
    <t>2024-2</t>
    <phoneticPr fontId="4" type="noConversion"/>
  </si>
  <si>
    <t>2024-4</t>
    <phoneticPr fontId="4" type="noConversion"/>
  </si>
  <si>
    <t>2024-2</t>
    <phoneticPr fontId="4" type="noConversion"/>
  </si>
  <si>
    <t>公示增长率-城六区</t>
    <phoneticPr fontId="143" type="noConversion"/>
  </si>
  <si>
    <t>公示增长率-规划新城</t>
    <phoneticPr fontId="143" type="noConversion"/>
  </si>
  <si>
    <r>
      <t>非中心城区：除城六区外其余十一区，即</t>
    </r>
    <r>
      <rPr>
        <sz val="10"/>
        <rFont val="楷体_GB2312"/>
        <family val="3"/>
        <charset val="134"/>
      </rPr>
      <t>规划新城</t>
    </r>
    <phoneticPr fontId="143"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</si>
  <si>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3" type="noConversion"/>
  </si>
  <si>
    <t>2024-3</t>
    <phoneticPr fontId="4" type="noConversion"/>
  </si>
  <si>
    <t>2024-4</t>
    <phoneticPr fontId="4" type="noConversion"/>
  </si>
  <si>
    <r>
      <rPr>
        <sz val="10"/>
        <color rgb="FFFF0000"/>
        <rFont val="楷体_GB2312"/>
        <family val="3"/>
        <charset val="134"/>
      </rPr>
      <t>范围：5</t>
    </r>
    <r>
      <rPr>
        <sz val="10"/>
        <color rgb="FFFF0000"/>
        <rFont val="Arial"/>
        <family val="2"/>
      </rPr>
      <t>%-10%</t>
    </r>
    <phoneticPr fontId="4"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</si>
  <si>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4"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</si>
  <si>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4"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</si>
  <si>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4" type="noConversion"/>
  </si>
  <si>
    <t>建安计算</t>
    <phoneticPr fontId="135" type="noConversion"/>
  </si>
  <si>
    <t>项目</t>
    <phoneticPr fontId="135" type="noConversion"/>
  </si>
  <si>
    <t>面积</t>
    <phoneticPr fontId="135" type="noConversion"/>
  </si>
  <si>
    <t>单价</t>
    <phoneticPr fontId="135" type="noConversion"/>
  </si>
  <si>
    <t>总额</t>
    <phoneticPr fontId="135" type="noConversion"/>
  </si>
  <si>
    <t>主体</t>
    <phoneticPr fontId="135" type="noConversion"/>
  </si>
  <si>
    <t>地上</t>
    <phoneticPr fontId="135" type="noConversion"/>
  </si>
  <si>
    <t>地下</t>
    <phoneticPr fontId="135" type="noConversion"/>
  </si>
  <si>
    <t>设备</t>
    <phoneticPr fontId="135" type="noConversion"/>
  </si>
  <si>
    <t>装修</t>
    <phoneticPr fontId="135" type="noConversion"/>
  </si>
  <si>
    <t>综合</t>
    <phoneticPr fontId="135" type="noConversion"/>
  </si>
  <si>
    <t>室外工程</t>
    <phoneticPr fontId="135" type="noConversion"/>
  </si>
  <si>
    <t>人防工程</t>
    <phoneticPr fontId="135" type="noConversion"/>
  </si>
  <si>
    <t>合计</t>
    <phoneticPr fontId="135" type="noConversion"/>
  </si>
  <si>
    <r>
      <rPr>
        <sz val="10"/>
        <color rgb="FFFF0000"/>
        <rFont val="楷体_GB2312"/>
        <family val="3"/>
        <charset val="134"/>
      </rPr>
      <t>变化：</t>
    </r>
    <r>
      <rPr>
        <sz val="10"/>
        <color rgb="FFFF0000"/>
        <rFont val="Arial"/>
        <family val="2"/>
      </rPr>
      <t>2%-3%</t>
    </r>
    <phoneticPr fontId="4" type="noConversion"/>
  </si>
  <si>
    <t>抵押</t>
  </si>
  <si>
    <t>房地产抵押价值</t>
  </si>
  <si>
    <t>北京市</t>
  </si>
  <si>
    <t>企业</t>
  </si>
  <si>
    <t>是</t>
  </si>
  <si>
    <t>地上</t>
  </si>
  <si>
    <t>工业</t>
    <phoneticPr fontId="8" type="noConversion"/>
  </si>
  <si>
    <t>成新度</t>
  </si>
  <si>
    <t>收益法</t>
  </si>
  <si>
    <t>与级别开发程度一致</t>
  </si>
  <si>
    <t>较好</t>
  </si>
  <si>
    <t>一般</t>
  </si>
  <si>
    <t>未包含在土地购买价格中</t>
  </si>
  <si>
    <t>全部缴纳</t>
  </si>
  <si>
    <t>已包含在土地取得成本中</t>
  </si>
  <si>
    <t>成本法</t>
  </si>
  <si>
    <t>押一</t>
  </si>
  <si>
    <t>钢</t>
  </si>
  <si>
    <t>生产用房</t>
  </si>
  <si>
    <t>否</t>
  </si>
  <si>
    <t>1幢</t>
    <phoneticPr fontId="135" type="noConversion"/>
  </si>
  <si>
    <t>2幢</t>
    <phoneticPr fontId="135" type="noConversion"/>
  </si>
  <si>
    <t>3幢</t>
  </si>
  <si>
    <t>4幢</t>
  </si>
  <si>
    <t>5幢</t>
  </si>
  <si>
    <t>6幢</t>
  </si>
  <si>
    <t>7幢</t>
  </si>
  <si>
    <t>8幢</t>
  </si>
  <si>
    <t>9幢</t>
  </si>
  <si>
    <t>10幢</t>
  </si>
  <si>
    <t>11幢</t>
  </si>
  <si>
    <t>12幢</t>
  </si>
  <si>
    <t>地上面积</t>
    <phoneticPr fontId="135" type="noConversion"/>
  </si>
  <si>
    <t>地下面积</t>
    <phoneticPr fontId="135" type="noConversion"/>
  </si>
  <si>
    <t>地下</t>
  </si>
  <si>
    <t>自定义容积率</t>
  </si>
  <si>
    <t>建成年代</t>
    <phoneticPr fontId="135" type="noConversion"/>
  </si>
  <si>
    <t>剩余年限</t>
    <phoneticPr fontId="135" type="noConversion"/>
  </si>
  <si>
    <t>登记结构</t>
    <phoneticPr fontId="135" type="noConversion"/>
  </si>
  <si>
    <t>设定结构</t>
    <phoneticPr fontId="135" type="noConversion"/>
  </si>
  <si>
    <t>其他</t>
    <phoneticPr fontId="135" type="noConversion"/>
  </si>
  <si>
    <t>混合</t>
    <phoneticPr fontId="135" type="noConversion"/>
  </si>
  <si>
    <t>钢</t>
    <phoneticPr fontId="135" type="noConversion"/>
  </si>
  <si>
    <t>砖混</t>
    <phoneticPr fontId="135" type="noConversion"/>
  </si>
  <si>
    <t>现状用途</t>
    <phoneticPr fontId="135" type="noConversion"/>
  </si>
  <si>
    <t>设备房</t>
    <phoneticPr fontId="135" type="noConversion"/>
  </si>
  <si>
    <t>配电室</t>
    <phoneticPr fontId="135" type="noConversion"/>
  </si>
  <si>
    <t>厂房</t>
    <phoneticPr fontId="135" type="noConversion"/>
  </si>
  <si>
    <t>微型消防站</t>
    <phoneticPr fontId="135" type="noConversion"/>
  </si>
  <si>
    <t>空压机房</t>
    <phoneticPr fontId="135" type="noConversion"/>
  </si>
  <si>
    <t>锅炉房</t>
    <phoneticPr fontId="135" type="noConversion"/>
  </si>
  <si>
    <t>食堂、宿舍</t>
    <phoneticPr fontId="135" type="noConversion"/>
  </si>
  <si>
    <t>仓库</t>
    <phoneticPr fontId="135" type="noConversion"/>
  </si>
  <si>
    <t>门卫</t>
    <phoneticPr fontId="135" type="noConversion"/>
  </si>
  <si>
    <t>成新率</t>
    <phoneticPr fontId="135" type="noConversion"/>
  </si>
  <si>
    <t>15年后成新</t>
    <phoneticPr fontId="135" type="noConversion"/>
  </si>
  <si>
    <t>坞里路</t>
    <phoneticPr fontId="9" type="noConversion"/>
  </si>
  <si>
    <r>
      <rPr>
        <sz val="10"/>
        <color indexed="8"/>
        <rFont val="宋体"/>
        <family val="3"/>
        <charset val="134"/>
      </rPr>
      <t>华信</t>
    </r>
    <r>
      <rPr>
        <sz val="10"/>
        <color indexed="8"/>
        <rFont val="Arial"/>
        <family val="2"/>
      </rPr>
      <t>2024</t>
    </r>
    <r>
      <rPr>
        <sz val="10"/>
        <color indexed="8"/>
        <rFont val="宋体"/>
        <family val="3"/>
        <charset val="134"/>
      </rPr>
      <t>年</t>
    </r>
    <r>
      <rPr>
        <sz val="10"/>
        <color indexed="8"/>
        <rFont val="Arial"/>
        <family val="2"/>
      </rPr>
      <t>2</t>
    </r>
    <r>
      <rPr>
        <sz val="10"/>
        <color indexed="8"/>
        <rFont val="宋体"/>
        <family val="3"/>
        <charset val="134"/>
      </rPr>
      <t>月</t>
    </r>
    <r>
      <rPr>
        <sz val="10"/>
        <color indexed="8"/>
        <rFont val="Arial"/>
        <family val="2"/>
      </rPr>
      <t>18</t>
    </r>
    <r>
      <rPr>
        <sz val="10"/>
        <color indexed="8"/>
        <rFont val="宋体"/>
        <family val="3"/>
        <charset val="134"/>
      </rPr>
      <t>日</t>
    </r>
    <phoneticPr fontId="9" type="noConversion"/>
  </si>
  <si>
    <t>建安</t>
    <phoneticPr fontId="135" type="noConversion"/>
  </si>
  <si>
    <t>租赁面积</t>
  </si>
  <si>
    <t>租赁期限</t>
  </si>
  <si>
    <t>到期时间</t>
    <phoneticPr fontId="135" type="noConversion"/>
  </si>
  <si>
    <t>时间</t>
  </si>
  <si>
    <t>年租金</t>
  </si>
  <si>
    <t>日租金</t>
    <phoneticPr fontId="135" type="noConversion"/>
  </si>
  <si>
    <t>年增长率</t>
    <phoneticPr fontId="135" type="noConversion"/>
  </si>
  <si>
    <t>剩余租赁期</t>
  </si>
  <si>
    <t>平均日租金</t>
  </si>
  <si>
    <t>收益期内总收益</t>
  </si>
  <si>
    <t>估价对象总面积</t>
  </si>
  <si>
    <t>市调租金</t>
  </si>
  <si>
    <t>市调增长率</t>
  </si>
  <si>
    <t>租期结束后日租金</t>
  </si>
  <si>
    <t>002</t>
    <phoneticPr fontId="135" type="noConversion"/>
  </si>
  <si>
    <t>015仓储</t>
    <phoneticPr fontId="135" type="noConversion"/>
  </si>
  <si>
    <t>015办公</t>
    <phoneticPr fontId="135" type="noConversion"/>
  </si>
  <si>
    <t>017办公</t>
    <phoneticPr fontId="135" type="noConversion"/>
  </si>
  <si>
    <t>017厂房</t>
    <phoneticPr fontId="135" type="noConversion"/>
  </si>
  <si>
    <t>无限期</t>
    <phoneticPr fontId="135" type="noConversion"/>
  </si>
  <si>
    <t>2023.12.15</t>
    <phoneticPr fontId="135" type="noConversion"/>
  </si>
  <si>
    <t>2024.7.1-2028.6.30</t>
    <phoneticPr fontId="135" type="noConversion"/>
  </si>
  <si>
    <t>估价时点</t>
    <phoneticPr fontId="135" type="noConversion"/>
  </si>
  <si>
    <t>2024.8.15-2029.8.14</t>
    <phoneticPr fontId="135" type="noConversion"/>
  </si>
  <si>
    <t>第3年</t>
    <phoneticPr fontId="135" type="noConversion"/>
  </si>
  <si>
    <t>第5年</t>
    <phoneticPr fontId="135" type="noConversion"/>
  </si>
  <si>
    <t>其余未出租面积</t>
    <phoneticPr fontId="135" type="noConversion"/>
  </si>
  <si>
    <t>总价</t>
  </si>
  <si>
    <t>成本比率</t>
  </si>
  <si>
    <r>
      <rPr>
        <b/>
        <sz val="16"/>
        <color theme="1"/>
        <rFont val="宋体"/>
        <family val="3"/>
        <charset val="134"/>
      </rPr>
      <t>华信</t>
    </r>
    <r>
      <rPr>
        <b/>
        <sz val="16"/>
        <color theme="1"/>
        <rFont val="Arial"/>
        <family val="2"/>
      </rPr>
      <t>2024</t>
    </r>
    <r>
      <rPr>
        <b/>
        <sz val="16"/>
        <color theme="1"/>
        <rFont val="宋体"/>
        <family val="3"/>
        <charset val="134"/>
      </rPr>
      <t>年</t>
    </r>
    <r>
      <rPr>
        <b/>
        <sz val="16"/>
        <color theme="1"/>
        <rFont val="Arial"/>
        <family val="2"/>
      </rPr>
      <t>2</t>
    </r>
    <r>
      <rPr>
        <b/>
        <sz val="16"/>
        <color theme="1"/>
        <rFont val="宋体"/>
        <family val="3"/>
        <charset val="134"/>
      </rPr>
      <t>月</t>
    </r>
    <r>
      <rPr>
        <b/>
        <sz val="16"/>
        <color theme="1"/>
        <rFont val="Arial"/>
        <family val="2"/>
      </rPr>
      <t>18</t>
    </r>
    <r>
      <rPr>
        <b/>
        <sz val="16"/>
        <color theme="1"/>
        <rFont val="宋体"/>
        <family val="3"/>
        <charset val="134"/>
      </rPr>
      <t>日</t>
    </r>
  </si>
  <si>
    <r>
      <rPr>
        <sz val="11"/>
        <rFont val="宋体"/>
        <family val="2"/>
      </rPr>
      <t>项目名称</t>
    </r>
    <phoneticPr fontId="135" type="noConversion"/>
  </si>
  <si>
    <r>
      <rPr>
        <sz val="11"/>
        <rFont val="微软雅黑"/>
        <family val="2"/>
        <charset val="134"/>
      </rPr>
      <t>（规划）建筑面积（</t>
    </r>
    <r>
      <rPr>
        <sz val="11"/>
        <rFont val="Arial"/>
        <family val="2"/>
      </rPr>
      <t>m</t>
    </r>
    <r>
      <rPr>
        <b/>
        <vertAlign val="superscript"/>
        <sz val="8"/>
        <rFont val="Arial"/>
        <family val="2"/>
      </rPr>
      <t>2</t>
    </r>
    <r>
      <rPr>
        <b/>
        <sz val="11"/>
        <rFont val="微软雅黑"/>
        <family val="2"/>
        <charset val="134"/>
      </rPr>
      <t>）</t>
    </r>
    <phoneticPr fontId="135" type="noConversion"/>
  </si>
  <si>
    <r>
      <rPr>
        <sz val="11"/>
        <rFont val="微软雅黑"/>
        <family val="2"/>
        <charset val="134"/>
      </rPr>
      <t>（分摊）土地面积（</t>
    </r>
    <r>
      <rPr>
        <sz val="11"/>
        <rFont val="Arial"/>
        <family val="2"/>
      </rPr>
      <t>m</t>
    </r>
    <r>
      <rPr>
        <b/>
        <vertAlign val="superscript"/>
        <sz val="8"/>
        <rFont val="Arial"/>
        <family val="2"/>
      </rPr>
      <t>2</t>
    </r>
    <r>
      <rPr>
        <b/>
        <sz val="11"/>
        <rFont val="微软雅黑"/>
        <family val="2"/>
        <charset val="134"/>
      </rPr>
      <t>）</t>
    </r>
    <phoneticPr fontId="135" type="noConversion"/>
  </si>
  <si>
    <r>
      <rPr>
        <sz val="11"/>
        <rFont val="微软雅黑"/>
        <family val="2"/>
        <charset val="134"/>
      </rPr>
      <t>市场价值（万元）</t>
    </r>
    <phoneticPr fontId="135" type="noConversion"/>
  </si>
  <si>
    <r>
      <rPr>
        <sz val="11"/>
        <rFont val="微软雅黑"/>
        <family val="2"/>
        <charset val="134"/>
      </rPr>
      <t>楼面单价（元</t>
    </r>
    <r>
      <rPr>
        <sz val="11"/>
        <rFont val="Arial"/>
        <family val="2"/>
      </rPr>
      <t>/</t>
    </r>
    <r>
      <rPr>
        <sz val="11"/>
        <rFont val="微软雅黑"/>
        <family val="2"/>
        <charset val="134"/>
      </rPr>
      <t>平方米）</t>
    </r>
  </si>
  <si>
    <r>
      <rPr>
        <sz val="11"/>
        <rFont val="微软雅黑"/>
        <family val="2"/>
        <charset val="134"/>
      </rPr>
      <t>地面单价（元</t>
    </r>
    <r>
      <rPr>
        <sz val="11"/>
        <rFont val="Arial"/>
        <family val="2"/>
      </rPr>
      <t>/</t>
    </r>
    <r>
      <rPr>
        <sz val="11"/>
        <rFont val="微软雅黑"/>
        <family val="2"/>
        <charset val="134"/>
      </rPr>
      <t>平方米）</t>
    </r>
    <phoneticPr fontId="135" type="noConversion"/>
  </si>
  <si>
    <r>
      <rPr>
        <sz val="11"/>
        <rFont val="微软雅黑"/>
        <family val="2"/>
        <charset val="134"/>
      </rPr>
      <t>抵押价值（万元）</t>
    </r>
    <phoneticPr fontId="135" type="noConversion"/>
  </si>
  <si>
    <r>
      <rPr>
        <sz val="11"/>
        <rFont val="宋体"/>
        <family val="3"/>
        <charset val="134"/>
      </rPr>
      <t>彩祥东路</t>
    </r>
    <r>
      <rPr>
        <sz val="11"/>
        <rFont val="Arial"/>
        <family val="2"/>
      </rPr>
      <t>11</t>
    </r>
    <r>
      <rPr>
        <sz val="11"/>
        <rFont val="宋体"/>
        <family val="3"/>
        <charset val="134"/>
      </rPr>
      <t>号</t>
    </r>
    <r>
      <rPr>
        <sz val="11"/>
        <rFont val="Arial"/>
        <family val="2"/>
      </rPr>
      <t>1</t>
    </r>
    <r>
      <rPr>
        <sz val="11"/>
        <rFont val="宋体"/>
        <family val="3"/>
        <charset val="134"/>
      </rPr>
      <t>幢等</t>
    </r>
    <r>
      <rPr>
        <sz val="11"/>
        <rFont val="Arial"/>
        <family val="2"/>
      </rPr>
      <t>12</t>
    </r>
    <r>
      <rPr>
        <sz val="11"/>
        <rFont val="宋体"/>
        <family val="3"/>
        <charset val="134"/>
      </rPr>
      <t>幢</t>
    </r>
    <phoneticPr fontId="135" type="noConversion"/>
  </si>
  <si>
    <r>
      <rPr>
        <sz val="11"/>
        <rFont val="宋体"/>
        <family val="3"/>
        <charset val="134"/>
      </rPr>
      <t>坞里路</t>
    </r>
    <r>
      <rPr>
        <sz val="11"/>
        <rFont val="Arial"/>
        <family val="2"/>
      </rPr>
      <t>68</t>
    </r>
    <r>
      <rPr>
        <sz val="11"/>
        <rFont val="宋体"/>
        <family val="3"/>
        <charset val="134"/>
      </rPr>
      <t>号院</t>
    </r>
    <r>
      <rPr>
        <sz val="11"/>
        <rFont val="Arial"/>
        <family val="2"/>
      </rPr>
      <t>8</t>
    </r>
    <r>
      <rPr>
        <sz val="11"/>
        <rFont val="宋体"/>
        <family val="3"/>
        <charset val="134"/>
      </rPr>
      <t>幢等</t>
    </r>
    <r>
      <rPr>
        <sz val="11"/>
        <rFont val="Arial"/>
        <family val="2"/>
      </rPr>
      <t>4</t>
    </r>
    <r>
      <rPr>
        <sz val="11"/>
        <rFont val="宋体"/>
        <family val="3"/>
        <charset val="134"/>
      </rPr>
      <t>套</t>
    </r>
    <phoneticPr fontId="135" type="noConversion"/>
  </si>
  <si>
    <r>
      <rPr>
        <sz val="11"/>
        <rFont val="微软雅黑"/>
        <family val="2"/>
        <charset val="134"/>
      </rPr>
      <t>价值类型</t>
    </r>
  </si>
  <si>
    <r>
      <rPr>
        <sz val="11"/>
        <rFont val="微软雅黑"/>
        <family val="2"/>
        <charset val="134"/>
      </rPr>
      <t>总价（万元）</t>
    </r>
  </si>
  <si>
    <r>
      <rPr>
        <sz val="11"/>
        <rFont val="微软雅黑"/>
        <family val="2"/>
        <charset val="134"/>
      </rPr>
      <t>市场价值</t>
    </r>
  </si>
  <si>
    <r>
      <rPr>
        <sz val="11"/>
        <rFont val="微软雅黑"/>
        <family val="2"/>
        <charset val="134"/>
      </rPr>
      <t>抵押价值</t>
    </r>
  </si>
  <si>
    <r>
      <rPr>
        <sz val="11"/>
        <rFont val="微软雅黑"/>
        <family val="2"/>
        <charset val="134"/>
      </rPr>
      <t>价值时点</t>
    </r>
    <r>
      <rPr>
        <sz val="11"/>
        <rFont val="Arial"/>
        <family val="2"/>
      </rPr>
      <t>/</t>
    </r>
    <r>
      <rPr>
        <sz val="11"/>
        <rFont val="微软雅黑"/>
        <family val="2"/>
        <charset val="134"/>
      </rPr>
      <t>估价期日</t>
    </r>
    <phoneticPr fontId="135" type="noConversion"/>
  </si>
  <si>
    <t>租金</t>
  </si>
  <si>
    <t>彩祥东路</t>
    <phoneticPr fontId="9" type="noConversion"/>
  </si>
  <si>
    <t>项目模式</t>
  </si>
  <si>
    <t>牛栏山昌金路/南陈路厂房</t>
    <phoneticPr fontId="4" type="noConversion"/>
  </si>
  <si>
    <t>马坡白马路/马坡桥厂房</t>
    <phoneticPr fontId="4" type="noConversion"/>
  </si>
  <si>
    <t>正常</t>
  </si>
  <si>
    <t>挂牌</t>
  </si>
  <si>
    <t>钢混</t>
    <phoneticPr fontId="4" type="noConversion"/>
  </si>
  <si>
    <t>精装修</t>
    <phoneticPr fontId="4" type="noConversion"/>
  </si>
  <si>
    <t>部分精装修</t>
    <phoneticPr fontId="4" type="noConversion"/>
  </si>
  <si>
    <t>普通装修</t>
    <phoneticPr fontId="4" type="noConversion"/>
  </si>
  <si>
    <t>专业</t>
    <phoneticPr fontId="4" type="noConversion"/>
  </si>
  <si>
    <t>普通</t>
    <phoneticPr fontId="4" type="noConversion"/>
  </si>
  <si>
    <t>五通</t>
    <phoneticPr fontId="4" type="noConversion"/>
  </si>
  <si>
    <t>精装修</t>
  </si>
  <si>
    <t>普通装修</t>
  </si>
  <si>
    <t>简单装修</t>
  </si>
  <si>
    <t>毛坯</t>
  </si>
  <si>
    <t>差</t>
  </si>
  <si>
    <t>高</t>
    <phoneticPr fontId="4" type="noConversion"/>
  </si>
  <si>
    <t>较高</t>
    <phoneticPr fontId="4" type="noConversion"/>
  </si>
  <si>
    <t>较低</t>
    <phoneticPr fontId="4" type="noConversion"/>
  </si>
  <si>
    <t>单套</t>
    <phoneticPr fontId="135" type="noConversion"/>
  </si>
  <si>
    <t>整栋</t>
    <phoneticPr fontId="135" type="noConversion"/>
  </si>
  <si>
    <t>整层</t>
    <phoneticPr fontId="135" type="noConversion"/>
  </si>
  <si>
    <t>整体项目</t>
    <phoneticPr fontId="135" type="noConversion"/>
  </si>
  <si>
    <t>工业</t>
    <phoneticPr fontId="32" type="noConversion"/>
  </si>
  <si>
    <t>https://bj.sydc.anjuke.com/cf-zu/6997768791/#weizhiFlag</t>
  </si>
  <si>
    <t>https://bj.sydc.anjuke.com/cf-zu/6922619984/</t>
  </si>
  <si>
    <t>https://bj.sydc.anjuke.com/cf-zu/6645621170/</t>
  </si>
  <si>
    <t>五通</t>
  </si>
  <si>
    <t>钢</t>
    <phoneticPr fontId="32" type="noConversion"/>
  </si>
  <si>
    <t>可整租可分租</t>
    <phoneticPr fontId="32" type="noConversion"/>
  </si>
  <si>
    <t>厂房</t>
  </si>
  <si>
    <t>厂房</t>
    <phoneticPr fontId="32" type="noConversion"/>
  </si>
  <si>
    <t>简单装修</t>
    <phoneticPr fontId="32" type="noConversion"/>
  </si>
  <si>
    <t>https://bj.sydc.anjuke.com/cf-zu/6998187340/</t>
  </si>
  <si>
    <t>顺义南彩镇厂房</t>
    <phoneticPr fontId="4" type="noConversion"/>
  </si>
  <si>
    <r>
      <rPr>
        <b/>
        <sz val="12"/>
        <rFont val="宋体"/>
        <family val="2"/>
      </rPr>
      <t>土地价值</t>
    </r>
    <phoneticPr fontId="135" type="noConversion"/>
  </si>
  <si>
    <r>
      <rPr>
        <b/>
        <sz val="12"/>
        <rFont val="宋体"/>
        <family val="2"/>
      </rPr>
      <t>建筑物价值</t>
    </r>
    <phoneticPr fontId="135" type="noConversion"/>
  </si>
  <si>
    <r>
      <rPr>
        <b/>
        <sz val="12"/>
        <rFont val="宋体"/>
        <family val="2"/>
      </rPr>
      <t>彩祥东路</t>
    </r>
    <phoneticPr fontId="135" type="noConversion"/>
  </si>
  <si>
    <r>
      <rPr>
        <b/>
        <sz val="12"/>
        <rFont val="宋体"/>
        <family val="2"/>
      </rPr>
      <t>坞里路</t>
    </r>
    <phoneticPr fontId="135" type="noConversion"/>
  </si>
  <si>
    <t>抵押率</t>
    <phoneticPr fontId="135" type="noConversion"/>
  </si>
  <si>
    <t>合计</t>
    <phoneticPr fontId="135" type="noConversion"/>
  </si>
  <si>
    <t>办公、仓库</t>
    <phoneticPr fontId="135" type="noConversion"/>
  </si>
  <si>
    <t>观察</t>
    <phoneticPr fontId="1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</si>
</sst>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1">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
      <sz val="10"/>
      <color indexed="8"/>
      <name val="Arial"/>
      <family val="3"/>
      <charset val="134"/>
    </font>
    <font>
      <sz val="11"/>
      <color rgb="FF00B0F0"/>
      <name val="宋体"/>
      <family val="3"/>
      <charset val="134"/>
      <scheme val="minor"/>
    </font>
    <font>
      <b/>
      <sz val="22"/>
      <name val="宋体"/>
      <family val="3"/>
      <charset val="134"/>
    </font>
    <font>
      <b/>
      <sz val="16"/>
      <color theme="1"/>
      <name val="宋体"/>
      <family val="3"/>
      <charset val="134"/>
    </font>
    <font>
      <b/>
      <sz val="16"/>
      <color theme="1"/>
      <name val="Arial"/>
      <family val="2"/>
    </font>
    <font>
      <sz val="11"/>
      <name val="宋体"/>
      <family val="2"/>
    </font>
    <font>
      <sz val="11"/>
      <name val="微软雅黑"/>
      <family val="2"/>
      <charset val="134"/>
    </font>
    <font>
      <b/>
      <vertAlign val="superscript"/>
      <sz val="8"/>
      <name val="Arial"/>
      <family val="2"/>
    </font>
    <font>
      <b/>
      <sz val="11"/>
      <name val="微软雅黑"/>
      <family val="2"/>
      <charset val="134"/>
    </font>
    <font>
      <u/>
      <sz val="11"/>
      <color theme="10"/>
      <name val="宋体"/>
      <family val="3"/>
      <charset val="134"/>
      <scheme val="minor"/>
    </font>
    <font>
      <b/>
      <sz val="12"/>
      <name val="宋体"/>
      <family val="2"/>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3">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4" fillId="0" borderId="0" applyFont="0" applyFill="0" applyBorder="0" applyAlignment="0" applyProtection="0">
      <alignment vertical="center"/>
    </xf>
    <xf numFmtId="192" fontId="96" fillId="0" borderId="0">
      <alignment vertical="center"/>
    </xf>
    <xf numFmtId="43" fontId="37" fillId="0" borderId="0" applyFont="0" applyFill="0" applyBorder="0" applyAlignment="0" applyProtection="0"/>
    <xf numFmtId="0" fontId="1" fillId="0" borderId="0"/>
    <xf numFmtId="0" fontId="279" fillId="0" borderId="0" applyNumberFormat="0" applyFill="0" applyBorder="0" applyAlignment="0" applyProtection="0">
      <alignment vertical="center"/>
    </xf>
    <xf numFmtId="9" fontId="96" fillId="0" borderId="0" applyFont="0" applyFill="0" applyBorder="0" applyAlignment="0" applyProtection="0">
      <alignment vertical="center"/>
    </xf>
  </cellStyleXfs>
  <cellXfs count="355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45" fillId="0" borderId="24"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0" fontId="54" fillId="0" borderId="49" xfId="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54" fillId="0" borderId="1" xfId="0" applyFont="1" applyBorder="1" applyAlignment="1" applyProtection="1">
      <alignment horizontal="center" vertical="center" wrapText="1"/>
      <protection locked="0"/>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181" fontId="48" fillId="0" borderId="1" xfId="0" applyNumberFormat="1" applyFont="1" applyBorder="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40"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8" fillId="0" borderId="0" xfId="11" applyFont="1" applyAlignment="1">
      <alignment vertical="center" wrapText="1"/>
    </xf>
    <xf numFmtId="0" fontId="125" fillId="0" borderId="78" xfId="0" applyFont="1" applyBorder="1" applyAlignment="1">
      <alignment horizontal="left" vertical="center"/>
    </xf>
    <xf numFmtId="0" fontId="148" fillId="0" borderId="78" xfId="11" applyFont="1" applyBorder="1" applyAlignment="1">
      <alignment horizontal="left" vertical="center" wrapText="1"/>
    </xf>
    <xf numFmtId="0" fontId="148" fillId="0" borderId="87" xfId="0" applyFont="1" applyBorder="1">
      <alignment vertical="center"/>
    </xf>
    <xf numFmtId="0" fontId="148" fillId="0" borderId="44" xfId="11" applyFont="1" applyBorder="1" applyAlignment="1">
      <alignment vertical="center" wrapText="1"/>
    </xf>
    <xf numFmtId="0" fontId="148" fillId="0" borderId="44" xfId="0" applyFont="1" applyBorder="1" applyAlignment="1">
      <alignment horizontal="left" vertical="center"/>
    </xf>
    <xf numFmtId="0" fontId="148" fillId="0" borderId="83" xfId="0" applyFont="1" applyBorder="1">
      <alignment vertical="center"/>
    </xf>
    <xf numFmtId="0" fontId="148" fillId="0" borderId="1" xfId="11" applyFont="1" applyBorder="1" applyAlignment="1">
      <alignment vertical="center" wrapText="1"/>
    </xf>
    <xf numFmtId="0" fontId="148" fillId="0" borderId="1" xfId="0" applyFont="1" applyBorder="1" applyAlignment="1">
      <alignment horizontal="left" vertical="center"/>
    </xf>
    <xf numFmtId="0" fontId="148" fillId="0" borderId="0" xfId="0" applyFont="1">
      <alignment vertical="center"/>
    </xf>
    <xf numFmtId="0" fontId="148" fillId="0" borderId="78" xfId="11" applyFont="1" applyBorder="1" applyAlignment="1">
      <alignment vertical="center" wrapText="1"/>
    </xf>
    <xf numFmtId="0" fontId="148" fillId="0" borderId="78" xfId="0" applyFont="1" applyBorder="1" applyAlignment="1">
      <alignment horizontal="left" vertical="center"/>
    </xf>
    <xf numFmtId="192" fontId="148" fillId="0" borderId="78" xfId="0" applyNumberFormat="1" applyFont="1" applyBorder="1" applyAlignment="1">
      <alignment horizontal="left" vertical="center"/>
    </xf>
    <xf numFmtId="0"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0" fontId="148"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9" fillId="6" borderId="87" xfId="2" applyFont="1" applyFill="1" applyBorder="1"/>
    <xf numFmtId="14" fontId="139" fillId="6" borderId="78" xfId="2" applyNumberFormat="1" applyFont="1" applyFill="1" applyBorder="1" applyAlignment="1">
      <alignment horizontal="center"/>
    </xf>
    <xf numFmtId="0" fontId="139" fillId="6" borderId="78" xfId="2" applyFont="1" applyFill="1" applyBorder="1" applyAlignment="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3"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7" fillId="0" borderId="108" xfId="0" applyFont="1" applyBorder="1" applyAlignment="1" applyProtection="1">
      <alignment horizontal="center" vertical="center" wrapText="1"/>
      <protection locked="0"/>
    </xf>
    <xf numFmtId="0" fontId="167"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68"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0"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0" fontId="78" fillId="6" borderId="13" xfId="0" applyFont="1" applyFill="1" applyBorder="1">
      <alignment vertical="center"/>
    </xf>
    <xf numFmtId="0"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lignment vertical="center"/>
    </xf>
    <xf numFmtId="0" fontId="140"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40"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3"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lignment vertical="center"/>
    </xf>
    <xf numFmtId="0" fontId="48" fillId="6" borderId="0" xfId="0" applyFont="1" applyFill="1" applyAlignment="1"/>
    <xf numFmtId="0" fontId="170" fillId="6" borderId="3" xfId="0" applyFont="1" applyFill="1" applyBorder="1" applyAlignment="1">
      <alignment horizontal="right" vertical="center" wrapText="1"/>
    </xf>
    <xf numFmtId="0" fontId="185" fillId="0" borderId="0" xfId="5" applyFont="1">
      <alignment vertical="center"/>
    </xf>
    <xf numFmtId="0" fontId="96" fillId="0" borderId="0" xfId="0" applyFont="1" applyProtection="1">
      <alignment vertical="center"/>
      <protection locked="0"/>
    </xf>
    <xf numFmtId="0" fontId="194" fillId="0" borderId="0" xfId="0" applyFont="1" applyAlignment="1">
      <alignment horizontal="center" vertical="center"/>
    </xf>
    <xf numFmtId="0" fontId="195" fillId="0" borderId="0" xfId="0" applyFont="1">
      <alignment vertical="center"/>
    </xf>
    <xf numFmtId="0" fontId="131" fillId="0" borderId="0" xfId="0" applyFont="1" applyAlignment="1">
      <alignment vertical="center" wrapText="1"/>
    </xf>
    <xf numFmtId="0" fontId="196" fillId="0" borderId="0" xfId="0" applyFont="1">
      <alignment vertical="center"/>
    </xf>
    <xf numFmtId="0" fontId="197" fillId="0" borderId="0" xfId="0" applyFont="1">
      <alignment vertical="center"/>
    </xf>
    <xf numFmtId="0" fontId="198"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199" fillId="5" borderId="0" xfId="0" applyFont="1" applyFill="1" applyProtection="1">
      <alignment vertical="center"/>
      <protection locked="0"/>
    </xf>
    <xf numFmtId="0" fontId="195" fillId="0" borderId="0" xfId="7" applyFont="1">
      <alignment vertical="center"/>
    </xf>
    <xf numFmtId="0" fontId="99" fillId="0" borderId="0" xfId="7" applyFont="1">
      <alignment vertical="center"/>
    </xf>
    <xf numFmtId="0" fontId="195"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2"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2" fillId="0" borderId="0" xfId="0" applyFont="1" applyAlignment="1">
      <alignment horizontal="left" vertical="center"/>
    </xf>
    <xf numFmtId="0" fontId="210"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0" fillId="0" borderId="60" xfId="0" applyFont="1" applyBorder="1" applyAlignment="1">
      <alignment horizontal="justify" vertical="center" wrapText="1"/>
    </xf>
    <xf numFmtId="0" fontId="210" fillId="0" borderId="0" xfId="0" applyFont="1" applyAlignment="1">
      <alignment horizontal="right" vertical="center" wrapText="1"/>
    </xf>
    <xf numFmtId="0" fontId="210" fillId="0" borderId="54" xfId="0" applyFont="1" applyBorder="1" applyAlignment="1">
      <alignment horizontal="justify" vertical="center" wrapText="1"/>
    </xf>
    <xf numFmtId="0" fontId="211" fillId="0" borderId="0" xfId="0" applyFont="1" applyAlignment="1" applyProtection="1">
      <alignment horizontal="center" vertical="center" wrapText="1"/>
      <protection locked="0"/>
    </xf>
    <xf numFmtId="0" fontId="195"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3" fillId="0" borderId="0" xfId="0" applyFont="1" applyProtection="1">
      <alignment vertical="center"/>
      <protection locked="0"/>
    </xf>
    <xf numFmtId="0" fontId="214" fillId="0" borderId="0" xfId="0" applyFont="1">
      <alignment vertical="center"/>
    </xf>
    <xf numFmtId="0" fontId="193" fillId="0" borderId="0" xfId="0" applyFont="1">
      <alignment vertical="center"/>
    </xf>
    <xf numFmtId="0" fontId="201" fillId="0" borderId="1" xfId="0" applyFont="1" applyBorder="1" applyAlignment="1">
      <alignment horizontal="center" vertical="center" wrapText="1"/>
    </xf>
    <xf numFmtId="0" fontId="96" fillId="0" borderId="0" xfId="0" applyFont="1" applyAlignment="1">
      <alignment horizontal="left" vertical="center"/>
    </xf>
    <xf numFmtId="0" fontId="201" fillId="0" borderId="0" xfId="0" applyFont="1">
      <alignment vertical="center"/>
    </xf>
    <xf numFmtId="0" fontId="201" fillId="2" borderId="1" xfId="0" applyFont="1" applyFill="1" applyBorder="1" applyAlignment="1">
      <alignment horizontal="center" vertical="center" wrapText="1"/>
    </xf>
    <xf numFmtId="0" fontId="201" fillId="6" borderId="1" xfId="0" applyFont="1" applyFill="1" applyBorder="1" applyAlignment="1">
      <alignment horizontal="center" vertical="center" wrapText="1"/>
    </xf>
    <xf numFmtId="0" fontId="217" fillId="4" borderId="1" xfId="0" applyFont="1" applyFill="1" applyBorder="1" applyAlignment="1">
      <alignment horizontal="center" vertical="center"/>
    </xf>
    <xf numFmtId="0" fontId="218" fillId="0" borderId="1" xfId="0" applyFont="1" applyBorder="1" applyAlignment="1">
      <alignment horizontal="center" vertical="center"/>
    </xf>
    <xf numFmtId="0" fontId="216"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19" fillId="0" borderId="0" xfId="0" applyFont="1">
      <alignment vertical="center"/>
    </xf>
    <xf numFmtId="0" fontId="216" fillId="0" borderId="0" xfId="0" applyFont="1" applyAlignment="1">
      <alignment horizontal="left" vertical="center"/>
    </xf>
    <xf numFmtId="176" fontId="216" fillId="0" borderId="0" xfId="0" applyNumberFormat="1" applyFont="1" applyAlignment="1">
      <alignment horizontal="left" vertical="center"/>
    </xf>
    <xf numFmtId="0" fontId="216"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6"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6" fillId="0" borderId="1" xfId="0" applyFont="1" applyBorder="1" applyAlignment="1" applyProtection="1">
      <alignment horizontal="left" vertical="center"/>
      <protection locked="0"/>
    </xf>
    <xf numFmtId="0" fontId="96" fillId="6" borderId="0" xfId="0" applyFont="1" applyFill="1">
      <alignment vertical="center"/>
    </xf>
    <xf numFmtId="0" fontId="216"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7"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2"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3"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4" fillId="6" borderId="0" xfId="0" applyFont="1" applyFill="1" applyAlignment="1">
      <alignment horizontal="left" vertical="center"/>
    </xf>
    <xf numFmtId="0" fontId="224" fillId="6" borderId="0" xfId="0" applyFont="1" applyFill="1">
      <alignment vertical="center"/>
    </xf>
    <xf numFmtId="0" fontId="224"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3" fillId="6" borderId="1" xfId="0" applyFont="1" applyFill="1" applyBorder="1">
      <alignment vertical="center"/>
    </xf>
    <xf numFmtId="0" fontId="203"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29"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3"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7" fillId="0" borderId="1" xfId="0" applyFont="1" applyBorder="1" applyAlignment="1" applyProtection="1">
      <alignment horizontal="center" vertical="center" wrapText="1"/>
      <protection locked="0"/>
    </xf>
    <xf numFmtId="0" fontId="167"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7"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4" fillId="12" borderId="126" xfId="16" applyFont="1" applyFill="1" applyBorder="1" applyAlignment="1">
      <alignment horizontal="left" vertical="center" wrapText="1"/>
    </xf>
    <xf numFmtId="0" fontId="144"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5"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lignment horizontal="left" vertical="center" wrapText="1"/>
    </xf>
    <xf numFmtId="0" fontId="144" fillId="13" borderId="126" xfId="9" applyFont="1" applyFill="1" applyBorder="1" applyAlignment="1">
      <alignment horizontal="left" vertical="center" wrapText="1"/>
    </xf>
    <xf numFmtId="0" fontId="145"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lignment horizontal="left" vertical="center" wrapText="1"/>
    </xf>
    <xf numFmtId="0" fontId="144" fillId="11" borderId="123" xfId="9" applyFont="1" applyFill="1" applyBorder="1" applyAlignment="1">
      <alignment horizontal="left" vertical="center" wrapText="1"/>
    </xf>
    <xf numFmtId="0"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lignment horizontal="left" vertical="center" wrapText="1"/>
    </xf>
    <xf numFmtId="0"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lignment horizontal="left" vertical="center" wrapText="1"/>
    </xf>
    <xf numFmtId="0"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lignment horizontal="left" vertical="center" wrapText="1"/>
    </xf>
    <xf numFmtId="0" fontId="144"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lignment horizontal="left" vertical="center" wrapText="1"/>
    </xf>
    <xf numFmtId="0"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6" fillId="6" borderId="154" xfId="0" applyFont="1" applyFill="1" applyBorder="1" applyAlignment="1">
      <alignment horizontal="left"/>
    </xf>
    <xf numFmtId="0" fontId="102" fillId="6" borderId="154" xfId="0" applyFont="1" applyFill="1" applyBorder="1" applyAlignment="1">
      <alignment horizontal="left"/>
    </xf>
    <xf numFmtId="0" fontId="176"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6"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7"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7"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7"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214"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40"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4" fillId="7" borderId="101" xfId="0" applyFont="1" applyFill="1" applyBorder="1" applyAlignment="1" applyProtection="1">
      <alignment vertical="center" wrapText="1"/>
      <protection locked="0"/>
    </xf>
    <xf numFmtId="0" fontId="204" fillId="7" borderId="102" xfId="0" applyFont="1" applyFill="1" applyBorder="1" applyAlignment="1" applyProtection="1">
      <alignment vertical="center" wrapText="1"/>
      <protection locked="0"/>
    </xf>
    <xf numFmtId="0" fontId="224" fillId="7" borderId="0" xfId="0" applyFont="1" applyFill="1" applyProtection="1">
      <alignment vertical="center"/>
      <protection locked="0"/>
    </xf>
    <xf numFmtId="0" fontId="224"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167" fillId="0" borderId="10" xfId="0" applyNumberFormat="1" applyFont="1" applyBorder="1" applyAlignment="1" applyProtection="1">
      <alignment vertical="center" wrapText="1"/>
      <protection locked="0"/>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0" fontId="167" fillId="0" borderId="8" xfId="0" applyFont="1" applyBorder="1" applyAlignment="1" applyProtection="1">
      <alignment vertical="center" wrapText="1"/>
      <protection locked="0"/>
    </xf>
    <xf numFmtId="49" fontId="167" fillId="0" borderId="24" xfId="0" applyNumberFormat="1"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0" fontId="167"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167" fillId="0" borderId="49" xfId="0" applyFont="1" applyBorder="1" applyAlignment="1" applyProtection="1">
      <alignment vertical="center" wrapText="1"/>
      <protection locked="0"/>
    </xf>
    <xf numFmtId="0" fontId="48" fillId="6" borderId="32" xfId="0" applyFont="1" applyFill="1" applyBorder="1" applyAlignment="1">
      <alignment vertical="center" wrapText="1"/>
    </xf>
    <xf numFmtId="0" fontId="167" fillId="0" borderId="49" xfId="0" applyFont="1" applyBorder="1" applyProtection="1">
      <alignment vertical="center"/>
      <protection locked="0"/>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4" fillId="7" borderId="0" xfId="0" applyFont="1" applyFill="1" applyAlignment="1" applyProtection="1">
      <alignment vertical="center" wrapText="1"/>
      <protection locked="0"/>
    </xf>
    <xf numFmtId="0" fontId="204" fillId="7" borderId="35" xfId="0" applyFont="1" applyFill="1" applyBorder="1" applyAlignment="1" applyProtection="1">
      <alignment vertical="center" wrapText="1"/>
      <protection locked="0"/>
    </xf>
    <xf numFmtId="0" fontId="224"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1" fillId="6" borderId="1" xfId="12" applyFont="1" applyFill="1" applyBorder="1" applyAlignment="1">
      <alignment horizontal="left" vertical="center" wrapText="1"/>
    </xf>
    <xf numFmtId="0" fontId="160" fillId="0" borderId="0" xfId="12" applyAlignment="1" applyProtection="1">
      <alignment horizontal="left"/>
      <protection locked="0"/>
    </xf>
    <xf numFmtId="0" fontId="161"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1" fillId="0" borderId="13" xfId="12" applyFont="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3"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7"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7" fillId="0" borderId="21" xfId="0" applyNumberFormat="1" applyFont="1" applyBorder="1" applyAlignment="1" applyProtection="1">
      <alignment vertical="center" shrinkToFit="1"/>
      <protection locked="0"/>
    </xf>
    <xf numFmtId="0" fontId="167"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7" fillId="0" borderId="79" xfId="0" applyFont="1" applyBorder="1" applyAlignment="1" applyProtection="1">
      <alignment vertical="center" wrapText="1"/>
      <protection locked="0"/>
    </xf>
    <xf numFmtId="0" fontId="167"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49" fontId="167" fillId="12" borderId="4" xfId="0" applyNumberFormat="1" applyFont="1" applyFill="1" applyBorder="1" applyAlignment="1" applyProtection="1">
      <alignment horizontal="left" vertical="center"/>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1" fillId="12" borderId="0" xfId="12" applyFont="1" applyFill="1" applyAlignment="1" applyProtection="1">
      <alignment horizontal="left" vertical="center" wrapText="1"/>
      <protection locked="0"/>
    </xf>
    <xf numFmtId="0" fontId="160" fillId="12" borderId="0" xfId="12" applyFill="1" applyAlignment="1" applyProtection="1">
      <alignment horizontal="left"/>
      <protection locked="0"/>
    </xf>
    <xf numFmtId="0" fontId="176"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40"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3"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39"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38"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10" fontId="114" fillId="0" borderId="23" xfId="0" applyNumberFormat="1" applyFont="1" applyBorder="1" applyProtection="1">
      <alignment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1"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2" fillId="0" borderId="5" xfId="4" applyFont="1" applyBorder="1" applyAlignment="1" applyProtection="1">
      <alignment horizontal="left" vertical="center"/>
      <protection locked="0"/>
    </xf>
    <xf numFmtId="0" fontId="242" fillId="0" borderId="158" xfId="4" applyFont="1" applyBorder="1" applyAlignment="1" applyProtection="1">
      <alignment horizontal="left" vertical="center"/>
      <protection locked="0"/>
    </xf>
    <xf numFmtId="0" fontId="242"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1" fillId="0" borderId="0" xfId="4" applyFont="1" applyAlignment="1" applyProtection="1">
      <alignment horizontal="left" vertical="center"/>
      <protection locked="0"/>
    </xf>
    <xf numFmtId="0" fontId="241"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40" fillId="6" borderId="15" xfId="0" applyFont="1" applyFill="1" applyBorder="1" applyAlignment="1">
      <alignment vertical="center" wrapText="1"/>
    </xf>
    <xf numFmtId="0" fontId="139"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5" fillId="6" borderId="23" xfId="0" applyFont="1" applyFill="1" applyBorder="1" applyAlignment="1">
      <alignment horizontal="left" vertical="center"/>
    </xf>
    <xf numFmtId="0" fontId="245" fillId="6" borderId="1" xfId="0" applyFont="1" applyFill="1" applyBorder="1" applyAlignment="1">
      <alignment horizontal="left" vertical="center"/>
    </xf>
    <xf numFmtId="0" fontId="245" fillId="6" borderId="24" xfId="0" applyFont="1" applyFill="1" applyBorder="1" applyAlignment="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lignment horizontal="left" vertical="center"/>
    </xf>
    <xf numFmtId="0" fontId="245" fillId="6" borderId="0" xfId="0" applyFont="1" applyFill="1" applyAlignment="1">
      <alignment horizontal="left" vertical="center"/>
    </xf>
    <xf numFmtId="0" fontId="245" fillId="6" borderId="56" xfId="0" applyFont="1" applyFill="1" applyBorder="1" applyAlignment="1">
      <alignment horizontal="left" vertical="center"/>
    </xf>
    <xf numFmtId="0" fontId="245" fillId="6" borderId="18" xfId="0" applyFont="1" applyFill="1" applyBorder="1" applyAlignment="1">
      <alignment horizontal="left"/>
    </xf>
    <xf numFmtId="0" fontId="245" fillId="6" borderId="0" xfId="0" applyFont="1" applyFill="1" applyAlignment="1">
      <alignment horizontal="left"/>
    </xf>
    <xf numFmtId="0" fontId="245" fillId="6" borderId="56" xfId="0" applyFont="1" applyFill="1" applyBorder="1" applyAlignment="1">
      <alignment horizontal="left"/>
    </xf>
    <xf numFmtId="0" fontId="245" fillId="6" borderId="23" xfId="0" applyFont="1" applyFill="1" applyBorder="1" applyAlignment="1">
      <alignment horizontal="left"/>
    </xf>
    <xf numFmtId="0" fontId="245" fillId="20" borderId="1" xfId="0" applyFont="1" applyFill="1" applyBorder="1" applyAlignment="1">
      <alignment horizontal="left"/>
    </xf>
    <xf numFmtId="0" fontId="245" fillId="6" borderId="1" xfId="0" applyFont="1" applyFill="1" applyBorder="1" applyAlignment="1">
      <alignment horizontal="left"/>
    </xf>
    <xf numFmtId="0" fontId="245" fillId="6" borderId="5" xfId="0" applyFont="1" applyFill="1" applyBorder="1" applyAlignment="1">
      <alignment horizontal="left"/>
    </xf>
    <xf numFmtId="0" fontId="245" fillId="6" borderId="54" xfId="0" applyFont="1" applyFill="1" applyBorder="1" applyAlignment="1">
      <alignment horizontal="left"/>
    </xf>
    <xf numFmtId="0" fontId="245" fillId="6" borderId="48" xfId="0" applyFont="1" applyFill="1" applyBorder="1" applyAlignment="1">
      <alignment horizontal="left"/>
    </xf>
    <xf numFmtId="9" fontId="245" fillId="6" borderId="1" xfId="0" applyNumberFormat="1" applyFont="1" applyFill="1" applyBorder="1" applyAlignment="1">
      <alignment horizontal="left"/>
    </xf>
    <xf numFmtId="0" fontId="245" fillId="6" borderId="25" xfId="0" applyFont="1" applyFill="1" applyBorder="1" applyAlignment="1">
      <alignment horizontal="left"/>
    </xf>
    <xf numFmtId="0" fontId="245" fillId="20" borderId="32" xfId="0" applyFont="1" applyFill="1" applyBorder="1" applyAlignment="1">
      <alignment horizontal="left"/>
    </xf>
    <xf numFmtId="0" fontId="245" fillId="6" borderId="32" xfId="0" applyFont="1" applyFill="1" applyBorder="1" applyAlignment="1">
      <alignment horizontal="left"/>
    </xf>
    <xf numFmtId="0" fontId="245" fillId="6" borderId="47" xfId="0" applyFont="1" applyFill="1" applyBorder="1" applyAlignment="1">
      <alignment horizontal="left"/>
    </xf>
    <xf numFmtId="0" fontId="245" fillId="6" borderId="43" xfId="0" applyFont="1" applyFill="1" applyBorder="1" applyAlignment="1">
      <alignment horizontal="left"/>
    </xf>
    <xf numFmtId="0" fontId="245"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5"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19" fillId="6" borderId="60" xfId="0" applyFont="1" applyFill="1" applyBorder="1" applyAlignment="1">
      <alignment horizontal="left" vertical="center"/>
    </xf>
    <xf numFmtId="0" fontId="219" fillId="6" borderId="0" xfId="0" applyFont="1" applyFill="1" applyAlignment="1">
      <alignment horizontal="left" vertical="center"/>
    </xf>
    <xf numFmtId="0" fontId="247"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48" fillId="0" borderId="0" xfId="3" applyNumberFormat="1" applyFont="1" applyAlignment="1">
      <alignment horizontal="left" vertical="center"/>
    </xf>
    <xf numFmtId="176" fontId="249" fillId="6" borderId="6" xfId="3" applyNumberFormat="1" applyFont="1" applyFill="1" applyBorder="1" applyAlignment="1">
      <alignment horizontal="left" vertical="center"/>
    </xf>
    <xf numFmtId="176" fontId="249" fillId="6" borderId="9" xfId="3" applyNumberFormat="1" applyFont="1" applyFill="1" applyBorder="1" applyAlignment="1">
      <alignment horizontal="left" vertical="center"/>
    </xf>
    <xf numFmtId="176" fontId="249" fillId="6" borderId="9" xfId="3" applyNumberFormat="1" applyFont="1" applyFill="1" applyBorder="1" applyAlignment="1">
      <alignment horizontal="left" vertical="center" wrapText="1"/>
    </xf>
    <xf numFmtId="176" fontId="249" fillId="6" borderId="17" xfId="3" applyNumberFormat="1" applyFont="1" applyFill="1" applyBorder="1" applyAlignment="1">
      <alignment horizontal="left" vertical="center"/>
    </xf>
    <xf numFmtId="176" fontId="249" fillId="6" borderId="62" xfId="3" applyNumberFormat="1" applyFont="1" applyFill="1" applyBorder="1" applyAlignment="1">
      <alignment horizontal="left" vertical="center"/>
    </xf>
    <xf numFmtId="176" fontId="249" fillId="6" borderId="23" xfId="3" applyNumberFormat="1" applyFont="1" applyFill="1" applyBorder="1" applyAlignment="1">
      <alignment horizontal="left" vertical="center"/>
    </xf>
    <xf numFmtId="176" fontId="250" fillId="6" borderId="1" xfId="3" applyNumberFormat="1" applyFont="1" applyFill="1" applyBorder="1" applyAlignment="1">
      <alignment horizontal="left" vertical="center"/>
    </xf>
    <xf numFmtId="176" fontId="250" fillId="6" borderId="24" xfId="3" applyNumberFormat="1" applyFont="1" applyFill="1" applyBorder="1" applyAlignment="1">
      <alignment horizontal="left" vertical="center"/>
    </xf>
    <xf numFmtId="176" fontId="249" fillId="6" borderId="23" xfId="3" applyNumberFormat="1" applyFont="1" applyFill="1" applyBorder="1" applyAlignment="1">
      <alignment horizontal="left" vertical="center" wrapText="1"/>
    </xf>
    <xf numFmtId="176" fontId="249" fillId="6" borderId="25" xfId="3" applyNumberFormat="1" applyFont="1" applyFill="1" applyBorder="1" applyAlignment="1">
      <alignment horizontal="left" vertical="center" wrapText="1"/>
    </xf>
    <xf numFmtId="176" fontId="250" fillId="6" borderId="32" xfId="3" applyNumberFormat="1" applyFont="1" applyFill="1" applyBorder="1" applyAlignment="1">
      <alignment horizontal="left" vertical="center"/>
    </xf>
    <xf numFmtId="176" fontId="250" fillId="6" borderId="49" xfId="3" applyNumberFormat="1" applyFont="1" applyFill="1" applyBorder="1" applyAlignment="1">
      <alignment horizontal="left" vertical="center"/>
    </xf>
    <xf numFmtId="176" fontId="247" fillId="0" borderId="0" xfId="0" applyNumberFormat="1" applyFont="1" applyAlignment="1">
      <alignment horizontal="left" vertical="center"/>
    </xf>
    <xf numFmtId="176" fontId="245" fillId="0" borderId="0" xfId="0" applyNumberFormat="1" applyFont="1" applyAlignment="1">
      <alignment horizontal="left" vertical="center"/>
    </xf>
    <xf numFmtId="176" fontId="245"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1" fillId="15" borderId="0" xfId="9" applyFont="1" applyFill="1" applyAlignment="1">
      <alignment horizontal="left" vertical="center"/>
    </xf>
    <xf numFmtId="0" fontId="242" fillId="15" borderId="121" xfId="9" applyFont="1" applyFill="1" applyBorder="1" applyAlignment="1">
      <alignment horizontal="left" vertical="center"/>
    </xf>
    <xf numFmtId="0" fontId="242" fillId="15" borderId="0" xfId="9" applyFont="1" applyFill="1" applyAlignment="1">
      <alignment horizontal="left" vertical="center"/>
    </xf>
    <xf numFmtId="0" fontId="242" fillId="17" borderId="0" xfId="9" applyFont="1" applyFill="1" applyAlignment="1">
      <alignment horizontal="left" vertical="center"/>
    </xf>
    <xf numFmtId="10" fontId="242" fillId="15" borderId="121" xfId="9" applyNumberFormat="1" applyFont="1" applyFill="1" applyBorder="1" applyAlignment="1">
      <alignment horizontal="left" vertical="center"/>
    </xf>
    <xf numFmtId="10" fontId="242" fillId="15" borderId="0" xfId="9" applyNumberFormat="1" applyFont="1" applyFill="1" applyAlignment="1">
      <alignment horizontal="left" vertical="center"/>
    </xf>
    <xf numFmtId="0" fontId="167" fillId="15" borderId="0" xfId="9" applyFont="1" applyFill="1" applyAlignment="1">
      <alignment horizontal="left" vertical="center"/>
    </xf>
    <xf numFmtId="0" fontId="167" fillId="15" borderId="163" xfId="9" applyFont="1" applyFill="1" applyBorder="1" applyAlignment="1">
      <alignment horizontal="left" vertical="center"/>
    </xf>
    <xf numFmtId="10" fontId="167" fillId="15" borderId="0" xfId="9" applyNumberFormat="1" applyFont="1" applyFill="1" applyAlignment="1">
      <alignment horizontal="left" vertical="center"/>
    </xf>
    <xf numFmtId="10" fontId="167" fillId="15" borderId="163" xfId="9" applyNumberFormat="1" applyFont="1" applyFill="1" applyBorder="1" applyAlignment="1">
      <alignment horizontal="left" vertical="center"/>
    </xf>
    <xf numFmtId="10" fontId="167" fillId="15" borderId="164" xfId="9" applyNumberFormat="1" applyFont="1" applyFill="1" applyBorder="1" applyAlignment="1">
      <alignment horizontal="left" vertical="center"/>
    </xf>
    <xf numFmtId="10" fontId="167"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2" fillId="21" borderId="125" xfId="9" applyFont="1" applyFill="1" applyBorder="1" applyAlignment="1">
      <alignment horizontal="left" vertical="center" wrapText="1"/>
    </xf>
    <xf numFmtId="0" fontId="252" fillId="21" borderId="126" xfId="9" applyFont="1" applyFill="1" applyBorder="1" applyAlignment="1">
      <alignment horizontal="left" vertical="center" wrapText="1"/>
    </xf>
    <xf numFmtId="0" fontId="252" fillId="21" borderId="126" xfId="16" applyFont="1" applyFill="1" applyBorder="1" applyAlignment="1">
      <alignment horizontal="left" vertical="center" wrapText="1"/>
    </xf>
    <xf numFmtId="0" fontId="252" fillId="21" borderId="135" xfId="16" applyFont="1" applyFill="1" applyBorder="1" applyAlignment="1">
      <alignment horizontal="left" vertical="center" wrapText="1"/>
    </xf>
    <xf numFmtId="0" fontId="252"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5" fillId="21" borderId="0" xfId="9" applyFont="1" applyFill="1" applyAlignment="1">
      <alignment horizontal="left" vertical="center"/>
    </xf>
    <xf numFmtId="0" fontId="144"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4" fillId="18" borderId="167" xfId="9" applyFont="1" applyFill="1" applyBorder="1" applyAlignment="1">
      <alignment horizontal="left" vertical="center" wrapText="1"/>
    </xf>
    <xf numFmtId="0" fontId="144" fillId="18" borderId="168" xfId="9" applyFont="1" applyFill="1" applyBorder="1" applyAlignment="1">
      <alignment horizontal="left" vertical="center" wrapText="1"/>
    </xf>
    <xf numFmtId="0" fontId="144" fillId="18" borderId="168" xfId="16" applyFont="1" applyFill="1" applyBorder="1" applyAlignment="1">
      <alignment horizontal="left" vertical="center" wrapText="1"/>
    </xf>
    <xf numFmtId="0" fontId="144" fillId="18" borderId="169" xfId="16" applyFont="1" applyFill="1" applyBorder="1" applyAlignment="1">
      <alignment horizontal="left" vertical="center" wrapText="1"/>
    </xf>
    <xf numFmtId="0" fontId="144"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5" fillId="18" borderId="171" xfId="9" applyFont="1" applyFill="1" applyBorder="1" applyAlignment="1">
      <alignment horizontal="left" vertical="center"/>
    </xf>
    <xf numFmtId="0" fontId="142"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5" fillId="6" borderId="40" xfId="0" applyFont="1" applyFill="1" applyBorder="1" applyAlignment="1">
      <alignment horizontal="left" vertical="center"/>
    </xf>
    <xf numFmtId="0" fontId="245" fillId="6" borderId="17" xfId="0" applyFont="1" applyFill="1" applyBorder="1" applyAlignment="1">
      <alignment horizontal="left" vertical="center"/>
    </xf>
    <xf numFmtId="0" fontId="245" fillId="6" borderId="62" xfId="0" applyFont="1" applyFill="1" applyBorder="1" applyAlignment="1">
      <alignment horizontal="left" vertical="center"/>
    </xf>
    <xf numFmtId="0" fontId="254" fillId="6" borderId="47" xfId="0" applyFont="1" applyFill="1" applyBorder="1">
      <alignment vertical="center"/>
    </xf>
    <xf numFmtId="0" fontId="254" fillId="6" borderId="43" xfId="0" applyFont="1" applyFill="1" applyBorder="1" applyAlignment="1">
      <alignment horizontal="right" vertical="center"/>
    </xf>
    <xf numFmtId="0" fontId="254" fillId="6" borderId="9" xfId="0" applyFont="1" applyFill="1" applyBorder="1" applyAlignment="1">
      <alignment horizontal="left" vertical="center" wrapText="1"/>
    </xf>
    <xf numFmtId="0" fontId="255" fillId="6" borderId="19" xfId="0" applyFont="1" applyFill="1" applyBorder="1" applyAlignment="1">
      <alignment horizontal="left" vertical="center"/>
    </xf>
    <xf numFmtId="0" fontId="253" fillId="6" borderId="28" xfId="0" applyFont="1" applyFill="1" applyBorder="1" applyAlignment="1">
      <alignment horizontal="left" vertical="center"/>
    </xf>
    <xf numFmtId="0" fontId="255" fillId="6" borderId="18" xfId="0" applyFont="1" applyFill="1" applyBorder="1" applyAlignment="1">
      <alignment horizontal="left" vertical="center"/>
    </xf>
    <xf numFmtId="0" fontId="254" fillId="6" borderId="1" xfId="0" applyFont="1" applyFill="1" applyBorder="1" applyAlignment="1">
      <alignment horizontal="left" vertical="center" wrapText="1"/>
    </xf>
    <xf numFmtId="0" fontId="254" fillId="6" borderId="2" xfId="0" applyFont="1" applyFill="1" applyBorder="1" applyAlignment="1">
      <alignment horizontal="left" vertical="center" wrapText="1"/>
    </xf>
    <xf numFmtId="0" fontId="255" fillId="6" borderId="0" xfId="0" applyFont="1" applyFill="1" applyAlignment="1">
      <alignment horizontal="left" vertical="center"/>
    </xf>
    <xf numFmtId="0" fontId="253" fillId="6" borderId="32" xfId="0" applyFont="1" applyFill="1" applyBorder="1" applyAlignment="1">
      <alignment horizontal="left" vertical="center"/>
    </xf>
    <xf numFmtId="0" fontId="253" fillId="6" borderId="33" xfId="0" applyFont="1" applyFill="1" applyBorder="1" applyAlignment="1">
      <alignment horizontal="left" vertical="center"/>
    </xf>
    <xf numFmtId="0" fontId="254" fillId="6" borderId="40" xfId="0" applyFont="1" applyFill="1" applyBorder="1" applyAlignment="1">
      <alignment horizontal="left" vertical="center" wrapText="1"/>
    </xf>
    <xf numFmtId="0" fontId="254" fillId="6" borderId="74" xfId="0" applyFont="1" applyFill="1" applyBorder="1" applyAlignment="1">
      <alignment horizontal="left" vertical="center" wrapText="1"/>
    </xf>
    <xf numFmtId="0" fontId="254" fillId="6" borderId="32" xfId="0" applyFont="1" applyFill="1" applyBorder="1" applyAlignment="1">
      <alignment horizontal="left" vertical="center" wrapText="1"/>
    </xf>
    <xf numFmtId="0" fontId="254" fillId="6" borderId="14" xfId="0" applyFont="1" applyFill="1" applyBorder="1" applyAlignment="1">
      <alignment horizontal="left" vertical="center" wrapText="1"/>
    </xf>
    <xf numFmtId="0" fontId="254" fillId="6" borderId="1" xfId="18" applyNumberFormat="1" applyFont="1" applyFill="1" applyBorder="1" applyAlignment="1">
      <alignment horizontal="left" vertical="center" wrapText="1"/>
    </xf>
    <xf numFmtId="0" fontId="254" fillId="6" borderId="15" xfId="0" applyFont="1" applyFill="1" applyBorder="1" applyAlignment="1">
      <alignment horizontal="left" vertical="center" wrapText="1"/>
    </xf>
    <xf numFmtId="0" fontId="254" fillId="6" borderId="13" xfId="0" applyFont="1" applyFill="1" applyBorder="1" applyAlignment="1">
      <alignment horizontal="left" vertical="center" wrapText="1"/>
    </xf>
    <xf numFmtId="0" fontId="254" fillId="6" borderId="10" xfId="0" applyFont="1" applyFill="1" applyBorder="1" applyAlignment="1">
      <alignment horizontal="left" vertical="center" wrapText="1"/>
    </xf>
    <xf numFmtId="0" fontId="254" fillId="6" borderId="24" xfId="0" applyFont="1" applyFill="1" applyBorder="1" applyAlignment="1">
      <alignment horizontal="left" vertical="center" wrapText="1"/>
    </xf>
    <xf numFmtId="0" fontId="254" fillId="6" borderId="12" xfId="0" applyFont="1" applyFill="1" applyBorder="1" applyAlignment="1">
      <alignment horizontal="left" vertical="center" wrapText="1"/>
    </xf>
    <xf numFmtId="0" fontId="254" fillId="6" borderId="49" xfId="0" applyFont="1" applyFill="1" applyBorder="1" applyAlignment="1">
      <alignment horizontal="left" vertical="center" wrapText="1"/>
    </xf>
    <xf numFmtId="0" fontId="254" fillId="6" borderId="61" xfId="0" applyFont="1" applyFill="1" applyBorder="1" applyAlignment="1">
      <alignment horizontal="left" vertical="center" wrapText="1"/>
    </xf>
    <xf numFmtId="0" fontId="254" fillId="6" borderId="6" xfId="0" applyFont="1" applyFill="1" applyBorder="1" applyAlignment="1">
      <alignment horizontal="left" vertical="center" wrapText="1"/>
    </xf>
    <xf numFmtId="0" fontId="254" fillId="6" borderId="23"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7" fillId="6" borderId="9" xfId="0" applyFont="1" applyFill="1" applyBorder="1" applyAlignment="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7" fillId="6" borderId="1" xfId="0" applyFont="1" applyFill="1" applyBorder="1" applyAlignment="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7" fillId="6" borderId="13" xfId="0" applyFont="1" applyFill="1" applyBorder="1" applyAlignment="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0" fontId="259" fillId="6" borderId="1" xfId="0" applyFont="1" applyFill="1" applyBorder="1" applyAlignment="1">
      <alignment horizontal="left" vertical="center" wrapText="1"/>
    </xf>
    <xf numFmtId="0" fontId="259" fillId="6" borderId="13" xfId="0" applyFont="1" applyFill="1" applyBorder="1" applyAlignment="1">
      <alignment horizontal="left" vertical="center" wrapText="1"/>
    </xf>
    <xf numFmtId="0" fontId="257" fillId="6" borderId="6" xfId="0" applyFont="1" applyFill="1" applyBorder="1" applyAlignment="1">
      <alignment horizontal="left" vertical="center" wrapText="1"/>
    </xf>
    <xf numFmtId="0" fontId="257"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7"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7" fillId="6" borderId="1" xfId="18" applyFont="1" applyFill="1" applyBorder="1" applyAlignment="1">
      <alignment horizontal="left" vertical="center" wrapText="1"/>
    </xf>
    <xf numFmtId="0" fontId="257" fillId="6" borderId="25" xfId="0" applyFont="1" applyFill="1" applyBorder="1" applyAlignment="1">
      <alignment horizontal="left" vertical="center" wrapText="1"/>
    </xf>
    <xf numFmtId="0" fontId="257" fillId="6" borderId="32" xfId="0" applyFont="1" applyFill="1" applyBorder="1" applyAlignment="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0" fontId="262" fillId="0" borderId="0" xfId="0" applyFont="1" applyAlignment="1">
      <alignment horizontal="left" vertical="center"/>
    </xf>
    <xf numFmtId="0" fontId="96" fillId="0" borderId="0" xfId="0" applyFont="1" applyAlignment="1">
      <alignment horizontal="right" vertical="center"/>
    </xf>
    <xf numFmtId="0" fontId="263" fillId="0" borderId="1" xfId="0" applyFont="1" applyBorder="1" applyAlignment="1">
      <alignment horizontal="left" vertical="center"/>
    </xf>
    <xf numFmtId="0" fontId="263" fillId="0" borderId="1" xfId="0" applyFont="1" applyBorder="1" applyAlignment="1">
      <alignment horizontal="left" vertical="center" wrapText="1"/>
    </xf>
    <xf numFmtId="0" fontId="264" fillId="0" borderId="1" xfId="0" applyFont="1" applyBorder="1" applyAlignment="1">
      <alignment horizontal="left" vertical="center"/>
    </xf>
    <xf numFmtId="0" fontId="265"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3"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7" fillId="0" borderId="1" xfId="0" applyFont="1" applyBorder="1" applyAlignment="1" applyProtection="1">
      <alignment horizontal="left" vertical="center" wrapText="1"/>
      <protection locked="0"/>
    </xf>
    <xf numFmtId="0" fontId="167"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69"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60"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7" fillId="0" borderId="0" xfId="9" applyFont="1">
      <alignment vertical="center"/>
    </xf>
    <xf numFmtId="0" fontId="96"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6"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9"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9" fillId="6" borderId="1" xfId="0" applyNumberFormat="1" applyFont="1" applyFill="1" applyBorder="1" applyAlignment="1" applyProtection="1">
      <alignment horizontal="left" vertical="center"/>
      <protection locked="0"/>
    </xf>
    <xf numFmtId="0" fontId="269" fillId="0" borderId="0" xfId="0" applyFont="1" applyAlignment="1" applyProtection="1">
      <alignment horizontal="left" vertical="center"/>
      <protection locked="0"/>
    </xf>
    <xf numFmtId="0" fontId="96" fillId="9" borderId="1" xfId="0" applyFont="1" applyFill="1" applyBorder="1" applyAlignment="1">
      <alignment horizontal="left" vertical="center"/>
    </xf>
    <xf numFmtId="0" fontId="0" fillId="0" borderId="1" xfId="0" applyBorder="1" applyAlignment="1">
      <alignment horizontal="left" vertical="center"/>
    </xf>
    <xf numFmtId="0" fontId="0" fillId="9" borderId="1" xfId="0" applyFill="1" applyBorder="1" applyAlignment="1">
      <alignment horizontal="left" vertical="center"/>
    </xf>
    <xf numFmtId="0" fontId="58" fillId="12" borderId="0" xfId="12" applyFont="1" applyFill="1" applyAlignment="1" applyProtection="1">
      <alignment horizontal="left"/>
      <protection locked="0"/>
    </xf>
    <xf numFmtId="0" fontId="270" fillId="7" borderId="0" xfId="0" applyFont="1" applyFill="1" applyAlignment="1" applyProtection="1">
      <alignment horizontal="left" vertical="center"/>
      <protection locked="0"/>
    </xf>
    <xf numFmtId="0" fontId="78" fillId="7" borderId="0" xfId="0" applyFont="1" applyFill="1" applyAlignment="1" applyProtection="1">
      <alignment horizontal="left" vertical="center"/>
      <protection locked="0"/>
    </xf>
    <xf numFmtId="0" fontId="271" fillId="0" borderId="1" xfId="0" applyFont="1" applyBorder="1" applyAlignment="1">
      <alignment horizontal="left" vertical="center"/>
    </xf>
    <xf numFmtId="0" fontId="272" fillId="0" borderId="0" xfId="4" applyFont="1" applyAlignment="1">
      <alignment horizontal="left" vertical="center"/>
    </xf>
    <xf numFmtId="0" fontId="37" fillId="0" borderId="0" xfId="4" applyAlignment="1">
      <alignment horizontal="left" vertical="center"/>
    </xf>
    <xf numFmtId="14" fontId="37" fillId="0" borderId="0" xfId="4" applyNumberFormat="1" applyAlignment="1">
      <alignment horizontal="left" vertical="center"/>
    </xf>
    <xf numFmtId="43" fontId="0" fillId="0" borderId="0" xfId="19" applyFont="1" applyAlignment="1">
      <alignment horizontal="left" vertical="center"/>
    </xf>
    <xf numFmtId="0" fontId="136" fillId="0" borderId="1" xfId="4" applyFont="1" applyBorder="1" applyAlignment="1">
      <alignment horizontal="left" vertical="center"/>
    </xf>
    <xf numFmtId="43" fontId="136" fillId="0" borderId="1" xfId="19" applyFont="1" applyBorder="1" applyAlignment="1">
      <alignment horizontal="left" vertical="center"/>
    </xf>
    <xf numFmtId="0" fontId="136" fillId="0" borderId="0" xfId="4" applyFont="1" applyAlignment="1">
      <alignment horizontal="left" vertical="center"/>
    </xf>
    <xf numFmtId="0" fontId="37" fillId="0" borderId="1" xfId="4" applyBorder="1" applyAlignment="1">
      <alignment horizontal="left" vertical="center"/>
    </xf>
    <xf numFmtId="43" fontId="0" fillId="0" borderId="1" xfId="19" applyFont="1" applyBorder="1" applyAlignment="1">
      <alignment horizontal="left" vertical="center"/>
    </xf>
    <xf numFmtId="43" fontId="37" fillId="0" borderId="0" xfId="4" applyNumberFormat="1" applyAlignment="1">
      <alignment horizontal="left" vertical="center"/>
    </xf>
    <xf numFmtId="0" fontId="4" fillId="7" borderId="1" xfId="4" applyFont="1" applyFill="1" applyBorder="1" applyAlignment="1">
      <alignment horizontal="left" vertical="center"/>
    </xf>
    <xf numFmtId="0" fontId="4" fillId="0" borderId="1" xfId="4" applyFont="1" applyBorder="1" applyAlignment="1">
      <alignment horizontal="left" vertical="center"/>
    </xf>
    <xf numFmtId="10" fontId="4" fillId="0" borderId="1" xfId="4" applyNumberFormat="1" applyFont="1" applyBorder="1" applyAlignment="1">
      <alignment horizontal="left" vertical="center"/>
    </xf>
    <xf numFmtId="0" fontId="0" fillId="0" borderId="0" xfId="19" applyNumberFormat="1" applyFont="1" applyAlignment="1">
      <alignment horizontal="left" vertical="center"/>
    </xf>
    <xf numFmtId="0" fontId="96" fillId="0" borderId="0" xfId="19" applyNumberFormat="1" applyFont="1" applyAlignment="1">
      <alignment horizontal="left" vertical="center"/>
    </xf>
    <xf numFmtId="0" fontId="95" fillId="0" borderId="0" xfId="4" applyFont="1" applyAlignment="1">
      <alignment horizontal="left" vertical="center"/>
    </xf>
    <xf numFmtId="0" fontId="37" fillId="0" borderId="1" xfId="4" applyBorder="1" applyAlignment="1">
      <alignment horizontal="left" vertical="center" wrapText="1"/>
    </xf>
    <xf numFmtId="49" fontId="37" fillId="9" borderId="1" xfId="4" applyNumberFormat="1" applyFill="1" applyBorder="1" applyAlignment="1">
      <alignment horizontal="left" vertical="center"/>
    </xf>
    <xf numFmtId="0" fontId="37" fillId="9" borderId="1" xfId="4" applyFill="1" applyBorder="1" applyAlignment="1">
      <alignment horizontal="left" vertical="center"/>
    </xf>
    <xf numFmtId="0" fontId="0" fillId="9" borderId="1" xfId="19" applyNumberFormat="1" applyFont="1" applyFill="1" applyBorder="1" applyAlignment="1">
      <alignment horizontal="left" vertical="center"/>
    </xf>
    <xf numFmtId="43" fontId="0" fillId="9" borderId="1" xfId="19" applyFont="1" applyFill="1" applyBorder="1" applyAlignment="1">
      <alignment horizontal="left" vertical="center"/>
    </xf>
    <xf numFmtId="49" fontId="37" fillId="22" borderId="1" xfId="4" applyNumberFormat="1" applyFill="1" applyBorder="1" applyAlignment="1">
      <alignment horizontal="left" vertical="center"/>
    </xf>
    <xf numFmtId="0" fontId="37" fillId="22" borderId="1" xfId="4" applyFill="1" applyBorder="1" applyAlignment="1">
      <alignment horizontal="left" vertical="center"/>
    </xf>
    <xf numFmtId="43" fontId="0" fillId="22" borderId="1" xfId="19" applyFont="1" applyFill="1" applyBorder="1" applyAlignment="1">
      <alignment horizontal="left" vertical="center"/>
    </xf>
    <xf numFmtId="0" fontId="37" fillId="10" borderId="1" xfId="4" applyFill="1" applyBorder="1" applyAlignment="1">
      <alignment horizontal="left" vertical="center"/>
    </xf>
    <xf numFmtId="43" fontId="0" fillId="10" borderId="1" xfId="19" applyFont="1" applyFill="1" applyBorder="1" applyAlignment="1">
      <alignment horizontal="left" vertical="center"/>
    </xf>
    <xf numFmtId="14" fontId="37" fillId="10" borderId="0" xfId="4" applyNumberFormat="1" applyFill="1" applyAlignment="1">
      <alignment horizontal="left" vertical="center"/>
    </xf>
    <xf numFmtId="0" fontId="274" fillId="12" borderId="0" xfId="12" applyFont="1" applyFill="1" applyAlignment="1" applyProtection="1">
      <alignment horizontal="left"/>
      <protection locked="0"/>
    </xf>
    <xf numFmtId="0" fontId="52" fillId="6" borderId="1" xfId="12" applyFont="1" applyFill="1" applyBorder="1" applyAlignment="1">
      <alignment horizontal="left" vertical="center"/>
    </xf>
    <xf numFmtId="0" fontId="52" fillId="6" borderId="13" xfId="12" applyFont="1" applyFill="1" applyBorder="1" applyAlignment="1">
      <alignment horizontal="left" vertical="center" wrapText="1"/>
    </xf>
    <xf numFmtId="0" fontId="52" fillId="6" borderId="1" xfId="12" applyFont="1" applyFill="1" applyBorder="1" applyAlignment="1">
      <alignment horizontal="left" vertical="center" wrapText="1"/>
    </xf>
    <xf numFmtId="0" fontId="52" fillId="0" borderId="1" xfId="12" applyFont="1" applyBorder="1" applyAlignment="1" applyProtection="1">
      <alignment horizontal="left"/>
      <protection locked="0"/>
    </xf>
    <xf numFmtId="0" fontId="52" fillId="0" borderId="13" xfId="12" applyFont="1" applyBorder="1" applyAlignment="1" applyProtection="1">
      <alignment horizontal="left" vertical="center" wrapText="1"/>
      <protection locked="0"/>
    </xf>
    <xf numFmtId="0" fontId="52" fillId="0" borderId="1" xfId="12" applyFont="1" applyBorder="1" applyAlignment="1" applyProtection="1">
      <alignment horizontal="left" vertical="center" wrapText="1"/>
      <protection locked="0"/>
    </xf>
    <xf numFmtId="0" fontId="52" fillId="12" borderId="0" xfId="12" applyFont="1" applyFill="1" applyAlignment="1" applyProtection="1">
      <alignment horizontal="left" vertical="center" wrapText="1"/>
      <protection locked="0"/>
    </xf>
    <xf numFmtId="14" fontId="52" fillId="6" borderId="1" xfId="12" applyNumberFormat="1" applyFont="1" applyFill="1" applyBorder="1" applyAlignment="1">
      <alignment horizontal="left" vertical="center" wrapText="1"/>
    </xf>
    <xf numFmtId="0" fontId="4" fillId="0" borderId="0" xfId="4" applyFont="1" applyAlignment="1">
      <alignment horizontal="left" vertical="center"/>
    </xf>
    <xf numFmtId="0" fontId="95" fillId="0" borderId="44"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10" fontId="45" fillId="0" borderId="37" xfId="0" applyNumberFormat="1" applyFont="1" applyBorder="1" applyAlignment="1" applyProtection="1">
      <alignment horizontal="center" vertical="center" wrapText="1"/>
      <protection locked="0"/>
    </xf>
    <xf numFmtId="0" fontId="129" fillId="0" borderId="5" xfId="0" applyFont="1" applyBorder="1" applyAlignment="1" applyProtection="1">
      <alignment horizontal="center" vertical="center" wrapText="1"/>
      <protection locked="0"/>
    </xf>
    <xf numFmtId="0" fontId="279" fillId="0" borderId="0" xfId="21">
      <alignment vertical="center"/>
    </xf>
    <xf numFmtId="0" fontId="129" fillId="0" borderId="44" xfId="0" applyFont="1" applyBorder="1" applyAlignment="1" applyProtection="1">
      <alignment horizontal="center" vertical="center" wrapText="1"/>
      <protection locked="0"/>
    </xf>
    <xf numFmtId="0" fontId="129" fillId="0" borderId="51" xfId="0" applyFont="1" applyBorder="1" applyAlignment="1" applyProtection="1">
      <alignment horizontal="center" vertical="center" wrapText="1"/>
      <protection locked="0"/>
    </xf>
    <xf numFmtId="0" fontId="45" fillId="0" borderId="13" xfId="10" applyFont="1" applyBorder="1" applyAlignment="1" applyProtection="1">
      <alignment horizontal="center" vertical="center" wrapText="1"/>
      <protection locked="0"/>
    </xf>
    <xf numFmtId="0" fontId="129" fillId="0" borderId="2" xfId="10" applyFont="1" applyBorder="1" applyAlignment="1" applyProtection="1">
      <alignment horizontal="center" vertical="center" wrapText="1"/>
      <protection locked="0"/>
    </xf>
    <xf numFmtId="0" fontId="129" fillId="0" borderId="44" xfId="10" applyFont="1" applyBorder="1" applyAlignment="1" applyProtection="1">
      <alignment horizontal="center" vertical="center" wrapText="1"/>
      <protection locked="0"/>
    </xf>
    <xf numFmtId="0" fontId="95" fillId="0" borderId="44" xfId="10" applyFont="1" applyBorder="1" applyAlignment="1" applyProtection="1">
      <alignment horizontal="center" vertical="center" wrapText="1"/>
      <protection locked="0"/>
    </xf>
    <xf numFmtId="0" fontId="58" fillId="0" borderId="0" xfId="12" applyFont="1" applyAlignment="1" applyProtection="1">
      <alignment horizontal="left"/>
      <protection locked="0"/>
    </xf>
    <xf numFmtId="0" fontId="136" fillId="12" borderId="0" xfId="12" applyFont="1" applyFill="1" applyAlignment="1" applyProtection="1">
      <alignment horizontal="left"/>
      <protection locked="0"/>
    </xf>
    <xf numFmtId="0" fontId="117" fillId="12" borderId="0" xfId="12" applyFont="1" applyFill="1" applyAlignment="1" applyProtection="1">
      <alignment horizontal="left"/>
      <protection locked="0"/>
    </xf>
    <xf numFmtId="0" fontId="117" fillId="0" borderId="0" xfId="12" applyFont="1" applyAlignment="1" applyProtection="1">
      <alignment horizontal="left"/>
      <protection locked="0"/>
    </xf>
    <xf numFmtId="0" fontId="185"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5" fillId="0" borderId="87" xfId="7" applyFont="1" applyBorder="1" applyAlignment="1">
      <alignment horizontal="center" vertical="center"/>
    </xf>
    <xf numFmtId="0" fontId="131" fillId="0" borderId="0" xfId="7" applyFont="1" applyAlignment="1">
      <alignment horizontal="left" vertical="center" wrapText="1"/>
    </xf>
    <xf numFmtId="0" fontId="195"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46"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204" fillId="0" borderId="0" xfId="0" applyFont="1" applyAlignment="1">
      <alignment horizontal="center" vertical="center"/>
    </xf>
    <xf numFmtId="0" fontId="62" fillId="0" borderId="44" xfId="0" applyFont="1" applyBorder="1" applyAlignment="1">
      <alignment horizontal="center" vertical="center" wrapText="1"/>
    </xf>
    <xf numFmtId="0" fontId="126" fillId="0" borderId="0" xfId="0" applyFont="1" applyAlignment="1">
      <alignment horizontal="left" vertical="center" wrapText="1"/>
    </xf>
    <xf numFmtId="192" fontId="199" fillId="0" borderId="0" xfId="0" applyNumberFormat="1" applyFont="1" applyAlignment="1" applyProtection="1">
      <alignment horizontal="right" vertical="center"/>
      <protection locked="0"/>
    </xf>
    <xf numFmtId="0" fontId="212" fillId="0" borderId="0" xfId="0" applyFont="1" applyAlignment="1" applyProtection="1">
      <alignment horizontal="left" vertical="center" wrapText="1"/>
      <protection locked="0"/>
    </xf>
    <xf numFmtId="0" fontId="99" fillId="0" borderId="0" xfId="0" applyFont="1" applyAlignment="1">
      <alignment vertical="center" wrapText="1"/>
    </xf>
    <xf numFmtId="0" fontId="165" fillId="0" borderId="0" xfId="0" applyFont="1" applyAlignment="1" applyProtection="1">
      <alignment vertical="center" wrapText="1"/>
      <protection locked="0"/>
    </xf>
    <xf numFmtId="0" fontId="125" fillId="0" borderId="0" xfId="0" applyFont="1" applyAlignment="1">
      <alignment horizontal="left" vertical="center" wrapText="1"/>
    </xf>
    <xf numFmtId="0" fontId="195" fillId="0" borderId="0" xfId="0" applyFont="1" applyAlignment="1">
      <alignment horizontal="left" vertical="center"/>
    </xf>
    <xf numFmtId="0" fontId="195" fillId="0" borderId="0" xfId="0" applyFont="1" applyAlignment="1">
      <alignment horizontal="justify" vertical="center" wrapText="1"/>
    </xf>
    <xf numFmtId="0" fontId="62" fillId="0" borderId="0" xfId="0" applyFont="1" applyAlignment="1">
      <alignment horizontal="left" vertical="center" wrapText="1"/>
    </xf>
    <xf numFmtId="0" fontId="216"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5" fillId="6" borderId="60" xfId="0" applyFont="1" applyFill="1" applyBorder="1" applyAlignment="1">
      <alignment horizontal="left" vertical="center"/>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167" fillId="0" borderId="4" xfId="0" applyNumberFormat="1" applyFont="1" applyBorder="1" applyAlignment="1" applyProtection="1">
      <alignment horizontal="left" vertical="center"/>
      <protection locked="0"/>
    </xf>
    <xf numFmtId="49" fontId="167" fillId="0" borderId="54" xfId="0" applyNumberFormat="1" applyFont="1" applyBorder="1" applyAlignment="1" applyProtection="1">
      <alignment horizontal="left" vertical="center"/>
      <protection locked="0"/>
    </xf>
    <xf numFmtId="49" fontId="167" fillId="0" borderId="3" xfId="0" applyNumberFormat="1" applyFont="1" applyBorder="1" applyAlignment="1" applyProtection="1">
      <alignment horizontal="left" vertical="center"/>
      <protection locked="0"/>
    </xf>
    <xf numFmtId="0" fontId="167" fillId="0" borderId="5" xfId="0" applyFont="1" applyBorder="1" applyAlignment="1" applyProtection="1">
      <alignment horizontal="left" vertical="center"/>
      <protection locked="0"/>
    </xf>
    <xf numFmtId="0" fontId="167" fillId="0" borderId="54" xfId="0" applyFont="1" applyBorder="1" applyAlignment="1" applyProtection="1">
      <alignment horizontal="left" vertical="center"/>
      <protection locked="0"/>
    </xf>
    <xf numFmtId="0" fontId="167" fillId="0" borderId="3" xfId="0" applyFont="1" applyBorder="1" applyAlignment="1" applyProtection="1">
      <alignment horizontal="left" vertical="center"/>
      <protection locked="0"/>
    </xf>
    <xf numFmtId="49" fontId="167" fillId="7" borderId="5" xfId="0" applyNumberFormat="1" applyFont="1" applyFill="1" applyBorder="1" applyAlignment="1" applyProtection="1">
      <alignment horizontal="left" vertical="center"/>
      <protection locked="0"/>
    </xf>
    <xf numFmtId="49" fontId="167" fillId="7" borderId="54" xfId="0" applyNumberFormat="1" applyFont="1" applyFill="1" applyBorder="1" applyAlignment="1" applyProtection="1">
      <alignment horizontal="left" vertical="center"/>
      <protection locked="0"/>
    </xf>
    <xf numFmtId="49" fontId="167" fillId="7" borderId="3" xfId="0" applyNumberFormat="1" applyFont="1" applyFill="1" applyBorder="1" applyAlignment="1" applyProtection="1">
      <alignment horizontal="left" vertical="center"/>
      <protection locked="0"/>
    </xf>
    <xf numFmtId="49" fontId="167" fillId="7" borderId="85" xfId="0" applyNumberFormat="1" applyFont="1" applyFill="1" applyBorder="1" applyAlignment="1" applyProtection="1">
      <alignment horizontal="left" vertical="center"/>
      <protection locked="0"/>
    </xf>
    <xf numFmtId="49" fontId="167" fillId="7" borderId="88" xfId="0" applyNumberFormat="1" applyFont="1" applyFill="1" applyBorder="1" applyAlignment="1" applyProtection="1">
      <alignment horizontal="left" vertical="center"/>
      <protection locked="0"/>
    </xf>
    <xf numFmtId="49" fontId="167" fillId="7" borderId="118" xfId="0" applyNumberFormat="1" applyFont="1" applyFill="1" applyBorder="1" applyAlignment="1" applyProtection="1">
      <alignment horizontal="left" vertical="center"/>
      <protection locked="0"/>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48" fillId="6" borderId="54" xfId="0" applyFont="1" applyFill="1" applyBorder="1" applyAlignment="1">
      <alignment horizontal="left" vertical="center" wrapText="1"/>
    </xf>
    <xf numFmtId="0" fontId="45" fillId="6" borderId="1"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0" fontId="47" fillId="6" borderId="21" xfId="0" applyFont="1" applyFill="1" applyBorder="1" applyAlignment="1">
      <alignment horizontal="center" vertical="center"/>
    </xf>
    <xf numFmtId="0" fontId="53" fillId="6" borderId="47" xfId="0" applyFont="1" applyFill="1" applyBorder="1" applyAlignment="1">
      <alignment horizontal="center" vertical="center"/>
    </xf>
    <xf numFmtId="0" fontId="45" fillId="6" borderId="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5" fillId="0" borderId="13"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10" fontId="48" fillId="6" borderId="48" xfId="0" applyNumberFormat="1"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47" fillId="6" borderId="23" xfId="0" applyFont="1" applyFill="1" applyBorder="1" applyAlignment="1">
      <alignment horizontal="left" vertical="center"/>
    </xf>
    <xf numFmtId="0" fontId="47" fillId="6" borderId="1" xfId="0" applyFont="1" applyFill="1" applyBorder="1" applyAlignment="1">
      <alignment horizontal="left" vertical="center"/>
    </xf>
    <xf numFmtId="0" fontId="47" fillId="6" borderId="1" xfId="0" applyFont="1" applyFill="1" applyBorder="1" applyAlignment="1">
      <alignment horizontal="left" vertical="center" wrapText="1"/>
    </xf>
    <xf numFmtId="0" fontId="126" fillId="6" borderId="23" xfId="0" applyFont="1" applyFill="1" applyBorder="1" applyAlignment="1">
      <alignment horizontal="left" vertical="center"/>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6" borderId="5"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3"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203" fillId="6" borderId="5" xfId="0" applyFont="1" applyFill="1" applyBorder="1" applyAlignment="1">
      <alignment horizontal="center" vertical="center"/>
    </xf>
    <xf numFmtId="0" fontId="203" fillId="6" borderId="3" xfId="0" applyFont="1" applyFill="1" applyBorder="1" applyAlignment="1">
      <alignment horizontal="center" vertical="center"/>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6" borderId="23" xfId="0" applyFont="1" applyFill="1" applyBorder="1" applyAlignment="1">
      <alignment horizontal="center" vertical="center" wrapText="1"/>
    </xf>
    <xf numFmtId="0" fontId="52" fillId="6" borderId="13"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165" fillId="0" borderId="11" xfId="0" applyFont="1" applyBorder="1" applyAlignment="1" applyProtection="1">
      <alignment horizontal="center" vertical="center" wrapText="1"/>
      <protection locked="0"/>
    </xf>
    <xf numFmtId="0" fontId="165" fillId="0" borderId="61" xfId="0" applyFont="1" applyBorder="1" applyAlignment="1" applyProtection="1">
      <alignment horizontal="center" vertical="center" wrapText="1"/>
      <protection locked="0"/>
    </xf>
    <xf numFmtId="0" fontId="165" fillId="0" borderId="23" xfId="0" applyFont="1" applyBorder="1" applyAlignment="1" applyProtection="1">
      <alignment horizontal="center" vertical="center" wrapText="1"/>
      <protection locked="0"/>
    </xf>
    <xf numFmtId="0" fontId="165" fillId="0" borderId="24" xfId="0" applyFont="1" applyBorder="1" applyAlignment="1" applyProtection="1">
      <alignment horizontal="center" vertical="center" wrapText="1"/>
      <protection locked="0"/>
    </xf>
    <xf numFmtId="0" fontId="45" fillId="6" borderId="5" xfId="0" applyFont="1" applyFill="1" applyBorder="1" applyAlignment="1">
      <alignment horizontal="center" vertical="center"/>
    </xf>
    <xf numFmtId="0" fontId="45" fillId="6" borderId="3" xfId="0" applyFont="1" applyFill="1" applyBorder="1" applyAlignment="1">
      <alignment horizontal="center" vertical="center"/>
    </xf>
    <xf numFmtId="0" fontId="45" fillId="6" borderId="54" xfId="0" applyFont="1" applyFill="1" applyBorder="1" applyAlignment="1">
      <alignment horizontal="center" vertical="center"/>
    </xf>
    <xf numFmtId="0" fontId="165" fillId="0" borderId="22" xfId="0" applyFont="1" applyBorder="1" applyAlignment="1" applyProtection="1">
      <alignment horizontal="center" vertical="center" wrapText="1"/>
      <protection locked="0"/>
    </xf>
    <xf numFmtId="0" fontId="165" fillId="0" borderId="46" xfId="0" applyFont="1" applyBorder="1" applyAlignment="1" applyProtection="1">
      <alignment horizontal="center" vertical="center" wrapText="1"/>
      <protection locked="0"/>
    </xf>
    <xf numFmtId="0" fontId="165" fillId="0" borderId="3" xfId="0" applyFont="1" applyBorder="1" applyAlignment="1" applyProtection="1">
      <alignment horizontal="center" vertical="center" wrapText="1"/>
      <protection locked="0"/>
    </xf>
    <xf numFmtId="0" fontId="165" fillId="0" borderId="5" xfId="0" applyFont="1" applyBorder="1" applyAlignment="1" applyProtection="1">
      <alignment horizontal="center" vertical="center" wrapText="1"/>
      <protection locked="0"/>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52" fillId="6" borderId="9" xfId="0" applyFont="1" applyFill="1" applyBorder="1" applyAlignment="1">
      <alignment horizontal="center" vertical="center"/>
    </xf>
    <xf numFmtId="0" fontId="45" fillId="6" borderId="37" xfId="0" applyFont="1" applyFill="1" applyBorder="1" applyAlignment="1">
      <alignment horizontal="center" vertical="center"/>
    </xf>
    <xf numFmtId="0" fontId="52" fillId="6" borderId="17" xfId="0" applyFont="1" applyFill="1" applyBorder="1" applyAlignment="1">
      <alignment horizontal="center" vertical="center"/>
    </xf>
    <xf numFmtId="0" fontId="52" fillId="6" borderId="13" xfId="0" applyFont="1" applyFill="1" applyBorder="1" applyAlignment="1">
      <alignment horizontal="center" vertical="center" textRotation="255" wrapText="1"/>
    </xf>
    <xf numFmtId="0" fontId="207" fillId="0" borderId="23" xfId="0" applyFont="1" applyBorder="1" applyAlignment="1" applyProtection="1">
      <alignment horizontal="center" vertical="center" wrapText="1"/>
      <protection locked="0"/>
    </xf>
    <xf numFmtId="0" fontId="207" fillId="0" borderId="3" xfId="0" applyFont="1" applyBorder="1" applyAlignment="1" applyProtection="1">
      <alignment horizontal="center" vertical="center" wrapText="1"/>
      <protection locked="0"/>
    </xf>
    <xf numFmtId="0" fontId="51" fillId="6" borderId="1" xfId="0" applyFont="1" applyFill="1" applyBorder="1" applyAlignment="1">
      <alignment horizontal="center" vertical="center"/>
    </xf>
    <xf numFmtId="185" fontId="52" fillId="6" borderId="1" xfId="0" applyNumberFormat="1" applyFont="1" applyFill="1" applyBorder="1" applyAlignment="1">
      <alignment horizontal="center" vertical="center"/>
    </xf>
    <xf numFmtId="185" fontId="51" fillId="18"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40" fillId="6" borderId="13" xfId="0" applyFont="1" applyFill="1" applyBorder="1" applyAlignment="1">
      <alignment vertical="center" wrapText="1"/>
    </xf>
    <xf numFmtId="0" fontId="140"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272" fillId="0" borderId="0" xfId="4" applyFont="1" applyAlignment="1">
      <alignment horizontal="left" vertical="center"/>
    </xf>
    <xf numFmtId="0" fontId="108" fillId="6" borderId="1"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17"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253" fillId="6" borderId="6" xfId="0" applyFont="1" applyFill="1" applyBorder="1" applyAlignment="1">
      <alignment horizontal="left" vertical="center" wrapText="1"/>
    </xf>
    <xf numFmtId="0" fontId="253" fillId="6" borderId="25" xfId="0" applyFont="1" applyFill="1" applyBorder="1" applyAlignment="1">
      <alignment horizontal="left" vertical="center" wrapText="1"/>
    </xf>
    <xf numFmtId="0" fontId="253" fillId="6" borderId="0" xfId="0" applyFont="1" applyFill="1" applyAlignment="1">
      <alignment horizontal="center" vertical="center"/>
    </xf>
    <xf numFmtId="0" fontId="253" fillId="6" borderId="56" xfId="0" applyFont="1" applyFill="1" applyBorder="1" applyAlignment="1">
      <alignment horizontal="center" vertical="center"/>
    </xf>
    <xf numFmtId="0" fontId="122" fillId="6" borderId="0" xfId="0" applyFont="1" applyFill="1" applyAlignment="1">
      <alignment horizontal="left" vertical="center"/>
    </xf>
    <xf numFmtId="0" fontId="262" fillId="0" borderId="0" xfId="0" applyFont="1" applyAlignment="1">
      <alignment horizontal="center" vertical="center"/>
    </xf>
    <xf numFmtId="0" fontId="262"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lignment horizontal="left" vertical="center" wrapText="1"/>
    </xf>
    <xf numFmtId="0" fontId="144" fillId="11" borderId="125" xfId="9" applyFont="1" applyFill="1" applyBorder="1" applyAlignment="1">
      <alignment horizontal="left" vertical="center" wrapText="1"/>
    </xf>
    <xf numFmtId="0" fontId="144" fillId="11" borderId="127" xfId="9" applyFont="1" applyFill="1" applyBorder="1" applyAlignment="1">
      <alignment horizontal="left" vertical="center" wrapText="1"/>
    </xf>
    <xf numFmtId="0" fontId="142" fillId="0" borderId="0" xfId="9" applyFont="1" applyAlignment="1">
      <alignment horizontal="left" vertical="center"/>
    </xf>
    <xf numFmtId="0" fontId="144"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4" fillId="11" borderId="153" xfId="9" applyFont="1" applyFill="1" applyBorder="1" applyAlignment="1">
      <alignment horizontal="left" vertical="center" wrapText="1"/>
    </xf>
    <xf numFmtId="181" fontId="100" fillId="16" borderId="1" xfId="0" applyNumberFormat="1" applyFont="1" applyFill="1" applyBorder="1" applyAlignment="1" applyProtection="1">
      <alignment horizontal="center" vertical="center"/>
      <protection locked="0"/>
    </xf>
    <xf numFmtId="0" fontId="0" fillId="16" borderId="1" xfId="0" applyFill="1" applyBorder="1" applyAlignment="1">
      <alignment horizontal="left" vertical="center"/>
    </xf>
  </cellXfs>
  <cellStyles count="23">
    <cellStyle name="百分比" xfId="17" builtinId="5"/>
    <cellStyle name="百分比 2" xfId="14"/>
    <cellStyle name="百分比 3" xfId="22"/>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 9 2" xfId="20"/>
    <cellStyle name="超链接" xfId="21" builtinId="8"/>
    <cellStyle name="千位分隔 2" xfId="19"/>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 Id="rId9"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39</xdr:row>
      <xdr:rowOff>0</xdr:rowOff>
    </xdr:from>
    <xdr:to>
      <xdr:col>13</xdr:col>
      <xdr:colOff>408840</xdr:colOff>
      <xdr:row>73</xdr:row>
      <xdr:rowOff>151652</xdr:rowOff>
    </xdr:to>
    <xdr:pic>
      <xdr:nvPicPr>
        <xdr:cNvPr id="3" name="图片 2">
          <a:extLst>
            <a:ext uri="{FF2B5EF4-FFF2-40B4-BE49-F238E27FC236}">
              <a16:creationId xmlns:a16="http://schemas.microsoft.com/office/drawing/2014/main" xmlns="" id="{1A0CAF2F-E1E1-08D6-6A89-847DBAB1FDB5}"/>
            </a:ext>
          </a:extLst>
        </xdr:cNvPr>
        <xdr:cNvPicPr>
          <a:picLocks noChangeAspect="1"/>
        </xdr:cNvPicPr>
      </xdr:nvPicPr>
      <xdr:blipFill>
        <a:blip xmlns:r="http://schemas.openxmlformats.org/officeDocument/2006/relationships" r:embed="rId1"/>
        <a:stretch>
          <a:fillRect/>
        </a:stretch>
      </xdr:blipFill>
      <xdr:spPr>
        <a:xfrm>
          <a:off x="3448050" y="6686550"/>
          <a:ext cx="5876190" cy="5980952"/>
        </a:xfrm>
        <a:prstGeom prst="rect">
          <a:avLst/>
        </a:prstGeom>
      </xdr:spPr>
    </xdr:pic>
    <xdr:clientData/>
  </xdr:twoCellAnchor>
  <xdr:twoCellAnchor editAs="oneCell">
    <xdr:from>
      <xdr:col>0</xdr:col>
      <xdr:colOff>0</xdr:colOff>
      <xdr:row>0</xdr:row>
      <xdr:rowOff>0</xdr:rowOff>
    </xdr:from>
    <xdr:to>
      <xdr:col>9</xdr:col>
      <xdr:colOff>228600</xdr:colOff>
      <xdr:row>38</xdr:row>
      <xdr:rowOff>85725</xdr:rowOff>
    </xdr:to>
    <xdr:pic>
      <xdr:nvPicPr>
        <xdr:cNvPr id="2" name="图片 1">
          <a:extLst>
            <a:ext uri="{FF2B5EF4-FFF2-40B4-BE49-F238E27FC236}">
              <a16:creationId xmlns:a16="http://schemas.microsoft.com/office/drawing/2014/main" xmlns="" id="{8D913B7D-38A5-B783-54AA-BD4EC21B97B0}"/>
            </a:ext>
          </a:extLst>
        </xdr:cNvPr>
        <xdr:cNvPicPr>
          <a:picLocks noChangeAspect="1"/>
        </xdr:cNvPicPr>
      </xdr:nvPicPr>
      <xdr:blipFill>
        <a:blip xmlns:r="http://schemas.openxmlformats.org/officeDocument/2006/relationships" r:embed="rId2"/>
        <a:stretch>
          <a:fillRect/>
        </a:stretch>
      </xdr:blipFill>
      <xdr:spPr>
        <a:xfrm>
          <a:off x="0" y="0"/>
          <a:ext cx="6400800" cy="6600825"/>
        </a:xfrm>
        <a:prstGeom prst="rect">
          <a:avLst/>
        </a:prstGeom>
      </xdr:spPr>
    </xdr:pic>
    <xdr:clientData/>
  </xdr:twoCellAnchor>
  <xdr:twoCellAnchor>
    <xdr:from>
      <xdr:col>1</xdr:col>
      <xdr:colOff>134471</xdr:colOff>
      <xdr:row>7</xdr:row>
      <xdr:rowOff>0</xdr:rowOff>
    </xdr:from>
    <xdr:to>
      <xdr:col>2</xdr:col>
      <xdr:colOff>272864</xdr:colOff>
      <xdr:row>8</xdr:row>
      <xdr:rowOff>123825</xdr:rowOff>
    </xdr:to>
    <xdr:sp macro="" textlink="">
      <xdr:nvSpPr>
        <xdr:cNvPr id="4" name="标注: 线形 3">
          <a:extLst>
            <a:ext uri="{FF2B5EF4-FFF2-40B4-BE49-F238E27FC236}">
              <a16:creationId xmlns:a16="http://schemas.microsoft.com/office/drawing/2014/main" xmlns="" id="{A3174424-F08F-16E2-269E-C101749D66A6}"/>
            </a:ext>
          </a:extLst>
        </xdr:cNvPr>
        <xdr:cNvSpPr/>
      </xdr:nvSpPr>
      <xdr:spPr>
        <a:xfrm flipH="1">
          <a:off x="818030" y="1176618"/>
          <a:ext cx="821952" cy="291913"/>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7#</a:t>
          </a:r>
          <a:r>
            <a:rPr lang="zh-CN" altLang="en-US" sz="1100" kern="1200"/>
            <a:t>锅炉房</a:t>
          </a:r>
        </a:p>
      </xdr:txBody>
    </xdr:sp>
    <xdr:clientData/>
  </xdr:twoCellAnchor>
  <xdr:twoCellAnchor>
    <xdr:from>
      <xdr:col>1</xdr:col>
      <xdr:colOff>246530</xdr:colOff>
      <xdr:row>11</xdr:row>
      <xdr:rowOff>161925</xdr:rowOff>
    </xdr:from>
    <xdr:to>
      <xdr:col>2</xdr:col>
      <xdr:colOff>286311</xdr:colOff>
      <xdr:row>13</xdr:row>
      <xdr:rowOff>114300</xdr:rowOff>
    </xdr:to>
    <xdr:sp macro="" textlink="">
      <xdr:nvSpPr>
        <xdr:cNvPr id="5" name="标注: 线形 4">
          <a:extLst>
            <a:ext uri="{FF2B5EF4-FFF2-40B4-BE49-F238E27FC236}">
              <a16:creationId xmlns:a16="http://schemas.microsoft.com/office/drawing/2014/main" xmlns="" id="{44042AE3-4BBE-430B-AB25-80A6E610DA7A}"/>
            </a:ext>
          </a:extLst>
        </xdr:cNvPr>
        <xdr:cNvSpPr/>
      </xdr:nvSpPr>
      <xdr:spPr>
        <a:xfrm flipH="1">
          <a:off x="930089" y="2010896"/>
          <a:ext cx="723340" cy="288551"/>
        </a:xfrm>
        <a:prstGeom prst="borderCallout1">
          <a:avLst>
            <a:gd name="adj1" fmla="val 18750"/>
            <a:gd name="adj2" fmla="val -8333"/>
            <a:gd name="adj3" fmla="val 102822"/>
            <a:gd name="adj4" fmla="val -10729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12#</a:t>
          </a:r>
          <a:r>
            <a:rPr lang="zh-CN" altLang="en-US" sz="1100" kern="1200"/>
            <a:t>厂房</a:t>
          </a:r>
        </a:p>
      </xdr:txBody>
    </xdr:sp>
    <xdr:clientData/>
  </xdr:twoCellAnchor>
  <xdr:twoCellAnchor>
    <xdr:from>
      <xdr:col>1</xdr:col>
      <xdr:colOff>246529</xdr:colOff>
      <xdr:row>22</xdr:row>
      <xdr:rowOff>151840</xdr:rowOff>
    </xdr:from>
    <xdr:to>
      <xdr:col>2</xdr:col>
      <xdr:colOff>336176</xdr:colOff>
      <xdr:row>24</xdr:row>
      <xdr:rowOff>107577</xdr:rowOff>
    </xdr:to>
    <xdr:sp macro="" textlink="">
      <xdr:nvSpPr>
        <xdr:cNvPr id="6" name="标注: 线形 5">
          <a:extLst>
            <a:ext uri="{FF2B5EF4-FFF2-40B4-BE49-F238E27FC236}">
              <a16:creationId xmlns:a16="http://schemas.microsoft.com/office/drawing/2014/main" xmlns="" id="{402694BD-7EF3-4F7B-B18F-90A42AF2BCA6}"/>
            </a:ext>
          </a:extLst>
        </xdr:cNvPr>
        <xdr:cNvSpPr/>
      </xdr:nvSpPr>
      <xdr:spPr>
        <a:xfrm flipH="1">
          <a:off x="930088" y="3849781"/>
          <a:ext cx="773206" cy="291914"/>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3#</a:t>
          </a:r>
          <a:r>
            <a:rPr lang="zh-CN" altLang="en-US" sz="1100" kern="1200"/>
            <a:t>配电室</a:t>
          </a:r>
        </a:p>
      </xdr:txBody>
    </xdr:sp>
    <xdr:clientData/>
  </xdr:twoCellAnchor>
  <xdr:twoCellAnchor>
    <xdr:from>
      <xdr:col>1</xdr:col>
      <xdr:colOff>235323</xdr:colOff>
      <xdr:row>26</xdr:row>
      <xdr:rowOff>155762</xdr:rowOff>
    </xdr:from>
    <xdr:to>
      <xdr:col>2</xdr:col>
      <xdr:colOff>337857</xdr:colOff>
      <xdr:row>28</xdr:row>
      <xdr:rowOff>108137</xdr:rowOff>
    </xdr:to>
    <xdr:sp macro="" textlink="">
      <xdr:nvSpPr>
        <xdr:cNvPr id="7" name="标注: 线形 6">
          <a:extLst>
            <a:ext uri="{FF2B5EF4-FFF2-40B4-BE49-F238E27FC236}">
              <a16:creationId xmlns:a16="http://schemas.microsoft.com/office/drawing/2014/main" xmlns="" id="{55AF0229-0551-4097-8BAF-36858FFFDE34}"/>
            </a:ext>
          </a:extLst>
        </xdr:cNvPr>
        <xdr:cNvSpPr/>
      </xdr:nvSpPr>
      <xdr:spPr>
        <a:xfrm flipH="1">
          <a:off x="918882" y="4526056"/>
          <a:ext cx="786093" cy="288552"/>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2#</a:t>
          </a:r>
          <a:r>
            <a:rPr lang="zh-CN" altLang="en-US" sz="1100" kern="1200"/>
            <a:t>设备房</a:t>
          </a:r>
        </a:p>
      </xdr:txBody>
    </xdr:sp>
    <xdr:clientData/>
  </xdr:twoCellAnchor>
  <xdr:twoCellAnchor>
    <xdr:from>
      <xdr:col>6</xdr:col>
      <xdr:colOff>142875</xdr:colOff>
      <xdr:row>22</xdr:row>
      <xdr:rowOff>85725</xdr:rowOff>
    </xdr:from>
    <xdr:to>
      <xdr:col>7</xdr:col>
      <xdr:colOff>145676</xdr:colOff>
      <xdr:row>24</xdr:row>
      <xdr:rowOff>38100</xdr:rowOff>
    </xdr:to>
    <xdr:sp macro="" textlink="">
      <xdr:nvSpPr>
        <xdr:cNvPr id="9" name="标注: 线形 8">
          <a:extLst>
            <a:ext uri="{FF2B5EF4-FFF2-40B4-BE49-F238E27FC236}">
              <a16:creationId xmlns:a16="http://schemas.microsoft.com/office/drawing/2014/main" xmlns="" id="{ED653DC2-4E20-4AF3-BCB5-C9536D419AEC}"/>
            </a:ext>
          </a:extLst>
        </xdr:cNvPr>
        <xdr:cNvSpPr/>
      </xdr:nvSpPr>
      <xdr:spPr>
        <a:xfrm>
          <a:off x="4244228" y="3783666"/>
          <a:ext cx="686360" cy="288552"/>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4#</a:t>
          </a:r>
          <a:r>
            <a:rPr lang="zh-CN" altLang="en-US" sz="1100" kern="1200"/>
            <a:t>厂房</a:t>
          </a:r>
        </a:p>
      </xdr:txBody>
    </xdr:sp>
    <xdr:clientData/>
  </xdr:twoCellAnchor>
  <xdr:twoCellAnchor>
    <xdr:from>
      <xdr:col>6</xdr:col>
      <xdr:colOff>533400</xdr:colOff>
      <xdr:row>6</xdr:row>
      <xdr:rowOff>66675</xdr:rowOff>
    </xdr:from>
    <xdr:to>
      <xdr:col>7</xdr:col>
      <xdr:colOff>504264</xdr:colOff>
      <xdr:row>8</xdr:row>
      <xdr:rowOff>19050</xdr:rowOff>
    </xdr:to>
    <xdr:sp macro="" textlink="">
      <xdr:nvSpPr>
        <xdr:cNvPr id="10" name="标注: 线形 9">
          <a:extLst>
            <a:ext uri="{FF2B5EF4-FFF2-40B4-BE49-F238E27FC236}">
              <a16:creationId xmlns:a16="http://schemas.microsoft.com/office/drawing/2014/main" xmlns="" id="{351811D0-735B-44C6-9E54-626D1F719C29}"/>
            </a:ext>
          </a:extLst>
        </xdr:cNvPr>
        <xdr:cNvSpPr/>
      </xdr:nvSpPr>
      <xdr:spPr>
        <a:xfrm>
          <a:off x="4634753" y="1075204"/>
          <a:ext cx="654423" cy="288552"/>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9#</a:t>
          </a:r>
          <a:r>
            <a:rPr lang="zh-CN" altLang="en-US" sz="1100" kern="1200"/>
            <a:t>仓库</a:t>
          </a:r>
        </a:p>
      </xdr:txBody>
    </xdr:sp>
    <xdr:clientData/>
  </xdr:twoCellAnchor>
  <xdr:twoCellAnchor>
    <xdr:from>
      <xdr:col>4</xdr:col>
      <xdr:colOff>156881</xdr:colOff>
      <xdr:row>2</xdr:row>
      <xdr:rowOff>89647</xdr:rowOff>
    </xdr:from>
    <xdr:to>
      <xdr:col>5</xdr:col>
      <xdr:colOff>233641</xdr:colOff>
      <xdr:row>4</xdr:row>
      <xdr:rowOff>45383</xdr:rowOff>
    </xdr:to>
    <xdr:sp macro="" textlink="">
      <xdr:nvSpPr>
        <xdr:cNvPr id="11" name="标注: 线形 10">
          <a:extLst>
            <a:ext uri="{FF2B5EF4-FFF2-40B4-BE49-F238E27FC236}">
              <a16:creationId xmlns:a16="http://schemas.microsoft.com/office/drawing/2014/main" xmlns="" id="{B2EA641C-9C52-45F7-86EF-B65B64FF127B}"/>
            </a:ext>
          </a:extLst>
        </xdr:cNvPr>
        <xdr:cNvSpPr/>
      </xdr:nvSpPr>
      <xdr:spPr>
        <a:xfrm flipH="1">
          <a:off x="2891116" y="425823"/>
          <a:ext cx="760319" cy="291913"/>
        </a:xfrm>
        <a:prstGeom prst="borderCallout1">
          <a:avLst>
            <a:gd name="adj1" fmla="val 18750"/>
            <a:gd name="adj2" fmla="val -8333"/>
            <a:gd name="adj3" fmla="val 347953"/>
            <a:gd name="adj4" fmla="val -5209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10#</a:t>
          </a:r>
          <a:r>
            <a:rPr lang="zh-CN" altLang="en-US" sz="1100" kern="1200"/>
            <a:t>仓库</a:t>
          </a:r>
        </a:p>
      </xdr:txBody>
    </xdr:sp>
    <xdr:clientData/>
  </xdr:twoCellAnchor>
  <xdr:twoCellAnchor>
    <xdr:from>
      <xdr:col>2</xdr:col>
      <xdr:colOff>268941</xdr:colOff>
      <xdr:row>4</xdr:row>
      <xdr:rowOff>56590</xdr:rowOff>
    </xdr:from>
    <xdr:to>
      <xdr:col>4</xdr:col>
      <xdr:colOff>14566</xdr:colOff>
      <xdr:row>6</xdr:row>
      <xdr:rowOff>8966</xdr:rowOff>
    </xdr:to>
    <xdr:sp macro="" textlink="">
      <xdr:nvSpPr>
        <xdr:cNvPr id="12" name="标注: 线形 11">
          <a:extLst>
            <a:ext uri="{FF2B5EF4-FFF2-40B4-BE49-F238E27FC236}">
              <a16:creationId xmlns:a16="http://schemas.microsoft.com/office/drawing/2014/main" xmlns="" id="{DDF7E3B4-8673-476F-B0E9-188C0987BADB}"/>
            </a:ext>
          </a:extLst>
        </xdr:cNvPr>
        <xdr:cNvSpPr/>
      </xdr:nvSpPr>
      <xdr:spPr>
        <a:xfrm flipH="1">
          <a:off x="1636059" y="728943"/>
          <a:ext cx="1112742" cy="288552"/>
        </a:xfrm>
        <a:prstGeom prst="borderCallout1">
          <a:avLst>
            <a:gd name="adj1" fmla="val 18750"/>
            <a:gd name="adj2" fmla="val -8333"/>
            <a:gd name="adj3" fmla="val 260072"/>
            <a:gd name="adj4" fmla="val -3732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8#</a:t>
          </a:r>
          <a:r>
            <a:rPr lang="zh-CN" altLang="en-US" sz="1100" kern="1200"/>
            <a:t>食堂、宿舍</a:t>
          </a:r>
        </a:p>
      </xdr:txBody>
    </xdr:sp>
    <xdr:clientData/>
  </xdr:twoCellAnchor>
  <xdr:twoCellAnchor editAs="oneCell">
    <xdr:from>
      <xdr:col>8</xdr:col>
      <xdr:colOff>361951</xdr:colOff>
      <xdr:row>20</xdr:row>
      <xdr:rowOff>9526</xdr:rowOff>
    </xdr:from>
    <xdr:to>
      <xdr:col>10</xdr:col>
      <xdr:colOff>295113</xdr:colOff>
      <xdr:row>29</xdr:row>
      <xdr:rowOff>66476</xdr:rowOff>
    </xdr:to>
    <xdr:pic>
      <xdr:nvPicPr>
        <xdr:cNvPr id="14" name="图片 13">
          <a:extLst>
            <a:ext uri="{FF2B5EF4-FFF2-40B4-BE49-F238E27FC236}">
              <a16:creationId xmlns:a16="http://schemas.microsoft.com/office/drawing/2014/main" xmlns="" id="{839431A6-94AE-8425-A521-566CFA8559D7}"/>
            </a:ext>
          </a:extLst>
        </xdr:cNvPr>
        <xdr:cNvPicPr>
          <a:picLocks noChangeAspect="1"/>
        </xdr:cNvPicPr>
      </xdr:nvPicPr>
      <xdr:blipFill>
        <a:blip xmlns:r="http://schemas.openxmlformats.org/officeDocument/2006/relationships" r:embed="rId3"/>
        <a:stretch>
          <a:fillRect/>
        </a:stretch>
      </xdr:blipFill>
      <xdr:spPr>
        <a:xfrm rot="20984636">
          <a:off x="5848351" y="3438526"/>
          <a:ext cx="1304762" cy="1600000"/>
        </a:xfrm>
        <a:prstGeom prst="rect">
          <a:avLst/>
        </a:prstGeom>
      </xdr:spPr>
    </xdr:pic>
    <xdr:clientData/>
  </xdr:twoCellAnchor>
  <xdr:twoCellAnchor>
    <xdr:from>
      <xdr:col>7</xdr:col>
      <xdr:colOff>481853</xdr:colOff>
      <xdr:row>19</xdr:row>
      <xdr:rowOff>128867</xdr:rowOff>
    </xdr:from>
    <xdr:to>
      <xdr:col>9</xdr:col>
      <xdr:colOff>61072</xdr:colOff>
      <xdr:row>21</xdr:row>
      <xdr:rowOff>81242</xdr:rowOff>
    </xdr:to>
    <xdr:sp macro="" textlink="">
      <xdr:nvSpPr>
        <xdr:cNvPr id="16" name="标注: 线形 15">
          <a:extLst>
            <a:ext uri="{FF2B5EF4-FFF2-40B4-BE49-F238E27FC236}">
              <a16:creationId xmlns:a16="http://schemas.microsoft.com/office/drawing/2014/main" xmlns="" id="{EC9E324B-DE0E-4A7D-B548-60BB2E3075B8}"/>
            </a:ext>
          </a:extLst>
        </xdr:cNvPr>
        <xdr:cNvSpPr/>
      </xdr:nvSpPr>
      <xdr:spPr>
        <a:xfrm flipH="1">
          <a:off x="5266765" y="3322543"/>
          <a:ext cx="946336" cy="288552"/>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6#</a:t>
          </a:r>
          <a:r>
            <a:rPr lang="zh-CN" altLang="en-US" sz="1100" kern="1200"/>
            <a:t>空压机房</a:t>
          </a:r>
        </a:p>
      </xdr:txBody>
    </xdr:sp>
    <xdr:clientData/>
  </xdr:twoCellAnchor>
  <xdr:twoCellAnchor>
    <xdr:from>
      <xdr:col>7</xdr:col>
      <xdr:colOff>403411</xdr:colOff>
      <xdr:row>24</xdr:row>
      <xdr:rowOff>17369</xdr:rowOff>
    </xdr:from>
    <xdr:to>
      <xdr:col>9</xdr:col>
      <xdr:colOff>94689</xdr:colOff>
      <xdr:row>25</xdr:row>
      <xdr:rowOff>141194</xdr:rowOff>
    </xdr:to>
    <xdr:sp macro="" textlink="">
      <xdr:nvSpPr>
        <xdr:cNvPr id="17" name="标注: 线形 16">
          <a:extLst>
            <a:ext uri="{FF2B5EF4-FFF2-40B4-BE49-F238E27FC236}">
              <a16:creationId xmlns:a16="http://schemas.microsoft.com/office/drawing/2014/main" xmlns="" id="{FDC63DE7-81AA-4CA8-97E3-795EBCE832DC}"/>
            </a:ext>
          </a:extLst>
        </xdr:cNvPr>
        <xdr:cNvSpPr/>
      </xdr:nvSpPr>
      <xdr:spPr>
        <a:xfrm flipH="1">
          <a:off x="5188323" y="4051487"/>
          <a:ext cx="1058395" cy="291913"/>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5#</a:t>
          </a:r>
          <a:r>
            <a:rPr lang="zh-CN" altLang="en-US" sz="1100" kern="1200"/>
            <a:t>微型消防站</a:t>
          </a:r>
        </a:p>
      </xdr:txBody>
    </xdr:sp>
    <xdr:clientData/>
  </xdr:twoCellAnchor>
  <xdr:twoCellAnchor editAs="oneCell">
    <xdr:from>
      <xdr:col>2</xdr:col>
      <xdr:colOff>599511</xdr:colOff>
      <xdr:row>28</xdr:row>
      <xdr:rowOff>149475</xdr:rowOff>
    </xdr:from>
    <xdr:to>
      <xdr:col>3</xdr:col>
      <xdr:colOff>205205</xdr:colOff>
      <xdr:row>30</xdr:row>
      <xdr:rowOff>122207</xdr:rowOff>
    </xdr:to>
    <xdr:pic>
      <xdr:nvPicPr>
        <xdr:cNvPr id="18" name="图片 17">
          <a:extLst>
            <a:ext uri="{FF2B5EF4-FFF2-40B4-BE49-F238E27FC236}">
              <a16:creationId xmlns:a16="http://schemas.microsoft.com/office/drawing/2014/main" xmlns="" id="{747A26C2-2AFF-D098-9E59-38C4654AE87D}"/>
            </a:ext>
          </a:extLst>
        </xdr:cNvPr>
        <xdr:cNvPicPr>
          <a:picLocks noChangeAspect="1"/>
        </xdr:cNvPicPr>
      </xdr:nvPicPr>
      <xdr:blipFill rotWithShape="1">
        <a:blip xmlns:r="http://schemas.openxmlformats.org/officeDocument/2006/relationships" r:embed="rId4"/>
        <a:srcRect l="29073" t="24465" r="25916" b="21205"/>
        <a:stretch/>
      </xdr:blipFill>
      <xdr:spPr>
        <a:xfrm rot="20924329">
          <a:off x="1971111" y="4950075"/>
          <a:ext cx="291494" cy="315632"/>
        </a:xfrm>
        <a:prstGeom prst="rect">
          <a:avLst/>
        </a:prstGeom>
      </xdr:spPr>
    </xdr:pic>
    <xdr:clientData/>
  </xdr:twoCellAnchor>
  <xdr:twoCellAnchor editAs="oneCell">
    <xdr:from>
      <xdr:col>4</xdr:col>
      <xdr:colOff>178413</xdr:colOff>
      <xdr:row>23</xdr:row>
      <xdr:rowOff>133350</xdr:rowOff>
    </xdr:from>
    <xdr:to>
      <xdr:col>4</xdr:col>
      <xdr:colOff>590370</xdr:colOff>
      <xdr:row>26</xdr:row>
      <xdr:rowOff>85521</xdr:rowOff>
    </xdr:to>
    <xdr:pic>
      <xdr:nvPicPr>
        <xdr:cNvPr id="19" name="图片 18">
          <a:extLst>
            <a:ext uri="{FF2B5EF4-FFF2-40B4-BE49-F238E27FC236}">
              <a16:creationId xmlns:a16="http://schemas.microsoft.com/office/drawing/2014/main" xmlns="" id="{4EA5F70D-773C-7745-4BCE-4C98960B619F}"/>
            </a:ext>
          </a:extLst>
        </xdr:cNvPr>
        <xdr:cNvPicPr>
          <a:picLocks noChangeAspect="1"/>
        </xdr:cNvPicPr>
      </xdr:nvPicPr>
      <xdr:blipFill>
        <a:blip xmlns:r="http://schemas.openxmlformats.org/officeDocument/2006/relationships" r:embed="rId5"/>
        <a:stretch>
          <a:fillRect/>
        </a:stretch>
      </xdr:blipFill>
      <xdr:spPr>
        <a:xfrm>
          <a:off x="2921613" y="4076700"/>
          <a:ext cx="411957" cy="466521"/>
        </a:xfrm>
        <a:prstGeom prst="rect">
          <a:avLst/>
        </a:prstGeom>
      </xdr:spPr>
    </xdr:pic>
    <xdr:clientData/>
  </xdr:twoCellAnchor>
  <xdr:twoCellAnchor editAs="oneCell">
    <xdr:from>
      <xdr:col>0</xdr:col>
      <xdr:colOff>0</xdr:colOff>
      <xdr:row>75</xdr:row>
      <xdr:rowOff>0</xdr:rowOff>
    </xdr:from>
    <xdr:to>
      <xdr:col>13</xdr:col>
      <xdr:colOff>322695</xdr:colOff>
      <xdr:row>112</xdr:row>
      <xdr:rowOff>151588</xdr:rowOff>
    </xdr:to>
    <xdr:pic>
      <xdr:nvPicPr>
        <xdr:cNvPr id="20" name="图片 19">
          <a:extLst>
            <a:ext uri="{FF2B5EF4-FFF2-40B4-BE49-F238E27FC236}">
              <a16:creationId xmlns:a16="http://schemas.microsoft.com/office/drawing/2014/main" xmlns="" id="{82FCEBDA-D827-381F-882C-098D90670F78}"/>
            </a:ext>
          </a:extLst>
        </xdr:cNvPr>
        <xdr:cNvPicPr>
          <a:picLocks noChangeAspect="1"/>
        </xdr:cNvPicPr>
      </xdr:nvPicPr>
      <xdr:blipFill>
        <a:blip xmlns:r="http://schemas.openxmlformats.org/officeDocument/2006/relationships" r:embed="rId6"/>
        <a:stretch>
          <a:fillRect/>
        </a:stretch>
      </xdr:blipFill>
      <xdr:spPr>
        <a:xfrm>
          <a:off x="0" y="12858750"/>
          <a:ext cx="9238095" cy="6495238"/>
        </a:xfrm>
        <a:prstGeom prst="rect">
          <a:avLst/>
        </a:prstGeom>
      </xdr:spPr>
    </xdr:pic>
    <xdr:clientData/>
  </xdr:twoCellAnchor>
  <xdr:twoCellAnchor editAs="oneCell">
    <xdr:from>
      <xdr:col>0</xdr:col>
      <xdr:colOff>0</xdr:colOff>
      <xdr:row>113</xdr:row>
      <xdr:rowOff>0</xdr:rowOff>
    </xdr:from>
    <xdr:to>
      <xdr:col>13</xdr:col>
      <xdr:colOff>341743</xdr:colOff>
      <xdr:row>151</xdr:row>
      <xdr:rowOff>18233</xdr:rowOff>
    </xdr:to>
    <xdr:pic>
      <xdr:nvPicPr>
        <xdr:cNvPr id="21" name="图片 20">
          <a:extLst>
            <a:ext uri="{FF2B5EF4-FFF2-40B4-BE49-F238E27FC236}">
              <a16:creationId xmlns:a16="http://schemas.microsoft.com/office/drawing/2014/main" xmlns="" id="{B9D92C66-5B9F-41B7-63AF-CB4C9DC6385F}"/>
            </a:ext>
          </a:extLst>
        </xdr:cNvPr>
        <xdr:cNvPicPr>
          <a:picLocks noChangeAspect="1"/>
        </xdr:cNvPicPr>
      </xdr:nvPicPr>
      <xdr:blipFill>
        <a:blip xmlns:r="http://schemas.openxmlformats.org/officeDocument/2006/relationships" r:embed="rId7"/>
        <a:stretch>
          <a:fillRect/>
        </a:stretch>
      </xdr:blipFill>
      <xdr:spPr>
        <a:xfrm>
          <a:off x="0" y="19373850"/>
          <a:ext cx="9257143" cy="6533333"/>
        </a:xfrm>
        <a:prstGeom prst="rect">
          <a:avLst/>
        </a:prstGeom>
      </xdr:spPr>
    </xdr:pic>
    <xdr:clientData/>
  </xdr:twoCellAnchor>
  <xdr:twoCellAnchor editAs="oneCell">
    <xdr:from>
      <xdr:col>0</xdr:col>
      <xdr:colOff>0</xdr:colOff>
      <xdr:row>150</xdr:row>
      <xdr:rowOff>133350</xdr:rowOff>
    </xdr:from>
    <xdr:to>
      <xdr:col>9</xdr:col>
      <xdr:colOff>389705</xdr:colOff>
      <xdr:row>190</xdr:row>
      <xdr:rowOff>46778</xdr:rowOff>
    </xdr:to>
    <xdr:pic>
      <xdr:nvPicPr>
        <xdr:cNvPr id="22" name="图片 21">
          <a:extLst>
            <a:ext uri="{FF2B5EF4-FFF2-40B4-BE49-F238E27FC236}">
              <a16:creationId xmlns:a16="http://schemas.microsoft.com/office/drawing/2014/main" xmlns="" id="{F151F4F7-8FF1-CAC2-246E-54E4F16CE8CD}"/>
            </a:ext>
          </a:extLst>
        </xdr:cNvPr>
        <xdr:cNvPicPr>
          <a:picLocks noChangeAspect="1"/>
        </xdr:cNvPicPr>
      </xdr:nvPicPr>
      <xdr:blipFill>
        <a:blip xmlns:r="http://schemas.openxmlformats.org/officeDocument/2006/relationships" r:embed="rId8"/>
        <a:stretch>
          <a:fillRect/>
        </a:stretch>
      </xdr:blipFill>
      <xdr:spPr>
        <a:xfrm>
          <a:off x="0" y="25850850"/>
          <a:ext cx="6561905" cy="6771428"/>
        </a:xfrm>
        <a:prstGeom prst="rect">
          <a:avLst/>
        </a:prstGeom>
      </xdr:spPr>
    </xdr:pic>
    <xdr:clientData/>
  </xdr:twoCellAnchor>
  <xdr:twoCellAnchor editAs="oneCell">
    <xdr:from>
      <xdr:col>0</xdr:col>
      <xdr:colOff>0</xdr:colOff>
      <xdr:row>38</xdr:row>
      <xdr:rowOff>123825</xdr:rowOff>
    </xdr:from>
    <xdr:to>
      <xdr:col>5</xdr:col>
      <xdr:colOff>47190</xdr:colOff>
      <xdr:row>72</xdr:row>
      <xdr:rowOff>65954</xdr:rowOff>
    </xdr:to>
    <xdr:pic>
      <xdr:nvPicPr>
        <xdr:cNvPr id="23" name="图片 22">
          <a:extLst>
            <a:ext uri="{FF2B5EF4-FFF2-40B4-BE49-F238E27FC236}">
              <a16:creationId xmlns:a16="http://schemas.microsoft.com/office/drawing/2014/main" xmlns="" id="{B04F433A-0D12-90B1-2076-6CB6A64DAEE3}"/>
            </a:ext>
          </a:extLst>
        </xdr:cNvPr>
        <xdr:cNvPicPr>
          <a:picLocks noChangeAspect="1"/>
        </xdr:cNvPicPr>
      </xdr:nvPicPr>
      <xdr:blipFill>
        <a:blip xmlns:r="http://schemas.openxmlformats.org/officeDocument/2006/relationships" r:embed="rId9"/>
        <a:stretch>
          <a:fillRect/>
        </a:stretch>
      </xdr:blipFill>
      <xdr:spPr>
        <a:xfrm>
          <a:off x="0" y="6638925"/>
          <a:ext cx="3476190" cy="5771429"/>
        </a:xfrm>
        <a:prstGeom prst="rect">
          <a:avLst/>
        </a:prstGeom>
      </xdr:spPr>
    </xdr:pic>
    <xdr:clientData/>
  </xdr:twoCellAnchor>
  <xdr:twoCellAnchor>
    <xdr:from>
      <xdr:col>6</xdr:col>
      <xdr:colOff>268941</xdr:colOff>
      <xdr:row>30</xdr:row>
      <xdr:rowOff>112058</xdr:rowOff>
    </xdr:from>
    <xdr:to>
      <xdr:col>8</xdr:col>
      <xdr:colOff>22411</xdr:colOff>
      <xdr:row>32</xdr:row>
      <xdr:rowOff>64433</xdr:rowOff>
    </xdr:to>
    <xdr:sp macro="" textlink="">
      <xdr:nvSpPr>
        <xdr:cNvPr id="24" name="标注: 线形 23">
          <a:extLst>
            <a:ext uri="{FF2B5EF4-FFF2-40B4-BE49-F238E27FC236}">
              <a16:creationId xmlns:a16="http://schemas.microsoft.com/office/drawing/2014/main" xmlns="" id="{D6840034-00D0-4E7A-925B-97A2080D825A}"/>
            </a:ext>
          </a:extLst>
        </xdr:cNvPr>
        <xdr:cNvSpPr/>
      </xdr:nvSpPr>
      <xdr:spPr>
        <a:xfrm>
          <a:off x="4370294" y="5154705"/>
          <a:ext cx="1120588" cy="288552"/>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1#</a:t>
          </a:r>
          <a:r>
            <a:rPr lang="zh-CN" altLang="en-US" sz="1100" kern="1200"/>
            <a:t>办公、仓库</a:t>
          </a:r>
          <a:endParaRPr lang="en-US" altLang="zh-CN" sz="1100" kern="1200"/>
        </a:p>
        <a:p>
          <a:pPr algn="l"/>
          <a:endParaRPr lang="en-US" altLang="zh-CN" sz="1100" kern="1200"/>
        </a:p>
        <a:p>
          <a:pPr algn="l"/>
          <a:endParaRPr lang="zh-CN" altLang="en-US" sz="1100" kern="1200"/>
        </a:p>
      </xdr:txBody>
    </xdr:sp>
    <xdr:clientData/>
  </xdr:twoCellAnchor>
  <xdr:twoCellAnchor>
    <xdr:from>
      <xdr:col>7</xdr:col>
      <xdr:colOff>190500</xdr:colOff>
      <xdr:row>34</xdr:row>
      <xdr:rowOff>22412</xdr:rowOff>
    </xdr:from>
    <xdr:to>
      <xdr:col>8</xdr:col>
      <xdr:colOff>235323</xdr:colOff>
      <xdr:row>35</xdr:row>
      <xdr:rowOff>142876</xdr:rowOff>
    </xdr:to>
    <xdr:sp macro="" textlink="">
      <xdr:nvSpPr>
        <xdr:cNvPr id="25" name="标注: 线形 24">
          <a:extLst>
            <a:ext uri="{FF2B5EF4-FFF2-40B4-BE49-F238E27FC236}">
              <a16:creationId xmlns:a16="http://schemas.microsoft.com/office/drawing/2014/main" xmlns="" id="{71B52361-51D0-41A8-AAC7-91EFDA607561}"/>
            </a:ext>
          </a:extLst>
        </xdr:cNvPr>
        <xdr:cNvSpPr/>
      </xdr:nvSpPr>
      <xdr:spPr>
        <a:xfrm>
          <a:off x="4975412" y="5737412"/>
          <a:ext cx="728382" cy="288552"/>
        </a:xfrm>
        <a:prstGeom prst="borderCallout1">
          <a:avLst>
            <a:gd name="adj1" fmla="val 18750"/>
            <a:gd name="adj2" fmla="val -8333"/>
            <a:gd name="adj3" fmla="val -58374"/>
            <a:gd name="adj4" fmla="val -6287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11#</a:t>
          </a:r>
          <a:r>
            <a:rPr lang="zh-CN" altLang="en-US" sz="1100" kern="1200"/>
            <a:t>门卫</a:t>
          </a:r>
          <a:endParaRPr lang="en-US" altLang="zh-CN" sz="1100" kern="1200"/>
        </a:p>
        <a:p>
          <a:pPr algn="l"/>
          <a:endParaRPr lang="zh-CN" altLang="en-US" sz="1100" kern="1200"/>
        </a:p>
      </xdr:txBody>
    </xdr:sp>
    <xdr:clientData/>
  </xdr:twoCellAnchor>
  <xdr:twoCellAnchor>
    <xdr:from>
      <xdr:col>4</xdr:col>
      <xdr:colOff>168089</xdr:colOff>
      <xdr:row>22</xdr:row>
      <xdr:rowOff>156883</xdr:rowOff>
    </xdr:from>
    <xdr:to>
      <xdr:col>4</xdr:col>
      <xdr:colOff>649941</xdr:colOff>
      <xdr:row>27</xdr:row>
      <xdr:rowOff>0</xdr:rowOff>
    </xdr:to>
    <xdr:sp macro="" textlink="">
      <xdr:nvSpPr>
        <xdr:cNvPr id="26" name="矩形 25">
          <a:extLst>
            <a:ext uri="{FF2B5EF4-FFF2-40B4-BE49-F238E27FC236}">
              <a16:creationId xmlns:a16="http://schemas.microsoft.com/office/drawing/2014/main" xmlns="" id="{64D7FBE8-AC94-587C-3FFA-91CD5CC02322}"/>
            </a:ext>
          </a:extLst>
        </xdr:cNvPr>
        <xdr:cNvSpPr/>
      </xdr:nvSpPr>
      <xdr:spPr>
        <a:xfrm>
          <a:off x="2902324" y="3854824"/>
          <a:ext cx="481852" cy="683558"/>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8</xdr:col>
      <xdr:colOff>582705</xdr:colOff>
      <xdr:row>20</xdr:row>
      <xdr:rowOff>89647</xdr:rowOff>
    </xdr:from>
    <xdr:to>
      <xdr:col>10</xdr:col>
      <xdr:colOff>291352</xdr:colOff>
      <xdr:row>28</xdr:row>
      <xdr:rowOff>134471</xdr:rowOff>
    </xdr:to>
    <xdr:sp macro="" textlink="">
      <xdr:nvSpPr>
        <xdr:cNvPr id="27" name="矩形 26">
          <a:extLst>
            <a:ext uri="{FF2B5EF4-FFF2-40B4-BE49-F238E27FC236}">
              <a16:creationId xmlns:a16="http://schemas.microsoft.com/office/drawing/2014/main" xmlns="" id="{6C724352-8418-4EE0-9394-456B0722232B}"/>
            </a:ext>
          </a:extLst>
        </xdr:cNvPr>
        <xdr:cNvSpPr/>
      </xdr:nvSpPr>
      <xdr:spPr>
        <a:xfrm>
          <a:off x="6051176" y="3451412"/>
          <a:ext cx="1075764" cy="138953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5</xdr:col>
      <xdr:colOff>67235</xdr:colOff>
      <xdr:row>26</xdr:row>
      <xdr:rowOff>145677</xdr:rowOff>
    </xdr:from>
    <xdr:to>
      <xdr:col>8</xdr:col>
      <xdr:colOff>493058</xdr:colOff>
      <xdr:row>27</xdr:row>
      <xdr:rowOff>11206</xdr:rowOff>
    </xdr:to>
    <xdr:cxnSp macro="">
      <xdr:nvCxnSpPr>
        <xdr:cNvPr id="29" name="直接箭头连接符 28">
          <a:extLst>
            <a:ext uri="{FF2B5EF4-FFF2-40B4-BE49-F238E27FC236}">
              <a16:creationId xmlns:a16="http://schemas.microsoft.com/office/drawing/2014/main" xmlns="" id="{F3B9D8CB-6BCE-F15C-7FC5-14496CBB2348}"/>
            </a:ext>
          </a:extLst>
        </xdr:cNvPr>
        <xdr:cNvCxnSpPr/>
      </xdr:nvCxnSpPr>
      <xdr:spPr>
        <a:xfrm>
          <a:off x="3485029" y="4515971"/>
          <a:ext cx="2476500" cy="3361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28</xdr:row>
      <xdr:rowOff>66118</xdr:rowOff>
    </xdr:from>
    <xdr:to>
      <xdr:col>11</xdr:col>
      <xdr:colOff>647700</xdr:colOff>
      <xdr:row>50</xdr:row>
      <xdr:rowOff>104069</xdr:rowOff>
    </xdr:to>
    <xdr:pic>
      <xdr:nvPicPr>
        <xdr:cNvPr id="12" name="图片 11">
          <a:extLst>
            <a:ext uri="{FF2B5EF4-FFF2-40B4-BE49-F238E27FC236}">
              <a16:creationId xmlns:a16="http://schemas.microsoft.com/office/drawing/2014/main" xmlns="" id="{40B7674D-C42E-D06E-0271-FD58B6B0A838}"/>
            </a:ext>
          </a:extLst>
        </xdr:cNvPr>
        <xdr:cNvPicPr>
          <a:picLocks noChangeAspect="1"/>
        </xdr:cNvPicPr>
      </xdr:nvPicPr>
      <xdr:blipFill>
        <a:blip xmlns:r="http://schemas.openxmlformats.org/officeDocument/2006/relationships" r:embed="rId1"/>
        <a:stretch>
          <a:fillRect/>
        </a:stretch>
      </xdr:blipFill>
      <xdr:spPr>
        <a:xfrm>
          <a:off x="0" y="4866718"/>
          <a:ext cx="8191500" cy="3809851"/>
        </a:xfrm>
        <a:prstGeom prst="rect">
          <a:avLst/>
        </a:prstGeom>
      </xdr:spPr>
    </xdr:pic>
    <xdr:clientData/>
  </xdr:twoCellAnchor>
  <xdr:twoCellAnchor editAs="oneCell">
    <xdr:from>
      <xdr:col>12</xdr:col>
      <xdr:colOff>0</xdr:colOff>
      <xdr:row>36</xdr:row>
      <xdr:rowOff>0</xdr:rowOff>
    </xdr:from>
    <xdr:to>
      <xdr:col>20</xdr:col>
      <xdr:colOff>275505</xdr:colOff>
      <xdr:row>38</xdr:row>
      <xdr:rowOff>114243</xdr:rowOff>
    </xdr:to>
    <xdr:pic>
      <xdr:nvPicPr>
        <xdr:cNvPr id="14" name="图片 13">
          <a:extLst>
            <a:ext uri="{FF2B5EF4-FFF2-40B4-BE49-F238E27FC236}">
              <a16:creationId xmlns:a16="http://schemas.microsoft.com/office/drawing/2014/main" xmlns="" id="{86C17C9F-063E-E25C-97D1-8B2C262CEB25}"/>
            </a:ext>
          </a:extLst>
        </xdr:cNvPr>
        <xdr:cNvPicPr>
          <a:picLocks noChangeAspect="1"/>
        </xdr:cNvPicPr>
      </xdr:nvPicPr>
      <xdr:blipFill>
        <a:blip xmlns:r="http://schemas.openxmlformats.org/officeDocument/2006/relationships" r:embed="rId2"/>
        <a:stretch>
          <a:fillRect/>
        </a:stretch>
      </xdr:blipFill>
      <xdr:spPr>
        <a:xfrm>
          <a:off x="8229600" y="6172200"/>
          <a:ext cx="5761905" cy="457143"/>
        </a:xfrm>
        <a:prstGeom prst="rect">
          <a:avLst/>
        </a:prstGeom>
      </xdr:spPr>
    </xdr:pic>
    <xdr:clientData/>
  </xdr:twoCellAnchor>
  <xdr:twoCellAnchor editAs="oneCell">
    <xdr:from>
      <xdr:col>0</xdr:col>
      <xdr:colOff>0</xdr:colOff>
      <xdr:row>50</xdr:row>
      <xdr:rowOff>171449</xdr:rowOff>
    </xdr:from>
    <xdr:to>
      <xdr:col>11</xdr:col>
      <xdr:colOff>681969</xdr:colOff>
      <xdr:row>74</xdr:row>
      <xdr:rowOff>65960</xdr:rowOff>
    </xdr:to>
    <xdr:pic>
      <xdr:nvPicPr>
        <xdr:cNvPr id="15" name="图片 14">
          <a:extLst>
            <a:ext uri="{FF2B5EF4-FFF2-40B4-BE49-F238E27FC236}">
              <a16:creationId xmlns:a16="http://schemas.microsoft.com/office/drawing/2014/main" xmlns="" id="{EAA8DDF8-20FD-20D8-1B4D-6D5E85E8C6E9}"/>
            </a:ext>
          </a:extLst>
        </xdr:cNvPr>
        <xdr:cNvPicPr>
          <a:picLocks noChangeAspect="1"/>
        </xdr:cNvPicPr>
      </xdr:nvPicPr>
      <xdr:blipFill>
        <a:blip xmlns:r="http://schemas.openxmlformats.org/officeDocument/2006/relationships" r:embed="rId3"/>
        <a:stretch>
          <a:fillRect/>
        </a:stretch>
      </xdr:blipFill>
      <xdr:spPr>
        <a:xfrm>
          <a:off x="0" y="8743949"/>
          <a:ext cx="8225769" cy="4009311"/>
        </a:xfrm>
        <a:prstGeom prst="rect">
          <a:avLst/>
        </a:prstGeom>
      </xdr:spPr>
    </xdr:pic>
    <xdr:clientData/>
  </xdr:twoCellAnchor>
  <xdr:twoCellAnchor editAs="oneCell">
    <xdr:from>
      <xdr:col>11</xdr:col>
      <xdr:colOff>666750</xdr:colOff>
      <xdr:row>57</xdr:row>
      <xdr:rowOff>76200</xdr:rowOff>
    </xdr:from>
    <xdr:to>
      <xdr:col>23</xdr:col>
      <xdr:colOff>656198</xdr:colOff>
      <xdr:row>61</xdr:row>
      <xdr:rowOff>142781</xdr:rowOff>
    </xdr:to>
    <xdr:pic>
      <xdr:nvPicPr>
        <xdr:cNvPr id="16" name="图片 15">
          <a:extLst>
            <a:ext uri="{FF2B5EF4-FFF2-40B4-BE49-F238E27FC236}">
              <a16:creationId xmlns:a16="http://schemas.microsoft.com/office/drawing/2014/main" xmlns="" id="{8689D195-3216-42B7-3FAF-744F9E13A3D6}"/>
            </a:ext>
          </a:extLst>
        </xdr:cNvPr>
        <xdr:cNvPicPr>
          <a:picLocks noChangeAspect="1"/>
        </xdr:cNvPicPr>
      </xdr:nvPicPr>
      <xdr:blipFill>
        <a:blip xmlns:r="http://schemas.openxmlformats.org/officeDocument/2006/relationships" r:embed="rId4"/>
        <a:stretch>
          <a:fillRect/>
        </a:stretch>
      </xdr:blipFill>
      <xdr:spPr>
        <a:xfrm>
          <a:off x="8210550" y="9848850"/>
          <a:ext cx="8219048" cy="752381"/>
        </a:xfrm>
        <a:prstGeom prst="rect">
          <a:avLst/>
        </a:prstGeom>
      </xdr:spPr>
    </xdr:pic>
    <xdr:clientData/>
  </xdr:twoCellAnchor>
  <xdr:twoCellAnchor editAs="oneCell">
    <xdr:from>
      <xdr:col>0</xdr:col>
      <xdr:colOff>0</xdr:colOff>
      <xdr:row>74</xdr:row>
      <xdr:rowOff>152400</xdr:rowOff>
    </xdr:from>
    <xdr:to>
      <xdr:col>11</xdr:col>
      <xdr:colOff>662482</xdr:colOff>
      <xdr:row>97</xdr:row>
      <xdr:rowOff>123122</xdr:rowOff>
    </xdr:to>
    <xdr:pic>
      <xdr:nvPicPr>
        <xdr:cNvPr id="17" name="图片 16">
          <a:extLst>
            <a:ext uri="{FF2B5EF4-FFF2-40B4-BE49-F238E27FC236}">
              <a16:creationId xmlns:a16="http://schemas.microsoft.com/office/drawing/2014/main" xmlns="" id="{F145009B-79B5-2CDD-2B89-6DC39D3401D7}"/>
            </a:ext>
          </a:extLst>
        </xdr:cNvPr>
        <xdr:cNvPicPr>
          <a:picLocks noChangeAspect="1"/>
        </xdr:cNvPicPr>
      </xdr:nvPicPr>
      <xdr:blipFill>
        <a:blip xmlns:r="http://schemas.openxmlformats.org/officeDocument/2006/relationships" r:embed="rId5"/>
        <a:stretch>
          <a:fillRect/>
        </a:stretch>
      </xdr:blipFill>
      <xdr:spPr>
        <a:xfrm>
          <a:off x="0" y="12839700"/>
          <a:ext cx="8206282" cy="3914072"/>
        </a:xfrm>
        <a:prstGeom prst="rect">
          <a:avLst/>
        </a:prstGeom>
      </xdr:spPr>
    </xdr:pic>
    <xdr:clientData/>
  </xdr:twoCellAnchor>
  <xdr:twoCellAnchor editAs="oneCell">
    <xdr:from>
      <xdr:col>12</xdr:col>
      <xdr:colOff>0</xdr:colOff>
      <xdr:row>80</xdr:row>
      <xdr:rowOff>0</xdr:rowOff>
    </xdr:from>
    <xdr:to>
      <xdr:col>24</xdr:col>
      <xdr:colOff>465638</xdr:colOff>
      <xdr:row>99</xdr:row>
      <xdr:rowOff>9117</xdr:rowOff>
    </xdr:to>
    <xdr:pic>
      <xdr:nvPicPr>
        <xdr:cNvPr id="18" name="图片 17">
          <a:extLst>
            <a:ext uri="{FF2B5EF4-FFF2-40B4-BE49-F238E27FC236}">
              <a16:creationId xmlns:a16="http://schemas.microsoft.com/office/drawing/2014/main" xmlns="" id="{9F8840EB-832D-6302-BF2B-FD65CA1153C1}"/>
            </a:ext>
          </a:extLst>
        </xdr:cNvPr>
        <xdr:cNvPicPr>
          <a:picLocks noChangeAspect="1"/>
        </xdr:cNvPicPr>
      </xdr:nvPicPr>
      <xdr:blipFill>
        <a:blip xmlns:r="http://schemas.openxmlformats.org/officeDocument/2006/relationships" r:embed="rId6"/>
        <a:stretch>
          <a:fillRect/>
        </a:stretch>
      </xdr:blipFill>
      <xdr:spPr>
        <a:xfrm>
          <a:off x="8229600" y="13716000"/>
          <a:ext cx="8695238" cy="3266667"/>
        </a:xfrm>
        <a:prstGeom prst="rect">
          <a:avLst/>
        </a:prstGeom>
      </xdr:spPr>
    </xdr:pic>
    <xdr:clientData/>
  </xdr:twoCellAnchor>
  <xdr:twoCellAnchor editAs="oneCell">
    <xdr:from>
      <xdr:col>0</xdr:col>
      <xdr:colOff>0</xdr:colOff>
      <xdr:row>99</xdr:row>
      <xdr:rowOff>161925</xdr:rowOff>
    </xdr:from>
    <xdr:to>
      <xdr:col>11</xdr:col>
      <xdr:colOff>648306</xdr:colOff>
      <xdr:row>122</xdr:row>
      <xdr:rowOff>56433</xdr:rowOff>
    </xdr:to>
    <xdr:pic>
      <xdr:nvPicPr>
        <xdr:cNvPr id="19" name="图片 18">
          <a:extLst>
            <a:ext uri="{FF2B5EF4-FFF2-40B4-BE49-F238E27FC236}">
              <a16:creationId xmlns:a16="http://schemas.microsoft.com/office/drawing/2014/main" xmlns="" id="{71B081D7-9E5C-F058-228E-2027FC8BD27A}"/>
            </a:ext>
          </a:extLst>
        </xdr:cNvPr>
        <xdr:cNvPicPr>
          <a:picLocks noChangeAspect="1"/>
        </xdr:cNvPicPr>
      </xdr:nvPicPr>
      <xdr:blipFill>
        <a:blip xmlns:r="http://schemas.openxmlformats.org/officeDocument/2006/relationships" r:embed="rId7"/>
        <a:stretch>
          <a:fillRect/>
        </a:stretch>
      </xdr:blipFill>
      <xdr:spPr>
        <a:xfrm>
          <a:off x="0" y="17135475"/>
          <a:ext cx="8192106" cy="3837858"/>
        </a:xfrm>
        <a:prstGeom prst="rect">
          <a:avLst/>
        </a:prstGeom>
      </xdr:spPr>
    </xdr:pic>
    <xdr:clientData/>
  </xdr:twoCellAnchor>
  <xdr:twoCellAnchor editAs="oneCell">
    <xdr:from>
      <xdr:col>11</xdr:col>
      <xdr:colOff>619125</xdr:colOff>
      <xdr:row>105</xdr:row>
      <xdr:rowOff>0</xdr:rowOff>
    </xdr:from>
    <xdr:to>
      <xdr:col>19</xdr:col>
      <xdr:colOff>294630</xdr:colOff>
      <xdr:row>119</xdr:row>
      <xdr:rowOff>18748</xdr:rowOff>
    </xdr:to>
    <xdr:pic>
      <xdr:nvPicPr>
        <xdr:cNvPr id="20" name="图片 19">
          <a:extLst>
            <a:ext uri="{FF2B5EF4-FFF2-40B4-BE49-F238E27FC236}">
              <a16:creationId xmlns:a16="http://schemas.microsoft.com/office/drawing/2014/main" xmlns="" id="{C6BE5914-7703-FB01-AE94-911DE2F1EFCD}"/>
            </a:ext>
          </a:extLst>
        </xdr:cNvPr>
        <xdr:cNvPicPr>
          <a:picLocks noChangeAspect="1"/>
        </xdr:cNvPicPr>
      </xdr:nvPicPr>
      <xdr:blipFill>
        <a:blip xmlns:r="http://schemas.openxmlformats.org/officeDocument/2006/relationships" r:embed="rId8"/>
        <a:stretch>
          <a:fillRect/>
        </a:stretch>
      </xdr:blipFill>
      <xdr:spPr>
        <a:xfrm>
          <a:off x="8162925" y="18002250"/>
          <a:ext cx="5161905" cy="2419048"/>
        </a:xfrm>
        <a:prstGeom prst="rect">
          <a:avLst/>
        </a:prstGeom>
      </xdr:spPr>
    </xdr:pic>
    <xdr:clientData/>
  </xdr:twoCellAnchor>
  <xdr:twoCellAnchor>
    <xdr:from>
      <xdr:col>0</xdr:col>
      <xdr:colOff>0</xdr:colOff>
      <xdr:row>0</xdr:row>
      <xdr:rowOff>0</xdr:rowOff>
    </xdr:from>
    <xdr:to>
      <xdr:col>13</xdr:col>
      <xdr:colOff>503111</xdr:colOff>
      <xdr:row>28</xdr:row>
      <xdr:rowOff>32927</xdr:rowOff>
    </xdr:to>
    <xdr:grpSp>
      <xdr:nvGrpSpPr>
        <xdr:cNvPr id="22" name="组合 21">
          <a:extLst>
            <a:ext uri="{FF2B5EF4-FFF2-40B4-BE49-F238E27FC236}">
              <a16:creationId xmlns:a16="http://schemas.microsoft.com/office/drawing/2014/main" xmlns="" id="{DC0A87C5-8E42-2BEB-254B-160FE70F74A6}"/>
            </a:ext>
          </a:extLst>
        </xdr:cNvPr>
        <xdr:cNvGrpSpPr/>
      </xdr:nvGrpSpPr>
      <xdr:grpSpPr>
        <a:xfrm>
          <a:off x="0" y="0"/>
          <a:ext cx="9418511" cy="4833527"/>
          <a:chOff x="0" y="0"/>
          <a:chExt cx="9418511" cy="4833527"/>
        </a:xfrm>
      </xdr:grpSpPr>
      <xdr:pic>
        <xdr:nvPicPr>
          <xdr:cNvPr id="5" name="图片 4">
            <a:extLst>
              <a:ext uri="{FF2B5EF4-FFF2-40B4-BE49-F238E27FC236}">
                <a16:creationId xmlns:a16="http://schemas.microsoft.com/office/drawing/2014/main" xmlns="" id="{F0D6AB97-F6EC-7F17-DC8F-F8C078BB866D}"/>
              </a:ext>
            </a:extLst>
          </xdr:cNvPr>
          <xdr:cNvPicPr>
            <a:picLocks noChangeAspect="1"/>
          </xdr:cNvPicPr>
        </xdr:nvPicPr>
        <xdr:blipFill>
          <a:blip xmlns:r="http://schemas.openxmlformats.org/officeDocument/2006/relationships" r:embed="rId9"/>
          <a:stretch>
            <a:fillRect/>
          </a:stretch>
        </xdr:blipFill>
        <xdr:spPr>
          <a:xfrm>
            <a:off x="0" y="0"/>
            <a:ext cx="9418511" cy="4833527"/>
          </a:xfrm>
          <a:prstGeom prst="rect">
            <a:avLst/>
          </a:prstGeom>
        </xdr:spPr>
      </xdr:pic>
      <xdr:sp macro="" textlink="">
        <xdr:nvSpPr>
          <xdr:cNvPr id="6" name="星形: 五角 5">
            <a:extLst>
              <a:ext uri="{FF2B5EF4-FFF2-40B4-BE49-F238E27FC236}">
                <a16:creationId xmlns:a16="http://schemas.microsoft.com/office/drawing/2014/main" xmlns="" id="{AA8E0695-CE5D-B154-7242-16385C61D3FF}"/>
              </a:ext>
            </a:extLst>
          </xdr:cNvPr>
          <xdr:cNvSpPr/>
        </xdr:nvSpPr>
        <xdr:spPr>
          <a:xfrm>
            <a:off x="4362450" y="3571875"/>
            <a:ext cx="361950" cy="314325"/>
          </a:xfrm>
          <a:prstGeom prst="star5">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zh-CN" altLang="en-US" sz="1100" kern="1200"/>
          </a:p>
        </xdr:txBody>
      </xdr:sp>
      <xdr:sp macro="" textlink="">
        <xdr:nvSpPr>
          <xdr:cNvPr id="7" name="星形: 五角 6">
            <a:extLst>
              <a:ext uri="{FF2B5EF4-FFF2-40B4-BE49-F238E27FC236}">
                <a16:creationId xmlns:a16="http://schemas.microsoft.com/office/drawing/2014/main" xmlns="" id="{00538D5E-5B23-4934-B262-D2AD20DCBF24}"/>
              </a:ext>
            </a:extLst>
          </xdr:cNvPr>
          <xdr:cNvSpPr/>
        </xdr:nvSpPr>
        <xdr:spPr>
          <a:xfrm>
            <a:off x="6257925" y="3295650"/>
            <a:ext cx="361950" cy="314325"/>
          </a:xfrm>
          <a:prstGeom prst="star5">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zh-CN" altLang="en-US" sz="1100" kern="1200"/>
          </a:p>
        </xdr:txBody>
      </xdr:sp>
      <xdr:sp macro="" textlink="">
        <xdr:nvSpPr>
          <xdr:cNvPr id="9" name="笑脸 8">
            <a:extLst>
              <a:ext uri="{FF2B5EF4-FFF2-40B4-BE49-F238E27FC236}">
                <a16:creationId xmlns:a16="http://schemas.microsoft.com/office/drawing/2014/main" xmlns="" id="{87E5F26F-1C5E-280F-FB7B-21090F319367}"/>
              </a:ext>
            </a:extLst>
          </xdr:cNvPr>
          <xdr:cNvSpPr/>
        </xdr:nvSpPr>
        <xdr:spPr>
          <a:xfrm>
            <a:off x="2428875" y="895350"/>
            <a:ext cx="371475" cy="371475"/>
          </a:xfrm>
          <a:prstGeom prst="smileyFace">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sp macro="" textlink="">
        <xdr:nvSpPr>
          <xdr:cNvPr id="10" name="笑脸 9">
            <a:extLst>
              <a:ext uri="{FF2B5EF4-FFF2-40B4-BE49-F238E27FC236}">
                <a16:creationId xmlns:a16="http://schemas.microsoft.com/office/drawing/2014/main" xmlns="" id="{D2E9817F-4AE7-4441-820D-4DEBE8558F4B}"/>
              </a:ext>
            </a:extLst>
          </xdr:cNvPr>
          <xdr:cNvSpPr/>
        </xdr:nvSpPr>
        <xdr:spPr>
          <a:xfrm>
            <a:off x="2981325" y="2324100"/>
            <a:ext cx="371475" cy="371475"/>
          </a:xfrm>
          <a:prstGeom prst="smileyFace">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sp macro="" textlink="">
        <xdr:nvSpPr>
          <xdr:cNvPr id="21" name="笑脸 20">
            <a:extLst>
              <a:ext uri="{FF2B5EF4-FFF2-40B4-BE49-F238E27FC236}">
                <a16:creationId xmlns:a16="http://schemas.microsoft.com/office/drawing/2014/main" xmlns="" id="{0DF437E3-48A9-4C96-8E9C-901048D0BF72}"/>
              </a:ext>
            </a:extLst>
          </xdr:cNvPr>
          <xdr:cNvSpPr/>
        </xdr:nvSpPr>
        <xdr:spPr>
          <a:xfrm>
            <a:off x="3971925" y="3895725"/>
            <a:ext cx="371475" cy="371475"/>
          </a:xfrm>
          <a:prstGeom prst="smileyFace">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2023-1-0861&#21271;&#20140;&#24066;&#26124;&#24179;&#21306;&#26124;&#24179;&#38215;&#35199;&#29615;&#36335;24&#21495;&#27004;3&#33267;6&#23618;&#21830;&#19994;&#29992;&#25151;&#25151;&#22320;&#20135;&#25269;&#25276;&#20215;&#20540;&#39044;&#35780;&#20272;/F01/&#26368;&#32456;/&#20108;&#23457;&#20462;&#25913;&#27979;&#31639;-&#26124;&#24179;&#35199;&#29615;&#36335;24&#21495;3-6&#23618;-&#24352;&#27901;20231204-132403-&#38889;&#20339;&#30591;20231204-1539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686;&#38271;&#29575;&#29256;-&#22366;&#37324;&#36335;68&#21495;&#38498;-&#26354;&#32654;&#23478;&#23621;-&#24352;&#27901;20250124-1355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售价比较法-商业"/>
      <sheetName val="租金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售价比较法-商业</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ow r="3">
          <cell r="D3">
            <v>45253</v>
          </cell>
        </row>
      </sheetData>
      <sheetData sheetId="12" refreshError="1"/>
      <sheetData sheetId="13">
        <row r="3">
          <cell r="E3">
            <v>3345.01</v>
          </cell>
        </row>
        <row r="17">
          <cell r="C17" t="str">
            <v>项目类型</v>
          </cell>
        </row>
        <row r="19">
          <cell r="C19" t="str">
            <v>商业</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ow r="19">
          <cell r="G19">
            <v>4018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efreshError="1"/>
      <sheetData sheetId="27">
        <row r="49">
          <cell r="C49">
            <v>4.8</v>
          </cell>
        </row>
        <row r="61">
          <cell r="A61" t="str">
            <v>交易情况</v>
          </cell>
          <cell r="C61" t="str">
            <v>正常</v>
          </cell>
          <cell r="D61" t="str">
            <v>挂牌</v>
          </cell>
        </row>
        <row r="63">
          <cell r="B63" t="str">
            <v>用途</v>
          </cell>
          <cell r="C63" t="str">
            <v>商业</v>
          </cell>
        </row>
        <row r="86">
          <cell r="B86" t="str">
            <v>临街状况</v>
          </cell>
          <cell r="C86" t="str">
            <v>临外街</v>
          </cell>
          <cell r="D86" t="str">
            <v>临内街</v>
          </cell>
        </row>
        <row r="90">
          <cell r="B90" t="str">
            <v>人流量</v>
          </cell>
          <cell r="C90" t="str">
            <v>大</v>
          </cell>
          <cell r="D90" t="str">
            <v>较大</v>
          </cell>
          <cell r="E90" t="str">
            <v>一般</v>
          </cell>
          <cell r="F90" t="str">
            <v>较小</v>
          </cell>
        </row>
        <row r="92">
          <cell r="B92" t="str">
            <v>楼层</v>
          </cell>
          <cell r="C92" t="str">
            <v>一层</v>
          </cell>
          <cell r="D92" t="str">
            <v>二层</v>
          </cell>
          <cell r="E92" t="str">
            <v>三层</v>
          </cell>
          <cell r="F92" t="str">
            <v>四层</v>
          </cell>
          <cell r="G92" t="str">
            <v>五层</v>
          </cell>
          <cell r="H92" t="str">
            <v>六层</v>
          </cell>
          <cell r="I92" t="str">
            <v>一至四</v>
          </cell>
          <cell r="J92" t="str">
            <v>三至六</v>
          </cell>
          <cell r="K92" t="str">
            <v>二至三</v>
          </cell>
          <cell r="L92" t="str">
            <v>一至三</v>
          </cell>
        </row>
        <row r="100">
          <cell r="B100" t="str">
            <v>商业类型</v>
          </cell>
          <cell r="C100" t="str">
            <v>商业步行街</v>
          </cell>
          <cell r="D100" t="str">
            <v>独立商业楼</v>
          </cell>
          <cell r="E100" t="str">
            <v>住宅配套商业</v>
          </cell>
          <cell r="F100" t="str">
            <v>写字楼底商</v>
          </cell>
        </row>
        <row r="105">
          <cell r="B105" t="str">
            <v>建筑结构</v>
          </cell>
          <cell r="C105" t="str">
            <v>钢混</v>
          </cell>
        </row>
        <row r="107">
          <cell r="B107" t="str">
            <v>公共部分装修</v>
          </cell>
          <cell r="C107" t="str">
            <v>精装修</v>
          </cell>
          <cell r="D107" t="str">
            <v>普通装修</v>
          </cell>
        </row>
        <row r="112">
          <cell r="B112" t="str">
            <v>市政基础设施</v>
          </cell>
          <cell r="C112" t="str">
            <v>七通</v>
          </cell>
          <cell r="D112" t="str">
            <v>六通</v>
          </cell>
          <cell r="E112" t="str">
            <v>五通</v>
          </cell>
        </row>
        <row r="114">
          <cell r="B114" t="str">
            <v>业态</v>
          </cell>
          <cell r="C114" t="str">
            <v>可餐饮</v>
          </cell>
          <cell r="D114" t="str">
            <v>不可餐饮</v>
          </cell>
        </row>
        <row r="116">
          <cell r="B116" t="str">
            <v>层高</v>
          </cell>
          <cell r="C116" t="str">
            <v>5米</v>
          </cell>
          <cell r="D116" t="str">
            <v>3米</v>
          </cell>
        </row>
        <row r="120">
          <cell r="B120" t="str">
            <v>进深比</v>
          </cell>
          <cell r="C120" t="str">
            <v>较适宜</v>
          </cell>
        </row>
        <row r="122">
          <cell r="B122" t="str">
            <v>内部装修</v>
          </cell>
          <cell r="C122" t="str">
            <v>普通装修</v>
          </cell>
          <cell r="D122" t="str">
            <v>简单装修</v>
          </cell>
          <cell r="E122" t="str">
            <v>毛坯</v>
          </cell>
        </row>
      </sheetData>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t="str">
            <v>一层</v>
          </cell>
          <cell r="D17" t="str">
            <v>三层</v>
          </cell>
          <cell r="E17" t="str">
            <v>四层</v>
          </cell>
          <cell r="F17" t="str">
            <v>五层</v>
          </cell>
          <cell r="G17" t="str">
            <v>六层</v>
          </cell>
        </row>
      </sheetData>
      <sheetData sheetId="35" refreshError="1"/>
      <sheetData sheetId="36" refreshError="1"/>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Sheet1"/>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18">
          <cell r="B118">
            <v>90684.57</v>
          </cell>
          <cell r="C118">
            <v>75014.7</v>
          </cell>
          <cell r="D118">
            <v>15568</v>
          </cell>
          <cell r="F118">
            <v>34813</v>
          </cell>
          <cell r="H118">
            <v>50381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估价对象为北京市房地产，为所有。根据《国有土地使用证》[]，估价对象（分摊）出让国有建设用地使用权面积为120628.8平方米，建筑面积为66988.94平方米。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估价对象为北京市房地产,属开发建设的，该项目尚在开发建设中。根据《国有土地使用证》[]，估价对象（分摊）出让国有建设用地使用权面积为120628.8平方米，规划建筑面积为66988.94平方米。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2025年1月20日（评估专业人员实地查勘之日）</v>
      </c>
    </row>
    <row r="13" spans="1:2">
      <c r="A13" s="1119" t="s">
        <v>529</v>
      </c>
      <c r="B13" s="1120" t="str">
        <f>'预评函-1'!A18</f>
        <v>本次估价的“房地产价值”是指在正常市场情况下，在价值时点2025年1月20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
      </c>
    </row>
    <row r="18" spans="1:2" s="1115" customFormat="1" ht="15" thickBot="1">
      <c r="A18" s="1122" t="s">
        <v>534</v>
      </c>
      <c r="B18" s="1123" t="str">
        <f>'预评函-1'!A24</f>
        <v>本次评估采用的主估价方法为成本法和收益法。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35890</v>
      </c>
    </row>
    <row r="21" spans="1:2">
      <c r="A21" s="1119" t="s">
        <v>537</v>
      </c>
      <c r="B21" s="1120">
        <f ca="1">'预评函-2'!D7</f>
        <v>5358</v>
      </c>
    </row>
    <row r="22" spans="1:2">
      <c r="A22" s="1119" t="s">
        <v>538</v>
      </c>
      <c r="B22" s="1120" t="str">
        <f ca="1">'预评函-2'!D6</f>
        <v>叁亿伍仟捌佰玖拾万元整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35890</v>
      </c>
    </row>
    <row r="31" spans="1:2">
      <c r="A31" s="1119" t="s">
        <v>576</v>
      </c>
      <c r="B31" s="1120">
        <f ca="1">'预评函-2'!D15</f>
        <v>5358</v>
      </c>
    </row>
    <row r="32" spans="1:2">
      <c r="A32" s="1119" t="s">
        <v>543</v>
      </c>
      <c r="B32" s="1120" t="str">
        <f ca="1">'预评函-2'!D14</f>
        <v>叁亿伍仟捌佰玖拾万元整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66988.94</v>
      </c>
    </row>
    <row r="44" spans="1:2">
      <c r="A44" s="1119" t="s">
        <v>575</v>
      </c>
      <c r="B44" s="1120" t="str">
        <f>'预评函-3'!C2</f>
        <v>(分摊)土地面积</v>
      </c>
    </row>
    <row r="45" spans="1:2">
      <c r="A45" s="1119" t="s">
        <v>547</v>
      </c>
      <c r="B45" s="1120">
        <f>'预评函-3'!C4</f>
        <v>120628.8</v>
      </c>
    </row>
    <row r="46" spans="1:2">
      <c r="A46" s="1119" t="s">
        <v>573</v>
      </c>
      <c r="B46" s="1120" t="str">
        <f>'预评函-3'!D2</f>
        <v>出让国有建设用地使用权价值</v>
      </c>
    </row>
    <row r="47" spans="1:2">
      <c r="A47" s="1119" t="s">
        <v>548</v>
      </c>
      <c r="B47" s="1120">
        <f ca="1">'预评函-3'!D4</f>
        <v>16904</v>
      </c>
    </row>
    <row r="48" spans="1:2">
      <c r="A48" s="1119" t="s">
        <v>549</v>
      </c>
      <c r="B48" s="1120">
        <f ca="1">'预评函-3'!E4</f>
        <v>2524</v>
      </c>
    </row>
    <row r="49" spans="1:2">
      <c r="A49" s="1119" t="s">
        <v>550</v>
      </c>
      <c r="B49" s="1120" t="str">
        <f ca="1">'预评函-3'!D5</f>
        <v>壹亿陆仟玖佰零肆万元整</v>
      </c>
    </row>
    <row r="50" spans="1:2">
      <c r="A50" s="1119" t="s">
        <v>574</v>
      </c>
      <c r="B50" s="1120" t="str">
        <f>'预评函-3'!F2</f>
        <v>在建建筑物价值</v>
      </c>
    </row>
    <row r="51" spans="1:2">
      <c r="A51" s="1119" t="s">
        <v>551</v>
      </c>
      <c r="B51" s="1120">
        <f ca="1">'预评函-3'!F4</f>
        <v>18986</v>
      </c>
    </row>
    <row r="52" spans="1:2">
      <c r="A52" s="1119" t="s">
        <v>552</v>
      </c>
      <c r="B52" s="1120">
        <f ca="1">'预评函-3'!G4</f>
        <v>2834</v>
      </c>
    </row>
    <row r="53" spans="1:2">
      <c r="A53" s="1119" t="s">
        <v>580</v>
      </c>
      <c r="B53" s="1120" t="str">
        <f ca="1">'预评函-3'!F5</f>
        <v>壹亿捌仟玖佰捌拾陆万元整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已设定抵押。上述权属证件中未登记该抵押权的具体情况（债权数额、期限等）。根据《房屋他项权利证书》原件，估价对象已抵押给，权利范围为，权利价值为。</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211" t="str">
        <f>项目基本情况!B1</f>
        <v>北京市房地产抵押价值预评估</v>
      </c>
      <c r="C37" s="3211"/>
      <c r="D37" s="3211"/>
      <c r="E37" s="3211"/>
      <c r="F37" s="3211"/>
      <c r="G37" s="3211"/>
      <c r="H37" s="3211"/>
      <c r="I37" s="3211"/>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882</v>
      </c>
    </row>
    <row r="3" spans="1:1" ht="18">
      <c r="A3" s="1381" t="str">
        <f>项目基本情况!B5&amp;"："</f>
        <v>：</v>
      </c>
    </row>
    <row r="4" spans="1:1" ht="18">
      <c r="A4" s="1382" t="str">
        <f>"受贵公司委托，我公司对"&amp;项目基本情况!S1&amp;"进行了预评估。"</f>
        <v>受贵公司委托，我公司对北京市房地产抵押价值进行了预评估。</v>
      </c>
    </row>
    <row r="5" spans="1:1" ht="18.75">
      <c r="A5" s="1383" t="s">
        <v>883</v>
      </c>
    </row>
    <row r="6" spans="1:1" ht="18.75">
      <c r="A6" s="1384" t="s">
        <v>884</v>
      </c>
    </row>
    <row r="7" spans="1:1" ht="54">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估价对象为北京市房地产，为所有。根据《国有土地使用证》[]，估价对象（分摊）出让国有建设用地使用权面积为120628.8平方米，建筑面积为66988.94平方米。</v>
      </c>
    </row>
    <row r="8" spans="1:1" ht="57.75">
      <c r="A8" s="1385" t="s">
        <v>885</v>
      </c>
    </row>
    <row r="9" spans="1:1" ht="18.75">
      <c r="A9" s="1384" t="s">
        <v>886</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估价对象为北京市房地产,属开发建设的，该项目尚在开发建设中。根据《国有土地使用证》[]，估价对象（分摊）出让国有建设用地使用权面积为120628.8平方米，规划建筑面积为66988.94平方米。</v>
      </c>
    </row>
    <row r="11" spans="1:1" ht="76.5">
      <c r="A11" s="1385" t="s">
        <v>887</v>
      </c>
    </row>
    <row r="12" spans="1:1" ht="18.75">
      <c r="A12" s="1383" t="s">
        <v>888</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889</v>
      </c>
    </row>
    <row r="15" spans="1:1" ht="18">
      <c r="A15" s="1386" t="str">
        <f>TEXT(项目基本情况!D3,"yyyy年m月d日;;")&amp;IF(项目基本情况!D3=项目基本情况!B3,"（评估专业人员实地查勘之日）","")</f>
        <v>2025年1月20日（评估专业人员实地查勘之日）</v>
      </c>
    </row>
    <row r="16" spans="1:1" ht="18.75">
      <c r="A16" s="1381" t="s">
        <v>890</v>
      </c>
    </row>
    <row r="17" spans="1:1" ht="75">
      <c r="A17" s="1382" t="s">
        <v>891</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20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82" t="str">
        <f>IF(项目基本情况!B9="房地产市场价值","——",IF(项目基本情况!E9="——","",定义!C57))</f>
        <v/>
      </c>
    </row>
    <row r="23" spans="1:1" ht="18.75">
      <c r="A23" s="1381" t="s">
        <v>880</v>
      </c>
    </row>
    <row r="24" spans="1:1" ht="18">
      <c r="A24" s="1387" t="str">
        <f>"本次评估采用的主估价方法为"&amp;结果表!K4&amp;"和"&amp;结果表!L4&amp;"。"</f>
        <v>本次评估采用的主估价方法为成本法和收益法。</v>
      </c>
    </row>
    <row r="25" spans="1:1" ht="18">
      <c r="A25" s="1387"/>
    </row>
    <row r="26" spans="1:1" ht="18.75">
      <c r="A26" s="1388" t="s">
        <v>881</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892</v>
      </c>
    </row>
    <row r="2" spans="1:5" ht="78" customHeight="1">
      <c r="A2" s="321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16"/>
      <c r="C2" s="3216"/>
      <c r="D2" s="3216"/>
      <c r="E2" s="3216"/>
    </row>
    <row r="3" spans="1:5" ht="18">
      <c r="A3" s="3217" t="str">
        <f>IF(项目基本情况!B9="房地产市场价值","估价结果一览表（市场价值不需“结果表-1”）","估价结果一览表")</f>
        <v>估价结果一览表</v>
      </c>
      <c r="B3" s="3217"/>
      <c r="C3" s="3217"/>
      <c r="D3" s="3217"/>
      <c r="E3" s="3217"/>
    </row>
    <row r="4" spans="1:5" ht="19.5" thickBot="1">
      <c r="A4" s="1391"/>
      <c r="B4" s="3215" t="s">
        <v>901</v>
      </c>
      <c r="C4" s="3215"/>
      <c r="D4" s="3215"/>
      <c r="E4" s="1391"/>
    </row>
    <row r="5" spans="1:5" ht="16.5" thickTop="1">
      <c r="B5" s="3213" t="s">
        <v>893</v>
      </c>
      <c r="C5" s="1392" t="s">
        <v>894</v>
      </c>
      <c r="D5" s="797">
        <f ca="1">结果表!H101</f>
        <v>35890</v>
      </c>
    </row>
    <row r="6" spans="1:5" ht="15.75">
      <c r="B6" s="3213"/>
      <c r="C6" s="1392" t="s">
        <v>895</v>
      </c>
      <c r="D6" s="797" t="str">
        <f ca="1">NUMBERSTRING(INT(D5*10000),2)&amp;"元整"</f>
        <v>叁亿伍仟捌佰玖拾万元整</v>
      </c>
    </row>
    <row r="7" spans="1:5" ht="15.75">
      <c r="B7" s="3218"/>
      <c r="C7" s="1393" t="s">
        <v>896</v>
      </c>
      <c r="D7" s="798">
        <f ca="1">结果表!H102</f>
        <v>5358</v>
      </c>
    </row>
    <row r="8" spans="1:5" ht="15.75">
      <c r="B8" s="3219" t="str">
        <f>结果表!E103</f>
        <v>2.估价师知悉的法定优先受偿款</v>
      </c>
      <c r="C8" s="1394" t="s">
        <v>897</v>
      </c>
      <c r="D8" s="798">
        <f>结果表!H103</f>
        <v>0</v>
      </c>
    </row>
    <row r="9" spans="1:5" ht="15.75">
      <c r="B9" s="3221"/>
      <c r="C9" s="1392" t="s">
        <v>895</v>
      </c>
      <c r="D9" s="797" t="str">
        <f>NUMBERSTRING(INT(D8*10000),2)&amp;"元整"</f>
        <v>零元整</v>
      </c>
    </row>
    <row r="10" spans="1:5" ht="15">
      <c r="B10" s="1395" t="s">
        <v>900</v>
      </c>
      <c r="C10" s="1396" t="s">
        <v>898</v>
      </c>
      <c r="D10" s="799">
        <f>结果表!H104</f>
        <v>0</v>
      </c>
    </row>
    <row r="11" spans="1:5" ht="15">
      <c r="B11" s="1395" t="s">
        <v>902</v>
      </c>
      <c r="C11" s="1396" t="s">
        <v>903</v>
      </c>
      <c r="D11" s="799">
        <f>结果表!H105</f>
        <v>0</v>
      </c>
    </row>
    <row r="12" spans="1:5" ht="15">
      <c r="B12" s="1395" t="s">
        <v>904</v>
      </c>
      <c r="C12" s="1396" t="s">
        <v>903</v>
      </c>
      <c r="D12" s="799">
        <f>结果表!H106</f>
        <v>0</v>
      </c>
    </row>
    <row r="13" spans="1:5" ht="15.75">
      <c r="B13" s="3212" t="str">
        <f>结果表!E107</f>
        <v>3.房地产抵押价值</v>
      </c>
      <c r="C13" s="1397" t="s">
        <v>894</v>
      </c>
      <c r="D13" s="800">
        <f ca="1">结果表!H107</f>
        <v>35890</v>
      </c>
    </row>
    <row r="14" spans="1:5" ht="15.75">
      <c r="B14" s="3213"/>
      <c r="C14" s="1392" t="s">
        <v>895</v>
      </c>
      <c r="D14" s="797" t="str">
        <f ca="1">NUMBERSTRING(INT(D13*10000),2)&amp;"元整"</f>
        <v>叁亿伍仟捌佰玖拾万元整</v>
      </c>
    </row>
    <row r="15" spans="1:5" ht="15">
      <c r="B15" s="3218"/>
      <c r="C15" s="1393" t="s">
        <v>905</v>
      </c>
      <c r="D15" s="806">
        <f ca="1">结果表!H108</f>
        <v>5358</v>
      </c>
    </row>
    <row r="16" spans="1:5" ht="15">
      <c r="B16" s="3219" t="str">
        <f>结果表!E109</f>
        <v>——</v>
      </c>
      <c r="C16" s="1397" t="s">
        <v>906</v>
      </c>
      <c r="D16" s="1398" t="str">
        <f>结果表!H109</f>
        <v>——</v>
      </c>
    </row>
    <row r="17" spans="1:5" ht="15.75">
      <c r="B17" s="3220"/>
      <c r="C17" s="1392" t="s">
        <v>907</v>
      </c>
      <c r="D17" s="797" t="e">
        <f>NUMBERSTRING(INT(D16*10000),2)&amp;"元整"</f>
        <v>#VALUE!</v>
      </c>
    </row>
    <row r="18" spans="1:5" ht="15">
      <c r="B18" s="3221"/>
      <c r="C18" s="1393" t="s">
        <v>896</v>
      </c>
      <c r="D18" s="806" t="str">
        <f>结果表!H110</f>
        <v>——</v>
      </c>
    </row>
    <row r="19" spans="1:5" ht="15.75">
      <c r="B19" s="3212" t="str">
        <f>结果表!E111</f>
        <v>——</v>
      </c>
      <c r="C19" s="1397" t="s">
        <v>894</v>
      </c>
      <c r="D19" s="798" t="str">
        <f>结果表!H111</f>
        <v>——</v>
      </c>
    </row>
    <row r="20" spans="1:5" ht="15.75">
      <c r="B20" s="3213"/>
      <c r="C20" s="1392" t="s">
        <v>907</v>
      </c>
      <c r="D20" s="797" t="e">
        <f>NUMBERSTRING(INT(D19*10000),2)&amp;"元整"</f>
        <v>#VALUE!</v>
      </c>
    </row>
    <row r="21" spans="1:5" ht="15.75" thickBot="1">
      <c r="B21" s="3214"/>
      <c r="C21" s="1399" t="s">
        <v>905</v>
      </c>
      <c r="D21" s="807" t="str">
        <f>结果表!H112</f>
        <v>——</v>
      </c>
    </row>
    <row r="22" spans="1:5" ht="15" thickTop="1">
      <c r="B22" s="1400" t="s">
        <v>908</v>
      </c>
    </row>
    <row r="24" spans="1:5" ht="18.75">
      <c r="A24" s="1401"/>
      <c r="B24" s="1402" t="s">
        <v>899</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229" t="str">
        <f>IF(项目基本情况!B9="房地产市场价值","估价结果一览表","结果表-2")</f>
        <v>结果表-2</v>
      </c>
      <c r="B1" s="3229"/>
      <c r="C1" s="3229"/>
      <c r="D1" s="3229"/>
      <c r="E1" s="3229"/>
      <c r="F1" s="3229"/>
      <c r="G1" s="3229"/>
      <c r="H1" s="3229"/>
      <c r="I1" s="3229"/>
    </row>
    <row r="2" spans="1:9" ht="30" customHeight="1" thickTop="1">
      <c r="A2" s="3230" t="s">
        <v>912</v>
      </c>
      <c r="B2" s="3230" t="s">
        <v>913</v>
      </c>
      <c r="C2" s="3230" t="s">
        <v>914</v>
      </c>
      <c r="D2" s="3230" t="str">
        <f>结果表!D116</f>
        <v>出让国有建设用地使用权价值</v>
      </c>
      <c r="E2" s="3230"/>
      <c r="F2" s="3230" t="str">
        <f>结果表!F116</f>
        <v>在建建筑物价值</v>
      </c>
      <c r="G2" s="3230"/>
      <c r="H2" s="3230" t="str">
        <f>IF(项目基本情况!B9="房地产市场价值","房地产市场价值","房地产价值")</f>
        <v>房地产价值</v>
      </c>
      <c r="I2" s="3230"/>
    </row>
    <row r="3" spans="1:9" ht="15">
      <c r="A3" s="3225"/>
      <c r="B3" s="3225"/>
      <c r="C3" s="3225"/>
      <c r="D3" s="801" t="s">
        <v>909</v>
      </c>
      <c r="E3" s="801" t="s">
        <v>915</v>
      </c>
      <c r="F3" s="801" t="s">
        <v>909</v>
      </c>
      <c r="G3" s="801" t="s">
        <v>910</v>
      </c>
      <c r="H3" s="801" t="s">
        <v>909</v>
      </c>
      <c r="I3" s="801" t="s">
        <v>910</v>
      </c>
    </row>
    <row r="4" spans="1:9" ht="15">
      <c r="A4" s="1403" t="str">
        <f>项目基本情况!S2</f>
        <v>北京市房地产</v>
      </c>
      <c r="B4" s="801">
        <f>项目基本情况!C17</f>
        <v>66988.94</v>
      </c>
      <c r="C4" s="801">
        <f>项目基本情况!C18</f>
        <v>120628.8</v>
      </c>
      <c r="D4" s="801">
        <f ca="1">结果表!D118</f>
        <v>16904</v>
      </c>
      <c r="E4" s="801">
        <f ca="1">结果表!E118</f>
        <v>2524</v>
      </c>
      <c r="F4" s="801">
        <f ca="1">结果表!F118</f>
        <v>18986</v>
      </c>
      <c r="G4" s="801">
        <f ca="1">结果表!G118</f>
        <v>2834</v>
      </c>
      <c r="H4" s="801">
        <f ca="1">结果表!H118</f>
        <v>35890</v>
      </c>
      <c r="I4" s="801">
        <f ca="1">结果表!I118</f>
        <v>5358</v>
      </c>
    </row>
    <row r="5" spans="1:9" ht="30" customHeight="1">
      <c r="A5" s="3225" t="s">
        <v>911</v>
      </c>
      <c r="B5" s="3225"/>
      <c r="C5" s="3225"/>
      <c r="D5" s="3225" t="str">
        <f ca="1">结果表!D119</f>
        <v>壹亿陆仟玖佰零肆万元整</v>
      </c>
      <c r="E5" s="3225"/>
      <c r="F5" s="3225" t="str">
        <f ca="1">结果表!F119</f>
        <v>壹亿捌仟玖佰捌拾陆万元整</v>
      </c>
      <c r="G5" s="3225"/>
      <c r="H5" s="3225" t="str">
        <f ca="1">结果表!H119</f>
        <v>叁亿伍仟捌佰玖拾万元整</v>
      </c>
      <c r="I5" s="3225"/>
    </row>
    <row r="6" spans="1:9" ht="15.75">
      <c r="A6" s="3224" t="str">
        <f>结果表!A120</f>
        <v>估价师知悉的法定优先受偿款</v>
      </c>
      <c r="B6" s="3224"/>
      <c r="C6" s="3224"/>
      <c r="D6" s="3224">
        <f>结果表!D120</f>
        <v>0</v>
      </c>
      <c r="E6" s="3224"/>
      <c r="F6" s="3224"/>
      <c r="G6" s="3224"/>
      <c r="H6" s="3224"/>
      <c r="I6" s="3224"/>
    </row>
    <row r="7" spans="1:9" ht="15">
      <c r="A7" s="3225" t="s">
        <v>911</v>
      </c>
      <c r="B7" s="3225"/>
      <c r="C7" s="3225"/>
      <c r="D7" s="3226" t="str">
        <f>结果表!D121</f>
        <v>零元整</v>
      </c>
      <c r="E7" s="3227"/>
      <c r="F7" s="3227"/>
      <c r="G7" s="3227"/>
      <c r="H7" s="3227"/>
      <c r="I7" s="3228"/>
    </row>
    <row r="8" spans="1:9" ht="15.75">
      <c r="A8" s="3224" t="str">
        <f>结果表!A122</f>
        <v>房地产抵押价值</v>
      </c>
      <c r="B8" s="3224"/>
      <c r="C8" s="3224"/>
      <c r="D8" s="3224">
        <f ca="1">结果表!D122</f>
        <v>35890</v>
      </c>
      <c r="E8" s="3224"/>
      <c r="F8" s="3224"/>
      <c r="G8" s="3224"/>
      <c r="H8" s="3224"/>
      <c r="I8" s="3224"/>
    </row>
    <row r="9" spans="1:9" ht="15">
      <c r="A9" s="3225" t="s">
        <v>911</v>
      </c>
      <c r="B9" s="3225"/>
      <c r="C9" s="3225"/>
      <c r="D9" s="3225" t="str">
        <f ca="1">结果表!D123</f>
        <v>叁亿伍仟捌佰玖拾万元整</v>
      </c>
      <c r="E9" s="3225"/>
      <c r="F9" s="3225"/>
      <c r="G9" s="3225"/>
      <c r="H9" s="3225"/>
      <c r="I9" s="3225"/>
    </row>
    <row r="10" spans="1:9" ht="15.75">
      <c r="A10" s="3224" t="str">
        <f>结果表!A124</f>
        <v/>
      </c>
      <c r="B10" s="3224"/>
      <c r="C10" s="3224"/>
      <c r="D10" s="3224" t="str">
        <f>结果表!D124</f>
        <v>——</v>
      </c>
      <c r="E10" s="3224"/>
      <c r="F10" s="3224"/>
      <c r="G10" s="3224"/>
      <c r="H10" s="3224"/>
      <c r="I10" s="3224"/>
    </row>
    <row r="11" spans="1:9" ht="15">
      <c r="A11" s="3225" t="s">
        <v>911</v>
      </c>
      <c r="B11" s="3225"/>
      <c r="C11" s="3225"/>
      <c r="D11" s="3225" t="e">
        <f>结果表!D125</f>
        <v>#VALUE!</v>
      </c>
      <c r="E11" s="3225"/>
      <c r="F11" s="3225"/>
      <c r="G11" s="3225"/>
      <c r="H11" s="3225"/>
      <c r="I11" s="3225"/>
    </row>
    <row r="12" spans="1:9" ht="15.75">
      <c r="A12" s="3224" t="str">
        <f>结果表!A126</f>
        <v/>
      </c>
      <c r="B12" s="3224"/>
      <c r="C12" s="3224"/>
      <c r="D12" s="3224" t="str">
        <f>结果表!D126</f>
        <v>——</v>
      </c>
      <c r="E12" s="3224"/>
      <c r="F12" s="3224"/>
      <c r="G12" s="3224"/>
      <c r="H12" s="3224"/>
      <c r="I12" s="3224"/>
    </row>
    <row r="13" spans="1:9" ht="15.75" thickBot="1">
      <c r="A13" s="3222" t="s">
        <v>911</v>
      </c>
      <c r="B13" s="3222"/>
      <c r="C13" s="3222"/>
      <c r="D13" s="3222" t="e">
        <f>结果表!D127</f>
        <v>#VALUE!</v>
      </c>
      <c r="E13" s="3222"/>
      <c r="F13" s="3222"/>
      <c r="G13" s="3222"/>
      <c r="H13" s="3222"/>
      <c r="I13" s="3222"/>
    </row>
    <row r="14" spans="1:9" ht="15" thickTop="1">
      <c r="A14" s="3223" t="s">
        <v>916</v>
      </c>
      <c r="B14" s="3223"/>
      <c r="C14" s="3223"/>
      <c r="D14" s="3223"/>
      <c r="E14" s="3223"/>
      <c r="F14" s="3223"/>
      <c r="G14" s="3223"/>
      <c r="H14" s="3223"/>
      <c r="I14" s="3223"/>
    </row>
    <row r="16" spans="1:9" ht="18.75">
      <c r="A16" s="1404" t="s">
        <v>899</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237" t="s">
        <v>933</v>
      </c>
      <c r="B1" s="3237"/>
      <c r="C1" s="3237"/>
      <c r="D1" s="3237"/>
    </row>
    <row r="2" spans="1:4" ht="18">
      <c r="A2" s="3238" t="s">
        <v>917</v>
      </c>
      <c r="B2" s="3238"/>
      <c r="C2" s="3238"/>
      <c r="D2" s="3238"/>
    </row>
    <row r="3" spans="1:4" ht="18.75">
      <c r="A3" s="1407" t="s">
        <v>918</v>
      </c>
      <c r="B3" s="1407" t="s">
        <v>919</v>
      </c>
      <c r="C3" s="1407" t="s">
        <v>920</v>
      </c>
      <c r="D3" s="1407" t="s">
        <v>921</v>
      </c>
    </row>
    <row r="4" spans="1:4" ht="56.25" customHeight="1">
      <c r="A4" s="1408">
        <f>项目基本情况!B4</f>
        <v>0</v>
      </c>
      <c r="B4" s="1409">
        <f>项目基本情况!C4</f>
        <v>0</v>
      </c>
      <c r="C4" s="1410"/>
      <c r="D4" s="1411" t="s">
        <v>922</v>
      </c>
    </row>
    <row r="5" spans="1:4" ht="56.25" customHeight="1">
      <c r="A5" s="1408">
        <f>项目基本情况!D4</f>
        <v>0</v>
      </c>
      <c r="B5" s="1409">
        <f>项目基本情况!E4</f>
        <v>0</v>
      </c>
      <c r="C5" s="1412"/>
      <c r="D5" s="1411" t="s">
        <v>922</v>
      </c>
    </row>
    <row r="6" spans="1:4" ht="18">
      <c r="A6" s="3238" t="s">
        <v>923</v>
      </c>
      <c r="B6" s="3238"/>
      <c r="C6" s="3238"/>
      <c r="D6" s="3238"/>
    </row>
    <row r="7" spans="1:4" ht="18.75">
      <c r="A7" s="1407" t="s">
        <v>918</v>
      </c>
      <c r="B7" s="1409" t="s">
        <v>924</v>
      </c>
      <c r="C7" s="1407" t="s">
        <v>920</v>
      </c>
      <c r="D7" s="1407" t="s">
        <v>921</v>
      </c>
    </row>
    <row r="8" spans="1:4" ht="56.25" customHeight="1">
      <c r="A8" s="1413" t="s">
        <v>390</v>
      </c>
      <c r="B8" s="1413" t="s">
        <v>0</v>
      </c>
      <c r="C8" s="1410"/>
      <c r="D8" s="1411" t="s">
        <v>922</v>
      </c>
    </row>
    <row r="10" spans="1:4" ht="18.75">
      <c r="A10" s="1414" t="s">
        <v>925</v>
      </c>
    </row>
    <row r="11" spans="1:4" ht="30" customHeight="1">
      <c r="A11" s="3239" t="s">
        <v>926</v>
      </c>
      <c r="B11" s="3231"/>
      <c r="C11" s="3231"/>
      <c r="D11" s="3231"/>
    </row>
    <row r="12" spans="1:4" ht="15.75">
      <c r="A12" s="323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36"/>
      <c r="C12" s="3236"/>
      <c r="D12" s="3236"/>
    </row>
    <row r="13" spans="1:4" ht="30" customHeight="1">
      <c r="A13" s="323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36"/>
      <c r="C13" s="3236"/>
      <c r="D13" s="3236"/>
    </row>
    <row r="14" spans="1:4" ht="15.75" customHeight="1">
      <c r="A14" s="3231" t="str">
        <f>IF(项目基本情况!B8="抵押","4.本次评估估价师所知悉的法定优先受偿款情况说明如下：","——")</f>
        <v>4.本次评估估价师所知悉的法定优先受偿款情况说明如下：</v>
      </c>
      <c r="B14" s="3236"/>
      <c r="C14" s="3236"/>
      <c r="D14" s="3236"/>
    </row>
    <row r="15" spans="1:4" ht="42" customHeight="1">
      <c r="A15" s="3231"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根据《房屋他项权利证书》原件，估价对象已抵押给，权利范围为，权利价值为。</v>
      </c>
      <c r="B15" s="3231"/>
      <c r="C15" s="3231"/>
      <c r="D15" s="3231"/>
    </row>
    <row r="16" spans="1:4" ht="30" customHeight="1">
      <c r="A16" s="3233" t="s">
        <v>927</v>
      </c>
      <c r="B16" s="3233"/>
      <c r="C16" s="3233"/>
      <c r="D16" s="3233"/>
    </row>
    <row r="17" spans="1:4" ht="144" customHeight="1">
      <c r="A17" s="3233" t="s">
        <v>928</v>
      </c>
      <c r="B17" s="3233"/>
      <c r="C17" s="3233"/>
      <c r="D17" s="3233"/>
    </row>
    <row r="18" spans="1:4" ht="15.75" customHeight="1">
      <c r="A18" s="3231" t="str">
        <f>IF(项目基本情况!B8="抵押",结果表!K120,"——")</f>
        <v>故，本次评估不存在估价师知悉的法定优先受偿款</v>
      </c>
      <c r="B18" s="3231"/>
      <c r="C18" s="3231"/>
      <c r="D18" s="3231"/>
    </row>
    <row r="19" spans="1:4" ht="46.5" customHeight="1">
      <c r="A19" s="323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31"/>
      <c r="C19" s="3231"/>
      <c r="D19" s="3231"/>
    </row>
    <row r="20" spans="1:4" ht="57.75" customHeight="1">
      <c r="A20" s="323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31"/>
      <c r="C20" s="3231"/>
      <c r="D20" s="3231"/>
    </row>
    <row r="21" spans="1:4" ht="57.75" customHeight="1">
      <c r="A21" s="323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34"/>
      <c r="C21" s="3234"/>
      <c r="D21" s="3234"/>
    </row>
    <row r="22" spans="1:4" ht="18.75" customHeight="1">
      <c r="A22" s="3235" t="s">
        <v>929</v>
      </c>
      <c r="B22" s="3235"/>
      <c r="C22" s="3235"/>
      <c r="D22" s="3235"/>
    </row>
    <row r="23" spans="1:4">
      <c r="A23" s="1415"/>
      <c r="B23" s="459"/>
      <c r="C23" s="459"/>
      <c r="D23" s="459"/>
    </row>
    <row r="24" spans="1:4">
      <c r="A24" s="1415"/>
      <c r="B24" s="459"/>
      <c r="C24" s="459"/>
      <c r="D24" s="459"/>
    </row>
    <row r="25" spans="1:4" ht="18.75">
      <c r="A25" s="1416" t="s">
        <v>930</v>
      </c>
    </row>
    <row r="26" spans="1:4" ht="18">
      <c r="A26" s="1387"/>
    </row>
    <row r="27" spans="1:4" ht="18.75">
      <c r="A27" s="1387" t="s">
        <v>931</v>
      </c>
    </row>
    <row r="30" spans="1:4" ht="18.75">
      <c r="D30" s="1416" t="s">
        <v>932</v>
      </c>
    </row>
    <row r="31" spans="1:4" ht="13.5" customHeight="1">
      <c r="C31" s="3232">
        <v>42551</v>
      </c>
      <c r="D31" s="323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934</v>
      </c>
    </row>
    <row r="3" spans="1:7">
      <c r="A3" s="1420" t="s">
        <v>55</v>
      </c>
      <c r="B3" s="1405" t="s">
        <v>935</v>
      </c>
      <c r="G3" s="1421"/>
    </row>
    <row r="4" spans="1:7">
      <c r="G4" s="1421"/>
    </row>
    <row r="5" spans="1:7">
      <c r="A5" s="1423" t="s">
        <v>46</v>
      </c>
      <c r="B5" s="1405" t="s">
        <v>936</v>
      </c>
      <c r="G5" s="1421"/>
    </row>
    <row r="6" spans="1:7">
      <c r="G6" s="1421"/>
    </row>
    <row r="7" spans="1:7">
      <c r="A7" s="1424" t="s">
        <v>108</v>
      </c>
      <c r="B7" s="1405" t="s">
        <v>937</v>
      </c>
      <c r="G7" s="1421"/>
    </row>
    <row r="8" spans="1:7">
      <c r="G8" s="1421"/>
    </row>
    <row r="9" spans="1:7">
      <c r="A9" s="1425" t="s">
        <v>47</v>
      </c>
      <c r="B9" s="1405" t="s">
        <v>938</v>
      </c>
    </row>
    <row r="11" spans="1:7">
      <c r="A11" s="1426" t="s">
        <v>48</v>
      </c>
      <c r="B11" s="1427" t="s">
        <v>45</v>
      </c>
    </row>
    <row r="13" spans="1:7">
      <c r="A13" s="1428" t="s">
        <v>939</v>
      </c>
    </row>
    <row r="15" spans="1:7" ht="13.5">
      <c r="A15" s="3245" t="s">
        <v>940</v>
      </c>
      <c r="B15" s="3240" t="s">
        <v>109</v>
      </c>
      <c r="C15" s="3241"/>
    </row>
    <row r="16" spans="1:7" ht="13.5">
      <c r="A16" s="3246"/>
      <c r="B16" s="3240" t="s">
        <v>42</v>
      </c>
      <c r="C16" s="3241"/>
    </row>
    <row r="17" spans="1:3" ht="13.5">
      <c r="A17" s="3246"/>
      <c r="B17" s="3243" t="s">
        <v>941</v>
      </c>
      <c r="C17" s="1429" t="s">
        <v>940</v>
      </c>
    </row>
    <row r="18" spans="1:3" ht="13.5">
      <c r="A18" s="3246"/>
      <c r="B18" s="3243"/>
      <c r="C18" s="1429" t="s">
        <v>942</v>
      </c>
    </row>
    <row r="19" spans="1:3" ht="13.5">
      <c r="A19" s="3246"/>
      <c r="B19" s="3243"/>
      <c r="C19" s="1429" t="s">
        <v>943</v>
      </c>
    </row>
    <row r="20" spans="1:3" ht="13.5">
      <c r="A20" s="3247"/>
      <c r="B20" s="3242" t="s">
        <v>944</v>
      </c>
      <c r="C20" s="3241"/>
    </row>
    <row r="21" spans="1:3" ht="13.5">
      <c r="A21" s="1430" t="s">
        <v>945</v>
      </c>
      <c r="B21" s="1431"/>
      <c r="C21" s="1432"/>
    </row>
    <row r="22" spans="1:3" ht="13.5">
      <c r="A22" s="3244" t="s">
        <v>946</v>
      </c>
      <c r="B22" s="3242" t="s">
        <v>947</v>
      </c>
      <c r="C22" s="3241"/>
    </row>
    <row r="23" spans="1:3" ht="13.5">
      <c r="A23" s="3244"/>
      <c r="B23" s="3242" t="s">
        <v>948</v>
      </c>
      <c r="C23" s="3241"/>
    </row>
    <row r="24" spans="1:3" ht="13.5">
      <c r="A24" s="3244"/>
      <c r="B24" s="3242" t="s">
        <v>949</v>
      </c>
      <c r="C24" s="3241"/>
    </row>
    <row r="25" spans="1:3" ht="13.5">
      <c r="A25" s="3244"/>
      <c r="B25" s="3243" t="s">
        <v>950</v>
      </c>
      <c r="C25" s="1429" t="s">
        <v>951</v>
      </c>
    </row>
    <row r="26" spans="1:3" ht="13.5">
      <c r="A26" s="3244"/>
      <c r="B26" s="3243"/>
      <c r="C26" s="1429" t="s">
        <v>952</v>
      </c>
    </row>
    <row r="27" spans="1:3" ht="13.5">
      <c r="A27" s="3244"/>
      <c r="B27" s="3243"/>
      <c r="C27" s="1429" t="s">
        <v>953</v>
      </c>
    </row>
    <row r="28" spans="1:3" ht="13.5">
      <c r="A28" s="3244"/>
      <c r="B28" s="3243"/>
      <c r="C28" s="1429" t="s">
        <v>954</v>
      </c>
    </row>
    <row r="29" spans="1:3" ht="13.5">
      <c r="A29" s="3244"/>
      <c r="B29" s="3243"/>
      <c r="C29" s="1429" t="s">
        <v>955</v>
      </c>
    </row>
    <row r="30" spans="1:3" ht="13.5">
      <c r="A30" s="3244"/>
      <c r="B30" s="3243"/>
      <c r="C30" s="1429" t="s">
        <v>956</v>
      </c>
    </row>
    <row r="31" spans="1:3" ht="13.5">
      <c r="A31" s="3244"/>
      <c r="B31" s="3243"/>
      <c r="C31" s="1429" t="s">
        <v>957</v>
      </c>
    </row>
    <row r="32" spans="1:3" ht="13.5">
      <c r="A32" s="3244"/>
      <c r="B32" s="3243"/>
      <c r="C32" s="1429" t="s">
        <v>958</v>
      </c>
    </row>
    <row r="33" spans="1:3" ht="13.5">
      <c r="A33" s="3244"/>
      <c r="B33" s="3243"/>
      <c r="C33" s="1429" t="s">
        <v>959</v>
      </c>
    </row>
    <row r="34" spans="1:3">
      <c r="A34" s="1433" t="s">
        <v>49</v>
      </c>
    </row>
    <row r="37" spans="1:3">
      <c r="A37" s="1433" t="s">
        <v>960</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2123</v>
      </c>
      <c r="B2" s="2157">
        <f ca="1">TODAY()</f>
        <v>45681</v>
      </c>
      <c r="C2" s="2158" t="s">
        <v>2124</v>
      </c>
      <c r="D2" s="2158"/>
      <c r="E2" s="2158"/>
      <c r="F2" s="2154"/>
      <c r="G2" s="2154"/>
      <c r="H2" s="2154"/>
    </row>
    <row r="3" spans="1:8" ht="24" customHeight="1">
      <c r="A3" s="2159" t="s">
        <v>2125</v>
      </c>
      <c r="B3" s="1219" t="s">
        <v>2126</v>
      </c>
      <c r="C3" s="1219" t="s">
        <v>2127</v>
      </c>
      <c r="D3" s="2160" t="s">
        <v>2128</v>
      </c>
      <c r="E3" s="2161" t="s">
        <v>2129</v>
      </c>
      <c r="F3" s="1219" t="s">
        <v>2130</v>
      </c>
      <c r="G3" s="1219" t="s">
        <v>2127</v>
      </c>
      <c r="H3" s="2160" t="s">
        <v>2131</v>
      </c>
    </row>
    <row r="4" spans="1:8" ht="24" customHeight="1">
      <c r="A4" s="1219" t="s">
        <v>2132</v>
      </c>
      <c r="B4" s="1219">
        <f ca="1">IF(C4&lt;B2,"已过期",1119970066)</f>
        <v>1119970066</v>
      </c>
      <c r="C4" s="2162">
        <v>45937</v>
      </c>
      <c r="D4" s="2163" t="str">
        <f ca="1">A4&amp;"（注册号："&amp;B4&amp;"）"</f>
        <v>梁津（注册号：1119970066）</v>
      </c>
      <c r="E4" s="2164" t="s">
        <v>2132</v>
      </c>
      <c r="F4" s="1219">
        <f ca="1">IF(G4&lt;B2,"已过期",96010014)</f>
        <v>96010014</v>
      </c>
      <c r="G4" s="2165">
        <v>47118</v>
      </c>
      <c r="H4" s="2166" t="str">
        <f ca="1">E4&amp;"（注册号："&amp;F4&amp;"）"</f>
        <v>梁津（注册号：96010014）</v>
      </c>
    </row>
    <row r="5" spans="1:8" ht="24" customHeight="1">
      <c r="A5" s="1219" t="s">
        <v>2133</v>
      </c>
      <c r="B5" s="1219">
        <f ca="1">IF(C5&lt;B2,"已过期",1119970111)</f>
        <v>1119970111</v>
      </c>
      <c r="C5" s="2162">
        <v>45937</v>
      </c>
      <c r="D5" s="2163" t="str">
        <f t="shared" ref="D5:D15" ca="1" si="0">A5&amp;"（注册号："&amp;B5&amp;"）"</f>
        <v>叶凌（注册号：1119970111）</v>
      </c>
      <c r="E5" s="2164" t="s">
        <v>2133</v>
      </c>
      <c r="F5" s="1219">
        <f ca="1">IF(G5&lt;B2,"已过期",94010078)</f>
        <v>94010078</v>
      </c>
      <c r="G5" s="2165">
        <v>46387</v>
      </c>
      <c r="H5" s="2166" t="str">
        <f t="shared" ref="H5:H16" ca="1" si="1">E5&amp;"（注册号："&amp;F5&amp;"）"</f>
        <v>叶凌（注册号：94010078）</v>
      </c>
    </row>
    <row r="6" spans="1:8" ht="24" customHeight="1">
      <c r="A6" s="1219" t="s">
        <v>2134</v>
      </c>
      <c r="B6" s="1219" t="str">
        <f ca="1">IF(C6&lt;B2,"已过期",1120050019)</f>
        <v>已过期</v>
      </c>
      <c r="C6" s="2162">
        <v>45410</v>
      </c>
      <c r="D6" s="2163" t="str">
        <f t="shared" ca="1" si="0"/>
        <v>王鹏（注册号：已过期）</v>
      </c>
      <c r="E6" s="2164" t="s">
        <v>2134</v>
      </c>
      <c r="F6" s="1219">
        <f ca="1">IF(G6&lt;B2,"已过期",2002110030)</f>
        <v>2002110030</v>
      </c>
      <c r="G6" s="2165">
        <v>46387</v>
      </c>
      <c r="H6" s="2166" t="str">
        <f t="shared" ca="1" si="1"/>
        <v>王鹏（注册号：2002110030）</v>
      </c>
    </row>
    <row r="7" spans="1:8" ht="24" customHeight="1">
      <c r="A7" s="1219" t="s">
        <v>2135</v>
      </c>
      <c r="B7" s="1219">
        <f ca="1">IF(C7&lt;B2,"已过期",1120000080)</f>
        <v>1120000080</v>
      </c>
      <c r="C7" s="2162">
        <v>45937</v>
      </c>
      <c r="D7" s="2163" t="str">
        <f t="shared" ca="1" si="0"/>
        <v>欧红伟（注册号：1120000080）</v>
      </c>
      <c r="E7" s="2164" t="s">
        <v>2135</v>
      </c>
      <c r="F7" s="1219">
        <f ca="1">IF(G7&lt;B2,"已过期",2000110082)</f>
        <v>2000110082</v>
      </c>
      <c r="G7" s="2165">
        <v>46387</v>
      </c>
      <c r="H7" s="2166" t="str">
        <f t="shared" ca="1" si="1"/>
        <v>欧红伟（注册号：2000110082）</v>
      </c>
    </row>
    <row r="8" spans="1:8" ht="24" customHeight="1">
      <c r="A8" s="1219" t="s">
        <v>2136</v>
      </c>
      <c r="B8" s="1219">
        <f ca="1">IF(C8&lt;B2,"已过期",1419970001)</f>
        <v>1419970001</v>
      </c>
      <c r="C8" s="2162">
        <v>45937</v>
      </c>
      <c r="D8" s="2163" t="str">
        <f t="shared" ca="1" si="0"/>
        <v>吴薇（注册号：1419970001）</v>
      </c>
      <c r="E8" s="2164" t="s">
        <v>2136</v>
      </c>
      <c r="F8" s="1219">
        <f ca="1">IF(G8&lt;B2,"已过期",2002110125)</f>
        <v>2002110125</v>
      </c>
      <c r="G8" s="2165">
        <v>47118</v>
      </c>
      <c r="H8" s="2166" t="str">
        <f t="shared" ca="1" si="1"/>
        <v>吴薇（注册号：2002110125）</v>
      </c>
    </row>
    <row r="9" spans="1:8" ht="24" customHeight="1">
      <c r="A9" s="1219" t="s">
        <v>2137</v>
      </c>
      <c r="B9" s="1219" t="str">
        <f ca="1">IF(C9&lt;B2,"已过期",1120060040)</f>
        <v>已过期</v>
      </c>
      <c r="C9" s="2167">
        <v>45592</v>
      </c>
      <c r="D9" s="2163" t="str">
        <f t="shared" ca="1" si="0"/>
        <v>陈颖（注册号：已过期）</v>
      </c>
      <c r="E9" s="2164" t="s">
        <v>2137</v>
      </c>
      <c r="F9" s="1219">
        <f ca="1">IF(G9&lt;B2,"已过期",2004110096)</f>
        <v>2004110096</v>
      </c>
      <c r="G9" s="2165">
        <v>47118</v>
      </c>
      <c r="H9" s="2166" t="str">
        <f t="shared" ca="1" si="1"/>
        <v>陈颖（注册号：2004110096）</v>
      </c>
    </row>
    <row r="10" spans="1:8" ht="24" customHeight="1">
      <c r="A10" s="1219" t="s">
        <v>2138</v>
      </c>
      <c r="B10" s="1219">
        <f ca="1">IF(C10&lt;B2,"已过期",1120100036)</f>
        <v>1120100036</v>
      </c>
      <c r="C10" s="2167">
        <v>45752</v>
      </c>
      <c r="D10" s="2163" t="str">
        <f t="shared" ca="1" si="0"/>
        <v>崔锴（注册号：1120100036）</v>
      </c>
      <c r="E10" s="2164" t="s">
        <v>2138</v>
      </c>
      <c r="F10" s="1219">
        <f ca="1">IF(G10&lt;B2,"已过期",2010110070)</f>
        <v>2010110070</v>
      </c>
      <c r="G10" s="2165">
        <v>47907</v>
      </c>
      <c r="H10" s="2166" t="str">
        <f t="shared" ca="1" si="1"/>
        <v>崔锴（注册号：2010110070）</v>
      </c>
    </row>
    <row r="11" spans="1:8" ht="24" customHeight="1">
      <c r="A11" s="1219" t="s">
        <v>2139</v>
      </c>
      <c r="B11" s="1219">
        <f ca="1">IF(C11&lt;B2,"已过期",1120070131)</f>
        <v>1120070131</v>
      </c>
      <c r="C11" s="2162">
        <v>45937</v>
      </c>
      <c r="D11" s="2163" t="str">
        <f t="shared" ca="1" si="0"/>
        <v>郑燚（注册号：1120070131）</v>
      </c>
      <c r="E11" s="2164" t="s">
        <v>2139</v>
      </c>
      <c r="F11" s="1219">
        <f ca="1">IF(G11&lt;B2,"已过期",2014110011)</f>
        <v>2014110011</v>
      </c>
      <c r="G11" s="2165">
        <v>49302</v>
      </c>
      <c r="H11" s="2166" t="str">
        <f t="shared" ca="1" si="1"/>
        <v>郑燚（注册号：2014110011）</v>
      </c>
    </row>
    <row r="12" spans="1:8" ht="24" customHeight="1">
      <c r="A12" s="1219" t="s">
        <v>2140</v>
      </c>
      <c r="B12" s="1219">
        <f ca="1">IF(C12&lt;B2,"已过期",1120040230)</f>
        <v>1120040230</v>
      </c>
      <c r="C12" s="2167">
        <v>45937</v>
      </c>
      <c r="D12" s="2163" t="str">
        <f t="shared" ca="1" si="0"/>
        <v>苏海（注册号：1120040230）</v>
      </c>
      <c r="E12" s="2164" t="s">
        <v>2140</v>
      </c>
      <c r="F12" s="1219">
        <f ca="1">IF(G12&lt;B2,"已过期",98030020)</f>
        <v>98030020</v>
      </c>
      <c r="G12" s="2165">
        <v>47118</v>
      </c>
      <c r="H12" s="2166" t="str">
        <f t="shared" ca="1" si="1"/>
        <v>苏海（注册号：98030020）</v>
      </c>
    </row>
    <row r="13" spans="1:8" ht="24" customHeight="1">
      <c r="A13" s="1219" t="s">
        <v>2141</v>
      </c>
      <c r="B13" s="1219" t="str">
        <f ca="1">IF(C13&lt;B2,"已过期",1120020033)</f>
        <v>已过期</v>
      </c>
      <c r="C13" s="2162">
        <v>45375</v>
      </c>
      <c r="D13" s="2163" t="str">
        <f t="shared" ca="1" si="0"/>
        <v>刘敬东（注册号：已过期）</v>
      </c>
      <c r="E13" s="2164" t="s">
        <v>2141</v>
      </c>
      <c r="F13" s="1219">
        <f ca="1">IF(G13&lt;B2,"已过期",2000110137)</f>
        <v>2000110137</v>
      </c>
      <c r="G13" s="2165">
        <v>46387</v>
      </c>
      <c r="H13" s="2166" t="str">
        <f t="shared" ca="1" si="1"/>
        <v>刘敬东（注册号：2000110137）</v>
      </c>
    </row>
    <row r="14" spans="1:8" ht="24" customHeight="1">
      <c r="A14" s="1219" t="s">
        <v>2142</v>
      </c>
      <c r="B14" s="1219" t="str">
        <f ca="1">IF(C14&lt;B2,"已过期",1119980106)</f>
        <v>已过期</v>
      </c>
      <c r="C14" s="2167">
        <v>44969</v>
      </c>
      <c r="D14" s="2163" t="str">
        <f t="shared" ca="1" si="0"/>
        <v>刘俊财（注册号：已过期）</v>
      </c>
      <c r="E14" s="2164" t="s">
        <v>2142</v>
      </c>
      <c r="F14" s="1219">
        <f ca="1">IF(G14&lt;B2,"已过期",96010063)</f>
        <v>96010063</v>
      </c>
      <c r="G14" s="2165">
        <v>47483</v>
      </c>
      <c r="H14" s="2166" t="str">
        <f t="shared" ca="1" si="1"/>
        <v>刘俊财（注册号：96010063）</v>
      </c>
    </row>
    <row r="15" spans="1:8" ht="24" customHeight="1">
      <c r="A15" s="1219" t="s">
        <v>2412</v>
      </c>
      <c r="B15" s="1219">
        <v>1120210056</v>
      </c>
      <c r="C15" s="2167">
        <v>45410</v>
      </c>
      <c r="D15" s="2163" t="str">
        <f t="shared" si="0"/>
        <v>宁小鳗（注册号：1120210056）</v>
      </c>
      <c r="E15" s="2164" t="s">
        <v>2143</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48" t="s">
        <v>2144</v>
      </c>
      <c r="B17" s="3248"/>
      <c r="C17" s="3248"/>
      <c r="D17" s="3248"/>
      <c r="E17" s="3248"/>
      <c r="F17" s="3248"/>
      <c r="G17" s="3248"/>
      <c r="H17" s="3248"/>
    </row>
    <row r="18" spans="1:8" ht="24" customHeight="1">
      <c r="A18" s="3249" t="s">
        <v>2145</v>
      </c>
      <c r="B18" s="3249"/>
      <c r="C18" s="3249"/>
      <c r="D18" s="2160"/>
      <c r="E18" s="3250" t="s">
        <v>2146</v>
      </c>
      <c r="F18" s="3249"/>
      <c r="G18" s="3249"/>
    </row>
    <row r="19" spans="1:8" s="2170" customFormat="1" ht="24" customHeight="1">
      <c r="A19" s="2169" t="s">
        <v>2147</v>
      </c>
      <c r="B19" s="1219" t="s">
        <v>2148</v>
      </c>
      <c r="C19" s="1219" t="s">
        <v>2127</v>
      </c>
      <c r="D19" s="2160"/>
      <c r="E19" s="2164" t="s">
        <v>2147</v>
      </c>
      <c r="F19" s="1219" t="s">
        <v>2148</v>
      </c>
      <c r="G19" s="1219" t="s">
        <v>2127</v>
      </c>
    </row>
    <row r="20" spans="1:8" s="2170" customFormat="1" ht="24" customHeight="1">
      <c r="A20" s="2171" t="s">
        <v>2149</v>
      </c>
      <c r="B20" s="2171" t="s">
        <v>2150</v>
      </c>
      <c r="C20" s="2165">
        <v>45898</v>
      </c>
      <c r="D20" s="2172"/>
      <c r="E20" s="2173" t="s">
        <v>2151</v>
      </c>
      <c r="F20" s="2176" t="s">
        <v>2413</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3"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961</v>
      </c>
      <c r="C1" s="1438" t="s">
        <v>314</v>
      </c>
      <c r="D1" s="1439" t="s">
        <v>3326</v>
      </c>
      <c r="E1" s="1438" t="s">
        <v>962</v>
      </c>
      <c r="F1" s="1438" t="s">
        <v>963</v>
      </c>
      <c r="G1" s="1438" t="s">
        <v>964</v>
      </c>
      <c r="H1" s="1438" t="s">
        <v>965</v>
      </c>
      <c r="I1" s="1438" t="s">
        <v>966</v>
      </c>
      <c r="J1" s="1438" t="s">
        <v>967</v>
      </c>
      <c r="K1" s="1438" t="s">
        <v>968</v>
      </c>
      <c r="L1" s="1438" t="s">
        <v>969</v>
      </c>
      <c r="M1" s="1438" t="s">
        <v>970</v>
      </c>
      <c r="N1" s="1438" t="s">
        <v>971</v>
      </c>
      <c r="O1" s="1438" t="s">
        <v>972</v>
      </c>
      <c r="P1" s="1439" t="s">
        <v>309</v>
      </c>
      <c r="Q1" s="1439" t="s">
        <v>447</v>
      </c>
      <c r="R1" s="1438" t="s">
        <v>441</v>
      </c>
      <c r="S1" s="1438" t="s">
        <v>973</v>
      </c>
      <c r="T1" s="1439" t="s">
        <v>974</v>
      </c>
      <c r="U1" s="1438" t="s">
        <v>975</v>
      </c>
      <c r="V1" s="1438" t="s">
        <v>976</v>
      </c>
      <c r="W1" s="1438" t="s">
        <v>311</v>
      </c>
    </row>
    <row r="2" spans="1:23">
      <c r="A2" s="1441" t="s">
        <v>19</v>
      </c>
      <c r="B2" s="1441" t="s">
        <v>977</v>
      </c>
      <c r="C2" s="1442" t="s">
        <v>315</v>
      </c>
      <c r="D2" s="1443" t="s">
        <v>978</v>
      </c>
      <c r="E2" s="1443" t="s">
        <v>979</v>
      </c>
      <c r="F2" s="1443" t="s">
        <v>980</v>
      </c>
      <c r="G2" s="1443">
        <v>20</v>
      </c>
      <c r="H2" s="1443" t="s">
        <v>980</v>
      </c>
      <c r="I2" s="1443" t="s">
        <v>3312</v>
      </c>
      <c r="J2" s="1443" t="s">
        <v>981</v>
      </c>
      <c r="K2" s="1443" t="s">
        <v>982</v>
      </c>
      <c r="L2" s="1443" t="s">
        <v>982</v>
      </c>
      <c r="M2" s="1443" t="s">
        <v>982</v>
      </c>
      <c r="N2" s="1443" t="s">
        <v>982</v>
      </c>
      <c r="O2" s="1443" t="s">
        <v>982</v>
      </c>
      <c r="P2" s="1443" t="s">
        <v>982</v>
      </c>
      <c r="Q2" s="1443" t="s">
        <v>982</v>
      </c>
      <c r="R2" s="1443" t="s">
        <v>443</v>
      </c>
      <c r="S2" s="1443" t="s">
        <v>982</v>
      </c>
      <c r="T2" s="1443" t="s">
        <v>983</v>
      </c>
      <c r="U2" s="1443" t="s">
        <v>982</v>
      </c>
      <c r="V2" s="1443" t="s">
        <v>984</v>
      </c>
      <c r="W2" s="1443" t="s">
        <v>982</v>
      </c>
    </row>
    <row r="3" spans="1:23">
      <c r="A3" s="1441" t="s">
        <v>985</v>
      </c>
      <c r="B3" s="1444" t="s">
        <v>448</v>
      </c>
      <c r="C3" s="1442" t="s">
        <v>316</v>
      </c>
      <c r="D3" s="1443" t="s">
        <v>986</v>
      </c>
      <c r="E3" s="1443" t="s">
        <v>13</v>
      </c>
      <c r="F3" s="1443" t="s">
        <v>987</v>
      </c>
      <c r="G3" s="1443">
        <v>40</v>
      </c>
      <c r="H3" s="1443" t="s">
        <v>987</v>
      </c>
      <c r="I3" s="1443" t="s">
        <v>3313</v>
      </c>
      <c r="J3" s="1443" t="s">
        <v>988</v>
      </c>
      <c r="K3" s="1443" t="s">
        <v>989</v>
      </c>
      <c r="L3" s="1443" t="s">
        <v>989</v>
      </c>
      <c r="M3" s="1443" t="s">
        <v>989</v>
      </c>
      <c r="N3" s="1443" t="s">
        <v>989</v>
      </c>
      <c r="O3" s="1443" t="s">
        <v>989</v>
      </c>
      <c r="P3" s="1443" t="s">
        <v>989</v>
      </c>
      <c r="Q3" s="1443" t="s">
        <v>989</v>
      </c>
      <c r="R3" s="1443" t="s">
        <v>442</v>
      </c>
      <c r="S3" s="1443" t="s">
        <v>989</v>
      </c>
      <c r="T3" s="1443" t="s">
        <v>990</v>
      </c>
      <c r="U3" s="1443" t="s">
        <v>989</v>
      </c>
      <c r="V3" s="1443" t="s">
        <v>991</v>
      </c>
      <c r="W3" s="1443" t="s">
        <v>989</v>
      </c>
    </row>
    <row r="4" spans="1:23">
      <c r="A4" s="1441" t="s">
        <v>992</v>
      </c>
      <c r="B4" s="1441" t="s">
        <v>993</v>
      </c>
      <c r="C4" s="1442" t="s">
        <v>317</v>
      </c>
      <c r="D4" s="1443" t="s">
        <v>389</v>
      </c>
      <c r="E4" s="1443" t="s">
        <v>994</v>
      </c>
      <c r="F4" s="1443" t="s">
        <v>995</v>
      </c>
      <c r="G4" s="1443">
        <v>50</v>
      </c>
      <c r="H4" s="1443" t="s">
        <v>995</v>
      </c>
      <c r="I4" s="1443" t="s">
        <v>3314</v>
      </c>
      <c r="K4" s="1443" t="s">
        <v>996</v>
      </c>
      <c r="L4" s="1443" t="s">
        <v>996</v>
      </c>
      <c r="M4" s="1443" t="s">
        <v>996</v>
      </c>
      <c r="N4" s="1443" t="s">
        <v>996</v>
      </c>
      <c r="O4" s="1443" t="s">
        <v>996</v>
      </c>
      <c r="P4" s="1443" t="s">
        <v>996</v>
      </c>
      <c r="Q4" s="1443" t="s">
        <v>996</v>
      </c>
      <c r="R4" s="1443" t="s">
        <v>444</v>
      </c>
      <c r="S4" s="1443" t="s">
        <v>996</v>
      </c>
      <c r="T4" s="1443" t="s">
        <v>997</v>
      </c>
      <c r="U4" s="1443" t="s">
        <v>996</v>
      </c>
      <c r="W4" s="1443" t="s">
        <v>996</v>
      </c>
    </row>
    <row r="5" spans="1:23">
      <c r="A5" s="1441" t="s">
        <v>998</v>
      </c>
      <c r="B5" s="1441" t="s">
        <v>999</v>
      </c>
      <c r="C5" s="1442" t="s">
        <v>318</v>
      </c>
      <c r="F5" s="1443" t="s">
        <v>1000</v>
      </c>
      <c r="G5" s="1443">
        <v>70</v>
      </c>
      <c r="H5" s="1443" t="s">
        <v>1001</v>
      </c>
      <c r="I5" s="1443" t="s">
        <v>3315</v>
      </c>
      <c r="K5" s="1443" t="s">
        <v>1002</v>
      </c>
      <c r="L5" s="1443" t="s">
        <v>1002</v>
      </c>
      <c r="M5" s="1443" t="s">
        <v>1002</v>
      </c>
      <c r="N5" s="1443" t="s">
        <v>1002</v>
      </c>
      <c r="O5" s="1443" t="s">
        <v>1002</v>
      </c>
      <c r="P5" s="1443" t="s">
        <v>1002</v>
      </c>
      <c r="Q5" s="1443" t="s">
        <v>1002</v>
      </c>
      <c r="R5" s="1443" t="s">
        <v>445</v>
      </c>
      <c r="S5" s="1443" t="s">
        <v>1002</v>
      </c>
      <c r="T5" s="1443" t="s">
        <v>1003</v>
      </c>
      <c r="U5" s="1443" t="s">
        <v>1002</v>
      </c>
      <c r="W5" s="1443" t="s">
        <v>1002</v>
      </c>
    </row>
    <row r="6" spans="1:23">
      <c r="A6" s="1441" t="s">
        <v>1004</v>
      </c>
      <c r="B6" s="1444" t="s">
        <v>449</v>
      </c>
      <c r="C6" s="1446" t="s">
        <v>24</v>
      </c>
      <c r="F6" s="1443" t="s">
        <v>1001</v>
      </c>
      <c r="H6" s="1443" t="s">
        <v>1005</v>
      </c>
      <c r="I6" s="1443" t="s">
        <v>3316</v>
      </c>
      <c r="K6" s="1443" t="s">
        <v>1006</v>
      </c>
      <c r="L6" s="1443" t="s">
        <v>1006</v>
      </c>
      <c r="M6" s="1443" t="s">
        <v>1006</v>
      </c>
      <c r="N6" s="1443" t="s">
        <v>1006</v>
      </c>
      <c r="O6" s="1443" t="s">
        <v>1006</v>
      </c>
      <c r="P6" s="1443" t="s">
        <v>1006</v>
      </c>
      <c r="Q6" s="1443" t="s">
        <v>1006</v>
      </c>
      <c r="R6" s="1443" t="s">
        <v>446</v>
      </c>
      <c r="S6" s="1443" t="s">
        <v>1006</v>
      </c>
      <c r="T6" s="1443"/>
      <c r="U6" s="1443" t="s">
        <v>1006</v>
      </c>
      <c r="W6" s="1443" t="s">
        <v>1006</v>
      </c>
    </row>
    <row r="7" spans="1:23">
      <c r="A7" s="1441" t="s">
        <v>1007</v>
      </c>
      <c r="B7" s="1444" t="s">
        <v>450</v>
      </c>
      <c r="C7" s="1442" t="s">
        <v>25</v>
      </c>
      <c r="F7" s="1443" t="s">
        <v>1008</v>
      </c>
      <c r="H7" s="1443" t="s">
        <v>1009</v>
      </c>
      <c r="I7" s="1443" t="s">
        <v>3317</v>
      </c>
    </row>
    <row r="8" spans="1:23">
      <c r="A8" s="1441" t="s">
        <v>1010</v>
      </c>
      <c r="B8" s="1441" t="s">
        <v>1011</v>
      </c>
      <c r="C8" s="1442" t="s">
        <v>319</v>
      </c>
      <c r="F8" s="1443" t="s">
        <v>1012</v>
      </c>
      <c r="H8" s="1443" t="s">
        <v>2552</v>
      </c>
      <c r="I8" s="1443" t="s">
        <v>3318</v>
      </c>
    </row>
    <row r="9" spans="1:23">
      <c r="A9" s="1441" t="s">
        <v>1013</v>
      </c>
      <c r="B9" s="1441" t="s">
        <v>1014</v>
      </c>
      <c r="C9" s="1442" t="s">
        <v>320</v>
      </c>
      <c r="F9" s="1443" t="s">
        <v>1015</v>
      </c>
      <c r="H9" s="1443"/>
      <c r="I9" s="1445" t="s">
        <v>3319</v>
      </c>
    </row>
    <row r="10" spans="1:23">
      <c r="A10" s="1441" t="s">
        <v>1016</v>
      </c>
      <c r="B10" s="1441" t="s">
        <v>1017</v>
      </c>
      <c r="C10" s="1442" t="s">
        <v>321</v>
      </c>
      <c r="F10" s="1443" t="s">
        <v>2553</v>
      </c>
      <c r="I10" s="1445" t="s">
        <v>3320</v>
      </c>
    </row>
    <row r="11" spans="1:23">
      <c r="A11" s="1441" t="s">
        <v>1018</v>
      </c>
      <c r="B11" s="1441" t="s">
        <v>1019</v>
      </c>
      <c r="C11" s="1442" t="s">
        <v>322</v>
      </c>
      <c r="F11" s="1443" t="s">
        <v>13</v>
      </c>
      <c r="I11" s="1445" t="s">
        <v>3321</v>
      </c>
    </row>
    <row r="12" spans="1:23">
      <c r="A12" s="1441" t="s">
        <v>1020</v>
      </c>
      <c r="B12" s="1441" t="s">
        <v>1021</v>
      </c>
      <c r="C12" s="1442" t="s">
        <v>323</v>
      </c>
      <c r="I12" s="1445" t="s">
        <v>3322</v>
      </c>
    </row>
    <row r="13" spans="1:23">
      <c r="A13" s="1441" t="s">
        <v>1022</v>
      </c>
      <c r="B13" s="1441" t="s">
        <v>1023</v>
      </c>
      <c r="C13" s="1442" t="s">
        <v>324</v>
      </c>
      <c r="I13" s="1445" t="s">
        <v>3323</v>
      </c>
    </row>
    <row r="14" spans="1:23">
      <c r="A14" s="1441" t="s">
        <v>1024</v>
      </c>
      <c r="B14" s="1441" t="s">
        <v>1025</v>
      </c>
      <c r="C14" s="1443" t="s">
        <v>13</v>
      </c>
      <c r="I14" s="1445" t="s">
        <v>3324</v>
      </c>
    </row>
    <row r="15" spans="1:23">
      <c r="A15" s="1441" t="s">
        <v>1026</v>
      </c>
      <c r="B15" s="1441" t="s">
        <v>1027</v>
      </c>
      <c r="C15" s="1442"/>
      <c r="I15" s="1445" t="s">
        <v>3325</v>
      </c>
    </row>
    <row r="16" spans="1:23">
      <c r="A16" s="1441" t="s">
        <v>1028</v>
      </c>
      <c r="B16" s="1441" t="s">
        <v>312</v>
      </c>
      <c r="C16" s="1442"/>
    </row>
    <row r="17" spans="1:3">
      <c r="A17" s="1441" t="s">
        <v>1029</v>
      </c>
      <c r="B17" s="1441" t="s">
        <v>2268</v>
      </c>
      <c r="C17" s="1442"/>
    </row>
    <row r="18" spans="1:3">
      <c r="A18" s="1441" t="s">
        <v>1030</v>
      </c>
      <c r="B18" s="1441" t="s">
        <v>2408</v>
      </c>
      <c r="C18" s="1442"/>
    </row>
    <row r="19" spans="1:3">
      <c r="A19" s="1441" t="s">
        <v>1031</v>
      </c>
      <c r="B19" s="1441" t="s">
        <v>313</v>
      </c>
      <c r="C19" s="1442"/>
    </row>
    <row r="20" spans="1:3">
      <c r="A20" s="1441" t="s">
        <v>1032</v>
      </c>
      <c r="B20" s="1441" t="s">
        <v>313</v>
      </c>
      <c r="C20" s="1442"/>
    </row>
    <row r="21" spans="1:3">
      <c r="A21" s="1441" t="s">
        <v>1033</v>
      </c>
      <c r="B21" s="1441" t="s">
        <v>313</v>
      </c>
      <c r="C21" s="1442"/>
    </row>
    <row r="22" spans="1:3">
      <c r="A22" s="1441" t="s">
        <v>1034</v>
      </c>
      <c r="B22" s="1441" t="s">
        <v>313</v>
      </c>
      <c r="C22" s="1442"/>
    </row>
    <row r="23" spans="1:3">
      <c r="A23" s="1441" t="s">
        <v>1035</v>
      </c>
      <c r="B23" s="1441" t="s">
        <v>313</v>
      </c>
      <c r="C23" s="1442"/>
    </row>
    <row r="24" spans="1:3">
      <c r="A24" s="1441" t="s">
        <v>1036</v>
      </c>
      <c r="B24" s="1441" t="s">
        <v>313</v>
      </c>
      <c r="C24" s="1442"/>
    </row>
    <row r="25" spans="1:3">
      <c r="A25" s="1441" t="s">
        <v>1037</v>
      </c>
      <c r="B25" s="1441" t="s">
        <v>313</v>
      </c>
      <c r="C25" s="1442"/>
    </row>
    <row r="26" spans="1:3">
      <c r="A26" s="1441" t="s">
        <v>1038</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51"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51"/>
      <c r="B54" s="1447" t="s">
        <v>385</v>
      </c>
      <c r="C54" s="1445" t="s">
        <v>583</v>
      </c>
    </row>
    <row r="55" spans="1:4">
      <c r="A55" s="3251"/>
      <c r="B55" s="1447" t="s">
        <v>386</v>
      </c>
      <c r="C55" s="1445" t="s">
        <v>584</v>
      </c>
    </row>
    <row r="56" spans="1:4">
      <c r="A56" s="3251"/>
      <c r="B56" s="1447" t="s">
        <v>387</v>
      </c>
      <c r="C56" s="1445" t="s">
        <v>588</v>
      </c>
    </row>
    <row r="57" spans="1:4">
      <c r="A57" s="3251"/>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D13" zoomScale="80" zoomScaleNormal="80" workbookViewId="0">
      <selection activeCell="F54" sqref="F54"/>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2475</v>
      </c>
      <c r="B1" s="2755"/>
      <c r="C1" s="2755"/>
      <c r="D1" s="2755"/>
      <c r="E1" s="2755"/>
      <c r="F1" s="2756"/>
      <c r="I1" s="3133" t="s">
        <v>2568</v>
      </c>
      <c r="J1" s="2781"/>
      <c r="K1" s="2781"/>
      <c r="L1" s="2781"/>
      <c r="M1" s="2781"/>
      <c r="N1" s="2966"/>
      <c r="O1" s="2966"/>
      <c r="P1" s="2966"/>
      <c r="Q1" s="2966"/>
      <c r="R1" s="2966"/>
    </row>
    <row r="2" spans="1:18">
      <c r="A2" s="2758"/>
      <c r="B2" s="2759"/>
      <c r="C2" s="2759"/>
      <c r="D2" s="2759"/>
      <c r="E2" s="2759"/>
      <c r="F2" s="2760"/>
      <c r="I2" s="3252" t="s">
        <v>2555</v>
      </c>
      <c r="J2" s="3252"/>
      <c r="K2" s="3252"/>
      <c r="L2" s="3252"/>
      <c r="M2" s="3252"/>
      <c r="N2" s="3252"/>
      <c r="O2" s="3252"/>
      <c r="P2" s="3252"/>
      <c r="Q2" s="3252"/>
      <c r="R2" s="3252"/>
    </row>
    <row r="3" spans="1:18">
      <c r="A3" s="2761" t="s">
        <v>2476</v>
      </c>
      <c r="B3" s="2762">
        <f>项目基本情况!D3</f>
        <v>45677</v>
      </c>
      <c r="C3" s="2764"/>
      <c r="D3" s="2764"/>
      <c r="E3" s="2764"/>
      <c r="F3" s="2760"/>
      <c r="I3" s="2776"/>
      <c r="J3" s="2776" t="s">
        <v>2559</v>
      </c>
      <c r="K3" s="2776" t="s">
        <v>2560</v>
      </c>
      <c r="L3" s="2776" t="s">
        <v>2561</v>
      </c>
      <c r="M3" s="2776" t="s">
        <v>2562</v>
      </c>
      <c r="N3" s="3134" t="s">
        <v>2563</v>
      </c>
      <c r="O3" s="3134" t="s">
        <v>2564</v>
      </c>
      <c r="P3" s="3134" t="s">
        <v>2565</v>
      </c>
      <c r="Q3" s="3134" t="s">
        <v>2566</v>
      </c>
      <c r="R3" s="3134" t="s">
        <v>2567</v>
      </c>
    </row>
    <row r="4" spans="1:18">
      <c r="A4" s="2761" t="s">
        <v>2477</v>
      </c>
      <c r="B4" s="2764" t="s">
        <v>2478</v>
      </c>
      <c r="C4" s="2764" t="s">
        <v>2479</v>
      </c>
      <c r="D4" s="2764" t="s">
        <v>2480</v>
      </c>
      <c r="E4" s="2764" t="s">
        <v>2481</v>
      </c>
      <c r="F4" s="2760"/>
      <c r="I4" s="2776" t="s">
        <v>2556</v>
      </c>
      <c r="J4" s="2776">
        <v>80</v>
      </c>
      <c r="K4" s="2776">
        <v>70</v>
      </c>
      <c r="L4" s="2776">
        <v>20</v>
      </c>
      <c r="M4" s="2776">
        <v>30</v>
      </c>
      <c r="N4" s="2764">
        <v>45</v>
      </c>
      <c r="O4" s="2764">
        <v>60</v>
      </c>
      <c r="P4" s="2764">
        <v>50</v>
      </c>
      <c r="Q4" s="2764">
        <v>20</v>
      </c>
      <c r="R4" s="2764">
        <v>375</v>
      </c>
    </row>
    <row r="5" spans="1:18">
      <c r="A5" s="2765">
        <v>40</v>
      </c>
      <c r="B5" s="2762">
        <v>46375</v>
      </c>
      <c r="C5" s="2764">
        <f>ROUNDDOWN(MIN((B5-B3)/365,A5),2)</f>
        <v>1.91</v>
      </c>
      <c r="D5" s="2766">
        <f>IF(ISERROR(ROUND(POWER(1+E5,A5-C5)*(POWER(1+E5,C5)-1)/(POWER(1+E5,A5)-1),3)),0,ROUND(POWER(1+E5,A5-C5)*(POWER(1+E5,C5)-1)/(POWER(1+E5,A5)-1),4))</f>
        <v>9.1200000000000003E-2</v>
      </c>
      <c r="E5" s="2767">
        <v>0.04</v>
      </c>
      <c r="F5" s="2760"/>
      <c r="I5" s="2776" t="s">
        <v>2557</v>
      </c>
      <c r="J5" s="2776">
        <v>70</v>
      </c>
      <c r="K5" s="2776">
        <v>60</v>
      </c>
      <c r="L5" s="2776">
        <v>15</v>
      </c>
      <c r="M5" s="2776">
        <v>25</v>
      </c>
      <c r="N5" s="2764">
        <v>40</v>
      </c>
      <c r="O5" s="2764">
        <v>50</v>
      </c>
      <c r="P5" s="2764">
        <v>40</v>
      </c>
      <c r="Q5" s="2764">
        <v>15</v>
      </c>
      <c r="R5" s="2764">
        <v>315</v>
      </c>
    </row>
    <row r="6" spans="1:18">
      <c r="A6" s="2765">
        <v>50</v>
      </c>
      <c r="B6" s="2762">
        <v>50028</v>
      </c>
      <c r="C6" s="2764">
        <f>ROUNDDOWN(MIN((B6-B3)/365,A6),2)</f>
        <v>11.92</v>
      </c>
      <c r="D6" s="2766">
        <f>IF(ISERROR(ROUND(POWER(1+E6,A6-C6)*(POWER(1+E6,C6)-1)/(POWER(1+E6,A6)-1),3)),0,ROUND(POWER(1+E6,A6-C6)*(POWER(1+E6,C6)-1)/(POWER(1+E6,A6)-1),4))</f>
        <v>0.43459999999999999</v>
      </c>
      <c r="E6" s="2767">
        <v>0.04</v>
      </c>
      <c r="F6" s="2760"/>
      <c r="I6" s="2776" t="s">
        <v>2558</v>
      </c>
      <c r="J6" s="2776">
        <v>60</v>
      </c>
      <c r="K6" s="2776">
        <v>50</v>
      </c>
      <c r="L6" s="2776">
        <v>10</v>
      </c>
      <c r="M6" s="2776">
        <v>20</v>
      </c>
      <c r="N6" s="2764">
        <v>35</v>
      </c>
      <c r="O6" s="2764">
        <v>40</v>
      </c>
      <c r="P6" s="2764">
        <v>30</v>
      </c>
      <c r="Q6" s="2764">
        <v>10</v>
      </c>
      <c r="R6" s="2764">
        <v>255</v>
      </c>
    </row>
    <row r="7" spans="1:18">
      <c r="A7" s="2765">
        <v>70</v>
      </c>
      <c r="B7" s="2762">
        <v>57333</v>
      </c>
      <c r="C7" s="2764">
        <f>ROUNDDOWN(MIN((B7-B3)/365,A7),2)</f>
        <v>31.93</v>
      </c>
      <c r="D7" s="2766">
        <f>IF(ISERROR(ROUND(POWER(1+E7,A7-C7)*(POWER(1+E7,C7)-1)/(POWER(1+E7,A7)-1),3)),0,ROUND(POWER(1+E7,A7-C7)*(POWER(1+E7,C7)-1)/(POWER(1+E7,A7)-1),4))</f>
        <v>0.76319999999999999</v>
      </c>
      <c r="E7" s="2767">
        <v>0.04</v>
      </c>
      <c r="F7" s="2760"/>
    </row>
    <row r="8" spans="1:18">
      <c r="A8" s="2758"/>
      <c r="B8" s="2759"/>
      <c r="C8" s="2759"/>
      <c r="D8" s="2759"/>
      <c r="E8" s="2759"/>
      <c r="F8" s="2760"/>
    </row>
    <row r="9" spans="1:18">
      <c r="A9" s="2761" t="s">
        <v>2482</v>
      </c>
      <c r="B9" s="2764"/>
      <c r="C9" s="2764"/>
      <c r="D9" s="2764"/>
      <c r="E9" s="2764"/>
      <c r="F9" s="2768"/>
    </row>
    <row r="10" spans="1:18">
      <c r="A10" s="2761" t="s">
        <v>2483</v>
      </c>
      <c r="B10" s="2764"/>
      <c r="C10" s="2764"/>
      <c r="D10" s="2764" t="s">
        <v>2481</v>
      </c>
      <c r="E10" s="2764"/>
      <c r="F10" s="2768" t="s">
        <v>2480</v>
      </c>
    </row>
    <row r="11" spans="1:18">
      <c r="A11" s="2761" t="s">
        <v>2484</v>
      </c>
      <c r="B11" s="2769">
        <v>70</v>
      </c>
      <c r="C11" s="2764" t="s">
        <v>2485</v>
      </c>
      <c r="D11" s="2769">
        <v>4.4999999999999998E-2</v>
      </c>
      <c r="E11" s="2764" t="s">
        <v>2486</v>
      </c>
      <c r="F11" s="2770">
        <f>ROUND(1-(1/(POWER(1+D11,B11))),4)</f>
        <v>0.95409999999999995</v>
      </c>
    </row>
    <row r="12" spans="1:18">
      <c r="A12" s="2761" t="s">
        <v>2487</v>
      </c>
      <c r="B12" s="2769">
        <v>40</v>
      </c>
      <c r="C12" s="2764" t="s">
        <v>2488</v>
      </c>
      <c r="D12" s="2769">
        <v>4.4999999999999998E-2</v>
      </c>
      <c r="E12" s="2764" t="s">
        <v>2489</v>
      </c>
      <c r="F12" s="2770">
        <f>ROUND(1-(1/(POWER(1+D12,B12))),4)</f>
        <v>0.82809999999999995</v>
      </c>
    </row>
    <row r="13" spans="1:18">
      <c r="A13" s="2761" t="s">
        <v>2490</v>
      </c>
      <c r="B13" s="2764"/>
      <c r="C13" s="2764"/>
      <c r="D13" s="2759"/>
      <c r="E13" s="2759"/>
      <c r="F13" s="2760"/>
    </row>
    <row r="14" spans="1:18">
      <c r="A14" s="2761" t="s">
        <v>2491</v>
      </c>
      <c r="B14" s="2769">
        <v>5000</v>
      </c>
      <c r="C14" s="2763"/>
      <c r="D14" s="2759"/>
      <c r="E14" s="2759"/>
      <c r="F14" s="2760"/>
    </row>
    <row r="15" spans="1:18">
      <c r="A15" s="2761" t="s">
        <v>2492</v>
      </c>
      <c r="B15" s="2764">
        <f>ROUND(B14*F12/F11,2)</f>
        <v>4339.6899999999996</v>
      </c>
      <c r="C15" s="2764">
        <f>ROUND(F12/F11,4)</f>
        <v>0.8679</v>
      </c>
      <c r="D15" s="2759"/>
      <c r="E15" s="2759"/>
      <c r="F15" s="2760"/>
    </row>
    <row r="16" spans="1:18">
      <c r="A16" s="2761" t="s">
        <v>2493</v>
      </c>
      <c r="B16" s="2764"/>
      <c r="C16" s="2764"/>
      <c r="D16" s="2759"/>
      <c r="E16" s="2759"/>
      <c r="F16" s="2760"/>
    </row>
    <row r="17" spans="1:14">
      <c r="A17" s="2761" t="s">
        <v>2492</v>
      </c>
      <c r="B17" s="2769">
        <v>4810</v>
      </c>
      <c r="C17" s="2763"/>
      <c r="D17" s="2759"/>
      <c r="E17" s="2759"/>
      <c r="F17" s="2760"/>
    </row>
    <row r="18" spans="1:14" ht="14.25" thickBot="1">
      <c r="A18" s="2771" t="s">
        <v>2491</v>
      </c>
      <c r="B18" s="2772">
        <f>ROUND(B17*F11/F12,2)</f>
        <v>5541.87</v>
      </c>
      <c r="C18" s="2772">
        <f>ROUND(F11/F12,4)</f>
        <v>1.1521999999999999</v>
      </c>
      <c r="D18" s="2773"/>
      <c r="E18" s="2773"/>
      <c r="F18" s="2774"/>
    </row>
    <row r="19" spans="1:14" ht="14.25" thickBot="1"/>
    <row r="20" spans="1:14" s="2807" customFormat="1" ht="14.25" thickTop="1">
      <c r="A20" s="2804" t="s">
        <v>2494</v>
      </c>
      <c r="B20" s="2805"/>
      <c r="C20" s="2805"/>
      <c r="D20" s="2805"/>
      <c r="E20" s="2805"/>
      <c r="F20" s="2805"/>
      <c r="G20" s="2806"/>
      <c r="I20" s="2808" t="s">
        <v>2539</v>
      </c>
      <c r="J20" s="2808" t="s">
        <v>2544</v>
      </c>
      <c r="K20" s="2808"/>
      <c r="L20" s="2808"/>
      <c r="M20" s="2808"/>
    </row>
    <row r="21" spans="1:14">
      <c r="A21" s="2775"/>
      <c r="B21" s="2776" t="s">
        <v>2495</v>
      </c>
      <c r="C21" s="2776" t="s">
        <v>2496</v>
      </c>
      <c r="D21" s="2776" t="s">
        <v>2497</v>
      </c>
      <c r="E21" s="2776" t="s">
        <v>2498</v>
      </c>
      <c r="F21" s="2776" t="s">
        <v>2499</v>
      </c>
      <c r="G21" s="2777" t="s">
        <v>2500</v>
      </c>
      <c r="I21" s="2798">
        <v>5</v>
      </c>
      <c r="J21" s="2798">
        <v>54.2</v>
      </c>
    </row>
    <row r="22" spans="1:14">
      <c r="A22" s="2775" t="s">
        <v>2501</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4">
      <c r="A23" s="2775" t="s">
        <v>2502</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2542</v>
      </c>
      <c r="N23" s="3151" t="s">
        <v>2543</v>
      </c>
    </row>
    <row r="24" spans="1:14">
      <c r="A24" s="2775" t="s">
        <v>2503</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2541</v>
      </c>
      <c r="N24" s="3151">
        <v>10</v>
      </c>
    </row>
    <row r="25" spans="1:14">
      <c r="A25" s="2775" t="s">
        <v>2504</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2545</v>
      </c>
      <c r="N25" s="3151">
        <v>8</v>
      </c>
    </row>
    <row r="26" spans="1:14">
      <c r="A26" s="2780"/>
      <c r="B26" s="2781"/>
      <c r="C26" s="2781"/>
      <c r="D26" s="2781"/>
      <c r="E26" s="2781"/>
      <c r="F26" s="2781"/>
      <c r="G26" s="2782"/>
      <c r="I26" s="2798">
        <v>30</v>
      </c>
      <c r="J26" s="2798">
        <v>90.5</v>
      </c>
      <c r="K26" s="2798">
        <f t="shared" si="2"/>
        <v>4.2000000000000028</v>
      </c>
      <c r="L26" s="2798" t="s">
        <v>2546</v>
      </c>
      <c r="N26" s="3151">
        <v>5</v>
      </c>
    </row>
    <row r="27" spans="1:14">
      <c r="A27" s="2780" t="s">
        <v>2505</v>
      </c>
      <c r="B27" s="2781"/>
      <c r="C27" s="2781"/>
      <c r="D27" s="2781"/>
      <c r="E27" s="2781"/>
      <c r="F27" s="2781"/>
      <c r="G27" s="2782"/>
      <c r="I27" s="2798">
        <v>35</v>
      </c>
      <c r="J27" s="2798">
        <v>93.8</v>
      </c>
      <c r="K27" s="2798">
        <f t="shared" si="2"/>
        <v>3.2999999999999972</v>
      </c>
      <c r="L27" s="2798" t="s">
        <v>2547</v>
      </c>
      <c r="N27" s="3151">
        <v>3</v>
      </c>
    </row>
    <row r="28" spans="1:14">
      <c r="A28" s="2780" t="s">
        <v>2506</v>
      </c>
      <c r="B28" s="2781"/>
      <c r="C28" s="2781"/>
      <c r="D28" s="2781"/>
      <c r="E28" s="2781"/>
      <c r="F28" s="2781"/>
      <c r="G28" s="2782"/>
      <c r="I28" s="2798">
        <v>40</v>
      </c>
      <c r="J28" s="2798">
        <v>96.4</v>
      </c>
      <c r="K28" s="2798">
        <f t="shared" si="2"/>
        <v>2.6000000000000085</v>
      </c>
      <c r="L28" s="2798" t="s">
        <v>2548</v>
      </c>
      <c r="N28" s="3151">
        <v>2</v>
      </c>
    </row>
    <row r="29" spans="1:14">
      <c r="A29" s="2780" t="s">
        <v>2507</v>
      </c>
      <c r="B29" s="2781"/>
      <c r="C29" s="2781"/>
      <c r="D29" s="2781"/>
      <c r="E29" s="2781"/>
      <c r="F29" s="2781"/>
      <c r="G29" s="2782"/>
      <c r="I29" s="2798">
        <v>45</v>
      </c>
      <c r="J29" s="2798">
        <v>98.4</v>
      </c>
      <c r="K29" s="2798">
        <f t="shared" si="2"/>
        <v>2</v>
      </c>
    </row>
    <row r="30" spans="1:14">
      <c r="A30" s="2780" t="s">
        <v>2508</v>
      </c>
      <c r="B30" s="2781"/>
      <c r="C30" s="2781"/>
      <c r="D30" s="2781"/>
      <c r="E30" s="2781"/>
      <c r="F30" s="2781"/>
      <c r="G30" s="2782"/>
      <c r="I30" s="2798">
        <v>50</v>
      </c>
      <c r="J30" s="2798">
        <v>100</v>
      </c>
      <c r="K30" s="2798">
        <f t="shared" si="2"/>
        <v>1.5999999999999943</v>
      </c>
    </row>
    <row r="31" spans="1:14">
      <c r="A31" s="2780" t="s">
        <v>2509</v>
      </c>
      <c r="B31" s="2781"/>
      <c r="C31" s="2781"/>
      <c r="D31" s="2781"/>
      <c r="E31" s="2781"/>
      <c r="F31" s="2781"/>
      <c r="G31" s="2782"/>
      <c r="I31" s="2798" t="s">
        <v>2540</v>
      </c>
    </row>
    <row r="32" spans="1:14">
      <c r="A32" s="2780" t="s">
        <v>2510</v>
      </c>
      <c r="B32" s="2781"/>
      <c r="C32" s="2781"/>
      <c r="D32" s="2781"/>
      <c r="E32" s="2781"/>
      <c r="F32" s="2781"/>
      <c r="G32" s="2782"/>
    </row>
    <row r="33" spans="1:14">
      <c r="A33" s="2780" t="s">
        <v>2511</v>
      </c>
      <c r="B33" s="2781"/>
      <c r="C33" s="2781"/>
      <c r="D33" s="2781"/>
      <c r="E33" s="2781"/>
      <c r="F33" s="2781"/>
      <c r="G33" s="2782"/>
      <c r="I33" s="2798" t="s">
        <v>2539</v>
      </c>
      <c r="J33" s="2798" t="s">
        <v>2549</v>
      </c>
    </row>
    <row r="34" spans="1:14">
      <c r="A34" s="2780" t="s">
        <v>2512</v>
      </c>
      <c r="B34" s="2781"/>
      <c r="C34" s="2781"/>
      <c r="D34" s="2781"/>
      <c r="E34" s="2781"/>
      <c r="F34" s="2781"/>
      <c r="G34" s="2782"/>
      <c r="I34" s="2798">
        <v>5</v>
      </c>
      <c r="J34" s="2798">
        <v>55.1</v>
      </c>
    </row>
    <row r="35" spans="1:14">
      <c r="A35" s="2780" t="s">
        <v>2513</v>
      </c>
      <c r="B35" s="2781"/>
      <c r="C35" s="2781"/>
      <c r="D35" s="2781"/>
      <c r="E35" s="2781"/>
      <c r="F35" s="2781"/>
      <c r="G35" s="2782"/>
      <c r="I35" s="2798">
        <v>10</v>
      </c>
      <c r="J35" s="2798">
        <v>67</v>
      </c>
      <c r="K35" s="2798">
        <f>J35-J34</f>
        <v>11.899999999999999</v>
      </c>
    </row>
    <row r="36" spans="1:14">
      <c r="A36" s="2780" t="s">
        <v>2514</v>
      </c>
      <c r="B36" s="2781"/>
      <c r="C36" s="2781"/>
      <c r="D36" s="2781"/>
      <c r="E36" s="2781"/>
      <c r="F36" s="2781"/>
      <c r="G36" s="2782"/>
      <c r="I36" s="2798">
        <v>15</v>
      </c>
      <c r="J36" s="2798">
        <v>76.3</v>
      </c>
      <c r="K36" s="2798">
        <f t="shared" ref="K36:K41" si="3">J36-J35</f>
        <v>9.2999999999999972</v>
      </c>
      <c r="L36" s="2798" t="s">
        <v>2542</v>
      </c>
      <c r="N36" s="3151" t="s">
        <v>2543</v>
      </c>
    </row>
    <row r="37" spans="1:14">
      <c r="A37" s="2780" t="s">
        <v>2515</v>
      </c>
      <c r="B37" s="2781"/>
      <c r="C37" s="2781"/>
      <c r="D37" s="2781"/>
      <c r="E37" s="2781"/>
      <c r="F37" s="2781"/>
      <c r="G37" s="2782"/>
      <c r="I37" s="2798">
        <v>20</v>
      </c>
      <c r="J37" s="2798">
        <v>83.6</v>
      </c>
      <c r="K37" s="2798">
        <f t="shared" si="3"/>
        <v>7.2999999999999972</v>
      </c>
      <c r="L37" s="2798" t="s">
        <v>2541</v>
      </c>
      <c r="N37" s="3151">
        <v>10</v>
      </c>
    </row>
    <row r="38" spans="1:14">
      <c r="A38" s="2780" t="s">
        <v>2516</v>
      </c>
      <c r="B38" s="2781"/>
      <c r="C38" s="2781"/>
      <c r="D38" s="2781"/>
      <c r="E38" s="2781"/>
      <c r="F38" s="2781"/>
      <c r="G38" s="2782"/>
      <c r="I38" s="2798">
        <v>25</v>
      </c>
      <c r="J38" s="2798">
        <v>89.3</v>
      </c>
      <c r="K38" s="2798">
        <f t="shared" si="3"/>
        <v>5.7000000000000028</v>
      </c>
      <c r="L38" s="2798" t="s">
        <v>2545</v>
      </c>
      <c r="N38" s="3151">
        <v>8</v>
      </c>
    </row>
    <row r="39" spans="1:14">
      <c r="A39" s="2780"/>
      <c r="B39" s="2781"/>
      <c r="C39" s="2781"/>
      <c r="D39" s="2781"/>
      <c r="E39" s="2781"/>
      <c r="F39" s="2781"/>
      <c r="G39" s="2782"/>
      <c r="I39" s="2798">
        <v>30</v>
      </c>
      <c r="J39" s="2798">
        <v>93.8</v>
      </c>
      <c r="K39" s="2798">
        <f t="shared" si="3"/>
        <v>4.5</v>
      </c>
      <c r="L39" s="2798" t="s">
        <v>2546</v>
      </c>
      <c r="N39" s="3151">
        <v>6</v>
      </c>
    </row>
    <row r="40" spans="1:14">
      <c r="A40" s="2783" t="s">
        <v>2517</v>
      </c>
      <c r="B40" s="2784"/>
      <c r="C40" s="2784"/>
      <c r="D40" s="2784"/>
      <c r="E40" s="2784"/>
      <c r="F40" s="2784"/>
      <c r="G40" s="2785"/>
      <c r="I40" s="2798">
        <v>35</v>
      </c>
      <c r="J40" s="2798">
        <v>97.2</v>
      </c>
      <c r="K40" s="2798">
        <f t="shared" si="3"/>
        <v>3.4000000000000057</v>
      </c>
      <c r="L40" s="2798" t="s">
        <v>2547</v>
      </c>
      <c r="N40" s="3151">
        <v>3</v>
      </c>
    </row>
    <row r="41" spans="1:14">
      <c r="A41" s="2786" t="s">
        <v>2518</v>
      </c>
      <c r="B41" s="2787" t="s">
        <v>2519</v>
      </c>
      <c r="C41" s="2788" t="s">
        <v>2520</v>
      </c>
      <c r="D41" s="2788" t="s">
        <v>2521</v>
      </c>
      <c r="E41" s="2789"/>
      <c r="F41" s="2790"/>
      <c r="G41" s="2791"/>
      <c r="I41" s="2798">
        <v>40</v>
      </c>
      <c r="J41" s="2798">
        <v>100</v>
      </c>
      <c r="K41" s="2798">
        <f t="shared" si="3"/>
        <v>2.7999999999999972</v>
      </c>
    </row>
    <row r="42" spans="1:14">
      <c r="A42" s="2786" t="s">
        <v>2522</v>
      </c>
      <c r="B42" s="2787" t="s">
        <v>2523</v>
      </c>
      <c r="C42" s="2788" t="s">
        <v>2524</v>
      </c>
      <c r="D42" s="2792" t="s">
        <v>2525</v>
      </c>
      <c r="E42" s="2784" t="s">
        <v>2526</v>
      </c>
      <c r="F42" s="2784"/>
      <c r="G42" s="2785"/>
    </row>
    <row r="43" spans="1:14">
      <c r="A43" s="2786" t="s">
        <v>2527</v>
      </c>
      <c r="B43" s="2787" t="s">
        <v>2528</v>
      </c>
      <c r="C43" s="2788" t="s">
        <v>2529</v>
      </c>
      <c r="D43" s="2788" t="s">
        <v>2530</v>
      </c>
      <c r="E43" s="2789" t="s">
        <v>2531</v>
      </c>
      <c r="F43" s="2790"/>
      <c r="G43" s="2791"/>
      <c r="I43" s="2798" t="s">
        <v>2539</v>
      </c>
      <c r="J43" s="2798" t="s">
        <v>2550</v>
      </c>
    </row>
    <row r="44" spans="1:14">
      <c r="A44" s="2786" t="s">
        <v>2532</v>
      </c>
      <c r="B44" s="2787" t="s">
        <v>2533</v>
      </c>
      <c r="C44" s="2788" t="s">
        <v>2534</v>
      </c>
      <c r="D44" s="2792">
        <v>0.5</v>
      </c>
      <c r="E44" s="2789" t="s">
        <v>2535</v>
      </c>
      <c r="F44" s="2790"/>
      <c r="G44" s="2791"/>
      <c r="I44" s="2798">
        <v>30</v>
      </c>
      <c r="J44" s="2798">
        <v>81.7</v>
      </c>
    </row>
    <row r="45" spans="1:14" ht="14.25" thickBot="1">
      <c r="A45" s="2793" t="s">
        <v>2536</v>
      </c>
      <c r="B45" s="2794" t="s">
        <v>2523</v>
      </c>
      <c r="C45" s="2795" t="s">
        <v>2523</v>
      </c>
      <c r="D45" s="2795" t="s">
        <v>2537</v>
      </c>
      <c r="E45" s="2796" t="s">
        <v>2538</v>
      </c>
      <c r="F45" s="2796"/>
      <c r="G45" s="2797"/>
      <c r="I45" s="2798">
        <v>40</v>
      </c>
      <c r="J45" s="2798">
        <v>89.2</v>
      </c>
      <c r="K45" s="2798">
        <f>J45-J44</f>
        <v>7.5</v>
      </c>
    </row>
    <row r="46" spans="1:14">
      <c r="I46" s="2798">
        <v>50</v>
      </c>
      <c r="J46" s="2798">
        <v>94.3</v>
      </c>
      <c r="K46" s="2798">
        <f t="shared" ref="K46:K47" si="4">J46-J45</f>
        <v>5.0999999999999943</v>
      </c>
    </row>
    <row r="47" spans="1:14">
      <c r="I47" s="2798">
        <v>60</v>
      </c>
      <c r="J47" s="2798">
        <v>97.7</v>
      </c>
      <c r="K47" s="2798">
        <f t="shared" si="4"/>
        <v>3.4000000000000057</v>
      </c>
    </row>
    <row r="48" spans="1:14" ht="14.25" thickBot="1"/>
    <row r="49" spans="1:4">
      <c r="A49" s="2754" t="s">
        <v>3365</v>
      </c>
    </row>
    <row r="50" spans="1:4">
      <c r="A50" s="3143" t="s">
        <v>3366</v>
      </c>
      <c r="B50" s="3143" t="s">
        <v>3367</v>
      </c>
      <c r="C50" s="3143" t="s">
        <v>3368</v>
      </c>
      <c r="D50" s="3143" t="s">
        <v>3369</v>
      </c>
    </row>
    <row r="51" spans="1:4">
      <c r="A51" s="3143" t="s">
        <v>3370</v>
      </c>
      <c r="B51" s="2763">
        <f>B52+B53</f>
        <v>15000</v>
      </c>
      <c r="C51" s="3144">
        <f>D51/B51</f>
        <v>2666.6666666666665</v>
      </c>
      <c r="D51" s="2763">
        <f>D52+D53</f>
        <v>40000000</v>
      </c>
    </row>
    <row r="52" spans="1:4">
      <c r="A52" s="3145" t="s">
        <v>3371</v>
      </c>
      <c r="B52" s="3146">
        <v>10000</v>
      </c>
      <c r="C52" s="3146">
        <v>1500</v>
      </c>
      <c r="D52" s="3147">
        <f>C52*B52</f>
        <v>15000000</v>
      </c>
    </row>
    <row r="53" spans="1:4">
      <c r="A53" s="3145" t="s">
        <v>3372</v>
      </c>
      <c r="B53" s="3146">
        <v>5000</v>
      </c>
      <c r="C53" s="3146">
        <v>5000</v>
      </c>
      <c r="D53" s="3147">
        <f>C53*B53</f>
        <v>25000000</v>
      </c>
    </row>
    <row r="54" spans="1:4">
      <c r="A54" s="3143" t="s">
        <v>3373</v>
      </c>
      <c r="B54" s="2763">
        <f>B51</f>
        <v>15000</v>
      </c>
      <c r="C54" s="2769">
        <v>700</v>
      </c>
      <c r="D54" s="2763">
        <f t="shared" ref="D54:D55" si="5">C54*B54</f>
        <v>10500000</v>
      </c>
    </row>
    <row r="55" spans="1:4">
      <c r="A55" s="3143" t="s">
        <v>3374</v>
      </c>
      <c r="B55" s="2763">
        <f>B51</f>
        <v>15000</v>
      </c>
      <c r="C55" s="2769">
        <v>1500</v>
      </c>
      <c r="D55" s="2763">
        <f t="shared" si="5"/>
        <v>22500000</v>
      </c>
    </row>
    <row r="56" spans="1:4">
      <c r="A56" s="3143" t="s">
        <v>3375</v>
      </c>
      <c r="B56" s="2763">
        <f>B51</f>
        <v>15000</v>
      </c>
      <c r="C56" s="3148">
        <f>C51+C54+C55</f>
        <v>4866.6666666666661</v>
      </c>
      <c r="D56" s="2763">
        <f>D51+D54+D55</f>
        <v>73000000</v>
      </c>
    </row>
    <row r="58" spans="1:4">
      <c r="A58" s="3143" t="s">
        <v>3376</v>
      </c>
      <c r="B58" s="3149">
        <v>0.05</v>
      </c>
      <c r="C58" s="2763">
        <f>C56*(1+B58)</f>
        <v>5110</v>
      </c>
      <c r="D58" s="2763">
        <f>D56*B58</f>
        <v>3650000</v>
      </c>
    </row>
    <row r="60" spans="1:4">
      <c r="A60" s="3143" t="s">
        <v>3377</v>
      </c>
      <c r="B60" s="2769">
        <v>3500</v>
      </c>
      <c r="C60" s="2769">
        <f>C53</f>
        <v>5000</v>
      </c>
      <c r="D60" s="2763">
        <f>C60*B60</f>
        <v>17500000</v>
      </c>
    </row>
    <row r="62" spans="1:4">
      <c r="A62" s="3143" t="s">
        <v>3378</v>
      </c>
      <c r="B62" s="2769">
        <f>B51</f>
        <v>15000</v>
      </c>
      <c r="C62" s="3150">
        <f>D62/B62</f>
        <v>6276.666666666667</v>
      </c>
      <c r="D62" s="2769">
        <f>D56+D58+D60</f>
        <v>94150000</v>
      </c>
    </row>
  </sheetData>
  <sheetProtection password="CEE9" sheet="1" objects="1" scenarios="1" formatCells="0" formatColumns="0" formatRows="0"/>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L18" sqref="L18"/>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1" customWidth="1"/>
    <col min="12" max="13" width="10" style="2412"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2152</v>
      </c>
      <c r="B1" s="3260" t="str">
        <f>IF(B10="北京市","北京市",C10)&amp;F10&amp;IF(结果表!G1="在建","出让国有建设用地使用权及在建建筑物",IF(结果表!G1="土地","出让国有建设用地使用权",))&amp;B9&amp;"预评估"</f>
        <v>北京市房地产抵押价值预评估</v>
      </c>
      <c r="C1" s="3261"/>
      <c r="D1" s="3261"/>
      <c r="E1" s="3261"/>
      <c r="F1" s="3261"/>
      <c r="G1" s="3261"/>
      <c r="H1" s="3261"/>
      <c r="I1" s="3262"/>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2" t="s">
        <v>2153</v>
      </c>
      <c r="B2" s="122"/>
      <c r="D2" s="2446"/>
      <c r="E2" s="2439"/>
      <c r="F2" s="2439"/>
      <c r="G2" s="2440"/>
      <c r="H2" s="2440"/>
      <c r="I2" s="2440"/>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2154</v>
      </c>
      <c r="B3" s="2185">
        <v>45677</v>
      </c>
      <c r="C3" s="2186" t="s">
        <v>2155</v>
      </c>
      <c r="D3" s="2185">
        <f>B3</f>
        <v>45677</v>
      </c>
      <c r="E3" s="2440"/>
      <c r="F3" s="2440"/>
      <c r="G3" s="2440"/>
      <c r="H3" s="2440"/>
      <c r="I3" s="2440"/>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2156</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2157</v>
      </c>
      <c r="B5" s="2191"/>
      <c r="C5" s="2192"/>
      <c r="D5" s="2193"/>
      <c r="E5" s="2440"/>
      <c r="F5" s="2440"/>
      <c r="G5" s="2440"/>
      <c r="H5" s="2440"/>
      <c r="I5" s="2440"/>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2158</v>
      </c>
      <c r="B6" s="2195"/>
      <c r="C6" s="2196"/>
      <c r="D6" s="2197"/>
      <c r="E6" s="2439"/>
      <c r="F6" s="2440"/>
      <c r="G6" s="2440"/>
      <c r="H6" s="2440"/>
      <c r="I6" s="2440"/>
      <c r="J6" s="2245"/>
      <c r="K6" s="2399" t="str">
        <f>IF(COUNTIF(B6,"*上海银行*"),"上海银行","")</f>
        <v/>
      </c>
      <c r="L6" s="2397"/>
      <c r="M6" s="2397"/>
      <c r="N6" s="2245"/>
      <c r="O6" s="1670"/>
      <c r="P6" s="2245"/>
      <c r="Q6" s="2245"/>
      <c r="R6" s="2245"/>
    </row>
    <row r="7" spans="1:30">
      <c r="A7" s="2194" t="s">
        <v>2159</v>
      </c>
      <c r="B7" s="2198"/>
      <c r="C7" s="2196"/>
      <c r="D7" s="2197"/>
      <c r="E7" s="2439"/>
      <c r="F7" s="2440"/>
      <c r="G7" s="2440"/>
      <c r="H7" s="2440"/>
      <c r="I7" s="2440"/>
      <c r="J7" s="2245"/>
      <c r="K7" s="2400"/>
      <c r="L7" s="2397"/>
      <c r="M7" s="2397"/>
      <c r="N7" s="2245"/>
      <c r="O7" s="1670"/>
      <c r="P7" s="2245"/>
      <c r="Q7" s="2245"/>
      <c r="R7" s="2245"/>
    </row>
    <row r="8" spans="1:30">
      <c r="A8" s="2199" t="s">
        <v>2160</v>
      </c>
      <c r="B8" s="2200" t="s">
        <v>3380</v>
      </c>
      <c r="C8" s="2201"/>
      <c r="D8" s="3263" t="s">
        <v>2161</v>
      </c>
      <c r="E8" s="2202" t="s">
        <v>3381</v>
      </c>
      <c r="F8" s="2203"/>
      <c r="G8" s="2440"/>
      <c r="H8" s="2440"/>
      <c r="I8" s="2440"/>
      <c r="J8" s="2245"/>
      <c r="K8" s="2398"/>
      <c r="L8" s="2397"/>
      <c r="M8" s="2397"/>
      <c r="N8" s="2245"/>
      <c r="O8" s="1670"/>
      <c r="P8" s="2245"/>
      <c r="Q8" s="2245"/>
      <c r="R8" s="2245"/>
    </row>
    <row r="9" spans="1:30" ht="13.5" thickBot="1">
      <c r="A9" s="2204" t="s">
        <v>2162</v>
      </c>
      <c r="B9" s="2205" t="s">
        <v>3381</v>
      </c>
      <c r="C9" s="2206"/>
      <c r="D9" s="3264"/>
      <c r="E9" s="2205" t="s">
        <v>43</v>
      </c>
      <c r="F9" s="2207"/>
      <c r="G9" s="2441"/>
      <c r="H9" s="2441"/>
      <c r="I9" s="2441"/>
      <c r="J9" s="2245"/>
      <c r="K9" s="2400"/>
      <c r="L9" s="2397"/>
      <c r="M9" s="2397"/>
      <c r="N9" s="2245"/>
      <c r="O9" s="1670"/>
      <c r="P9" s="2245"/>
      <c r="Q9" s="2245"/>
      <c r="R9" s="2245"/>
    </row>
    <row r="10" spans="1:30" ht="13.5" thickTop="1">
      <c r="A10" s="2208" t="s">
        <v>2163</v>
      </c>
      <c r="B10" s="2209" t="s">
        <v>3382</v>
      </c>
      <c r="C10" s="2210"/>
      <c r="D10" s="2193"/>
      <c r="E10" s="2211" t="s">
        <v>2164</v>
      </c>
      <c r="F10" s="2442"/>
      <c r="G10" s="2443"/>
      <c r="H10" s="2444"/>
      <c r="I10" s="2445"/>
      <c r="J10" s="2245"/>
      <c r="K10" s="2400"/>
      <c r="L10" s="2397"/>
      <c r="M10" s="2397"/>
      <c r="N10" s="2245"/>
      <c r="O10" s="1670"/>
      <c r="P10" s="2245"/>
      <c r="Q10" s="2245"/>
      <c r="R10" s="2245"/>
    </row>
    <row r="11" spans="1:30">
      <c r="A11" s="2212" t="s">
        <v>2165</v>
      </c>
      <c r="B11" s="2213" t="s">
        <v>3383</v>
      </c>
      <c r="C11" s="2214"/>
      <c r="D11" s="2215"/>
      <c r="E11" s="2182"/>
      <c r="F11" s="2182"/>
      <c r="G11" s="2182"/>
      <c r="H11" s="2182"/>
      <c r="I11" s="2182"/>
      <c r="J11" s="2800"/>
      <c r="K11" s="2397"/>
      <c r="L11" s="2397"/>
      <c r="M11" s="2397"/>
      <c r="N11" s="2245"/>
      <c r="O11" s="1670"/>
      <c r="P11" s="2245"/>
      <c r="Q11" s="2245"/>
      <c r="R11" s="2245"/>
    </row>
    <row r="12" spans="1:30">
      <c r="A12" s="2216" t="s">
        <v>2166</v>
      </c>
      <c r="B12" s="315" t="s">
        <v>2167</v>
      </c>
      <c r="C12" s="2217" t="s">
        <v>2168</v>
      </c>
      <c r="D12" s="2217" t="s">
        <v>2169</v>
      </c>
      <c r="E12" s="2217" t="s">
        <v>2170</v>
      </c>
      <c r="F12" s="2217" t="s">
        <v>2171</v>
      </c>
      <c r="G12" s="2217" t="s">
        <v>2172</v>
      </c>
      <c r="H12" s="2217" t="s">
        <v>2173</v>
      </c>
      <c r="I12" s="2799" t="s">
        <v>2551</v>
      </c>
      <c r="J12" s="2801"/>
      <c r="K12" s="2397"/>
      <c r="L12" s="2397"/>
      <c r="M12" s="2245"/>
      <c r="N12" s="1670"/>
      <c r="O12" s="2245"/>
      <c r="P12" s="2245"/>
      <c r="Q12" s="2245"/>
      <c r="AD12" s="1618"/>
    </row>
    <row r="13" spans="1:30">
      <c r="A13" s="3120" t="s">
        <v>3307</v>
      </c>
      <c r="B13" s="2218" t="s">
        <v>2174</v>
      </c>
      <c r="C13" s="803"/>
      <c r="D13" s="803"/>
      <c r="E13" s="803"/>
      <c r="F13" s="803"/>
      <c r="G13" s="803"/>
      <c r="H13" s="803">
        <v>56071</v>
      </c>
      <c r="I13" s="803"/>
      <c r="J13" s="2801"/>
      <c r="K13" s="2397"/>
      <c r="L13" s="2397"/>
      <c r="M13" s="2245"/>
      <c r="N13" s="1670"/>
      <c r="O13" s="2245"/>
      <c r="P13" s="2245"/>
      <c r="Q13" s="2245"/>
      <c r="AD13" s="1618"/>
    </row>
    <row r="14" spans="1:30">
      <c r="A14" s="1018"/>
      <c r="B14" s="2218" t="s">
        <v>2175</v>
      </c>
      <c r="C14" s="2219"/>
      <c r="D14" s="2219"/>
      <c r="E14" s="2219"/>
      <c r="F14" s="2219"/>
      <c r="G14" s="2219"/>
      <c r="H14" s="2219">
        <v>50</v>
      </c>
      <c r="I14" s="2219"/>
      <c r="J14" s="2802"/>
      <c r="K14" s="2397"/>
      <c r="L14" s="2397"/>
      <c r="M14" s="2245"/>
      <c r="N14" s="1670"/>
      <c r="O14" s="2245"/>
      <c r="P14" s="2245"/>
      <c r="Q14" s="2245"/>
      <c r="AD14" s="1618"/>
    </row>
    <row r="15" spans="1:30">
      <c r="A15" s="312"/>
      <c r="B15" s="2220" t="s">
        <v>2176</v>
      </c>
      <c r="C15" s="2221" t="str">
        <f>IF(A13="出让",IF(C13="","",ROUNDDOWN(MIN((C13-$D$3)/365,C14),2)),C14)</f>
        <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f>IF(A13="出让",IF(H13="","",ROUNDDOWN(MIN((H13-$D$3)/365,H14),2)),H14)</f>
        <v>28.47</v>
      </c>
      <c r="I15" s="2221" t="str">
        <f>IF(A13="出让",IF(I13="","",ROUNDDOWN(MIN((I13-$D$3)/365,I14),2)),I14)</f>
        <v/>
      </c>
      <c r="J15" s="2803"/>
      <c r="K15" s="1670"/>
      <c r="L15" s="1670"/>
      <c r="M15" s="2245"/>
      <c r="N15" s="1670"/>
      <c r="O15" s="2245"/>
      <c r="P15" s="2245"/>
      <c r="Q15" s="2245"/>
      <c r="AD15" s="1618"/>
    </row>
    <row r="16" spans="1:30">
      <c r="A16" s="2211" t="s">
        <v>2177</v>
      </c>
      <c r="B16" s="3270"/>
      <c r="C16" s="3271"/>
      <c r="D16" s="3272"/>
      <c r="E16" s="2222" t="s">
        <v>2178</v>
      </c>
      <c r="F16" s="3273"/>
      <c r="G16" s="3274"/>
      <c r="H16" s="3274"/>
      <c r="I16" s="3275"/>
      <c r="J16" s="2245"/>
      <c r="K16" s="2401"/>
      <c r="L16" s="1670"/>
      <c r="M16" s="1670"/>
      <c r="N16" s="2245"/>
      <c r="O16" s="1670"/>
      <c r="P16" s="2245"/>
      <c r="Q16" s="2245"/>
      <c r="R16" s="2245"/>
    </row>
    <row r="17" spans="1:28">
      <c r="A17" s="305" t="s">
        <v>2179</v>
      </c>
      <c r="B17" s="294" t="s">
        <v>2180</v>
      </c>
      <c r="C17" s="8">
        <f>'数据-汇总表'!E3</f>
        <v>66988.94</v>
      </c>
      <c r="D17" s="1256" t="s">
        <v>2181</v>
      </c>
      <c r="E17" s="3276" t="s">
        <v>2182</v>
      </c>
      <c r="F17" s="3277"/>
      <c r="G17" s="3277"/>
      <c r="H17" s="3277"/>
      <c r="I17" s="3278"/>
      <c r="J17" s="2245"/>
      <c r="K17" s="2402"/>
      <c r="L17" s="1670"/>
      <c r="M17" s="1670"/>
      <c r="N17" s="2245"/>
      <c r="O17" s="1670"/>
      <c r="P17" s="2245"/>
      <c r="Q17" s="2245"/>
      <c r="R17" s="2245"/>
      <c r="S17" s="2245"/>
      <c r="T17" s="2245"/>
      <c r="U17" s="2245"/>
      <c r="V17" s="2245"/>
    </row>
    <row r="18" spans="1:28" ht="24.75" thickBot="1">
      <c r="A18" s="2223" t="s">
        <v>2183</v>
      </c>
      <c r="B18" s="1027" t="s">
        <v>2184</v>
      </c>
      <c r="C18" s="2224">
        <f>'数据-汇总表'!D3</f>
        <v>120628.8</v>
      </c>
      <c r="D18" s="1029" t="s">
        <v>2185</v>
      </c>
      <c r="E18" s="3279" t="s">
        <v>2186</v>
      </c>
      <c r="F18" s="3280"/>
      <c r="G18" s="3280"/>
      <c r="H18" s="3280"/>
      <c r="I18" s="3281"/>
      <c r="J18" s="2245"/>
      <c r="K18" s="2402"/>
      <c r="L18" s="1670"/>
      <c r="M18" s="1670"/>
      <c r="N18" s="2245"/>
      <c r="O18" s="1670"/>
      <c r="P18" s="2245"/>
      <c r="Q18" s="2245"/>
      <c r="R18" s="2245"/>
      <c r="S18" s="2245"/>
      <c r="T18" s="2245"/>
      <c r="U18" s="2245"/>
      <c r="V18" s="2245"/>
    </row>
    <row r="19" spans="1:28" ht="39.75" thickTop="1" thickBot="1">
      <c r="A19" s="319" t="s">
        <v>1039</v>
      </c>
      <c r="B19" s="299" t="s">
        <v>2187</v>
      </c>
      <c r="C19" s="1455" t="s">
        <v>3384</v>
      </c>
      <c r="D19" s="1456" t="s">
        <v>2188</v>
      </c>
      <c r="E19" s="1457" t="s">
        <v>3399</v>
      </c>
      <c r="F19" s="1458" t="str">
        <f>IF(AND(C19="是",E19="否"),"是否提供他项权证或相关说明","")</f>
        <v>是否提供他项权证或相关说明</v>
      </c>
      <c r="G19" s="1459" t="s">
        <v>3384</v>
      </c>
      <c r="H19" s="2440"/>
      <c r="I19" s="2440"/>
      <c r="J19" s="2245"/>
      <c r="K19" s="2400"/>
      <c r="L19" s="2397"/>
      <c r="M19" s="2397"/>
      <c r="N19" s="2245"/>
      <c r="O19" s="1670"/>
      <c r="P19" s="2245"/>
      <c r="Q19" s="2245"/>
      <c r="R19" s="2245"/>
      <c r="S19" s="2245"/>
      <c r="T19" s="2245"/>
      <c r="U19" s="2245"/>
      <c r="V19" s="2245"/>
    </row>
    <row r="20" spans="1:28">
      <c r="A20" s="2415" t="s">
        <v>2189</v>
      </c>
      <c r="B20" s="3266" t="s">
        <v>2190</v>
      </c>
      <c r="C20" s="3267"/>
      <c r="D20" s="3268" t="s">
        <v>2191</v>
      </c>
      <c r="E20" s="3269"/>
      <c r="F20" s="2428" t="s">
        <v>1040</v>
      </c>
      <c r="G20" s="2440"/>
      <c r="H20" s="2440"/>
      <c r="I20" s="2440"/>
      <c r="J20" s="2245"/>
      <c r="K20" s="3265" t="s">
        <v>2192</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4"/>
      <c r="N20" s="2182"/>
      <c r="O20" s="1466"/>
      <c r="P20" s="2182"/>
      <c r="Q20" s="2182"/>
      <c r="R20" s="2182"/>
      <c r="S20" s="2182"/>
      <c r="T20" s="2182"/>
      <c r="U20" s="2182"/>
      <c r="V20" s="2182"/>
      <c r="W20" s="1618"/>
      <c r="X20" s="1618"/>
      <c r="Y20" s="1618"/>
      <c r="Z20" s="1618"/>
      <c r="AA20" s="1618"/>
      <c r="AB20" s="1618"/>
    </row>
    <row r="21" spans="1:28" ht="24.75" thickBot="1">
      <c r="A21" s="2415"/>
      <c r="B21" s="2416" t="s">
        <v>2193</v>
      </c>
      <c r="C21" s="2296" t="s">
        <v>1041</v>
      </c>
      <c r="D21" s="1460" t="s">
        <v>2194</v>
      </c>
      <c r="E21" s="2417" t="s">
        <v>1041</v>
      </c>
      <c r="F21" s="2429"/>
      <c r="G21" s="2440"/>
      <c r="H21" s="2440"/>
      <c r="I21" s="2440"/>
      <c r="J21" s="2245"/>
      <c r="K21" s="3265"/>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上述权属证件中未登记该抵押权的具体情况（债权数额、期限等）。根据《房屋他项权利证书》原件，估价对象已抵押给，权利范围为，权利价值为。</v>
      </c>
      <c r="M21" s="2184"/>
      <c r="N21" s="2182"/>
      <c r="O21" s="1466"/>
      <c r="P21" s="2182"/>
      <c r="Q21" s="2182"/>
      <c r="R21" s="2182"/>
      <c r="S21" s="2182"/>
      <c r="T21" s="2182"/>
      <c r="U21" s="2182"/>
      <c r="V21" s="2182"/>
      <c r="W21" s="1618"/>
      <c r="X21" s="1618"/>
      <c r="Y21" s="1618"/>
      <c r="Z21" s="1618"/>
      <c r="AA21" s="1618"/>
      <c r="AB21" s="1618"/>
    </row>
    <row r="22" spans="1:28" ht="24.75" thickBot="1">
      <c r="A22" s="2415"/>
      <c r="B22" s="2418" t="s">
        <v>2195</v>
      </c>
      <c r="C22" s="2296" t="s">
        <v>1042</v>
      </c>
      <c r="D22" s="2440"/>
      <c r="E22" s="2440"/>
      <c r="F22" s="2440"/>
      <c r="G22" s="2440"/>
      <c r="H22" s="2440"/>
      <c r="I22" s="2440"/>
      <c r="J22" s="2245"/>
      <c r="K22" s="3265"/>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19" t="s">
        <v>2196</v>
      </c>
      <c r="B23" s="2293" t="s">
        <v>2197</v>
      </c>
      <c r="C23" s="2420"/>
      <c r="D23" s="2421" t="s">
        <v>2197</v>
      </c>
      <c r="E23" s="2422"/>
      <c r="F23" s="2440"/>
      <c r="G23" s="2440"/>
      <c r="H23" s="2440"/>
      <c r="I23" s="2440"/>
      <c r="J23" s="2245"/>
      <c r="K23" s="2399"/>
      <c r="L23" s="121"/>
      <c r="M23" s="2397"/>
      <c r="N23" s="2245"/>
      <c r="O23" s="1670"/>
      <c r="P23" s="2245"/>
      <c r="Q23" s="2245"/>
      <c r="R23" s="2245"/>
      <c r="S23" s="2245"/>
      <c r="T23" s="2245"/>
      <c r="U23" s="2245"/>
      <c r="V23" s="2245"/>
    </row>
    <row r="24" spans="1:28">
      <c r="A24" s="2419"/>
      <c r="B24" s="2293" t="s">
        <v>1043</v>
      </c>
      <c r="C24" s="2271"/>
      <c r="D24" s="2419" t="s">
        <v>1043</v>
      </c>
      <c r="E24" s="2423"/>
      <c r="F24" s="2440"/>
      <c r="G24" s="2440"/>
      <c r="H24" s="2440"/>
      <c r="I24" s="2440"/>
      <c r="J24" s="2245"/>
      <c r="K24" s="2399"/>
      <c r="L24" s="121"/>
      <c r="M24" s="2397"/>
      <c r="N24" s="2245"/>
      <c r="O24" s="1670"/>
      <c r="P24" s="2245"/>
      <c r="Q24" s="2245"/>
      <c r="R24" s="2245"/>
      <c r="S24" s="2245"/>
      <c r="T24" s="2245"/>
      <c r="U24" s="2245"/>
      <c r="V24" s="2245"/>
    </row>
    <row r="25" spans="1:28">
      <c r="A25" s="2419"/>
      <c r="B25" s="2293" t="s">
        <v>1044</v>
      </c>
      <c r="C25" s="2271"/>
      <c r="D25" s="2419" t="s">
        <v>1044</v>
      </c>
      <c r="E25" s="2423"/>
      <c r="F25" s="2440"/>
      <c r="G25" s="2440"/>
      <c r="H25" s="2440"/>
      <c r="I25" s="2440"/>
      <c r="J25" s="2245"/>
      <c r="K25" s="2400"/>
      <c r="L25" s="2397"/>
      <c r="M25" s="2397"/>
      <c r="N25" s="2245"/>
      <c r="O25" s="1670"/>
      <c r="P25" s="2245"/>
      <c r="Q25" s="2245"/>
      <c r="R25" s="2245"/>
      <c r="S25" s="2245"/>
      <c r="T25" s="2245"/>
      <c r="U25" s="2245"/>
      <c r="V25" s="2245"/>
    </row>
    <row r="26" spans="1:28" ht="13.5" thickBot="1">
      <c r="A26" s="2424"/>
      <c r="B26" s="2425" t="s">
        <v>1045</v>
      </c>
      <c r="C26" s="2426"/>
      <c r="D26" s="2424" t="s">
        <v>1045</v>
      </c>
      <c r="E26" s="2427"/>
      <c r="F26" s="2441"/>
      <c r="G26" s="2441"/>
      <c r="H26" s="2441"/>
      <c r="I26" s="2441"/>
      <c r="J26" s="2245"/>
      <c r="K26" s="2400"/>
      <c r="L26" s="2397"/>
      <c r="M26" s="2397"/>
      <c r="N26" s="2245"/>
      <c r="O26" s="1670"/>
      <c r="P26" s="2245"/>
      <c r="Q26" s="2245"/>
      <c r="R26" s="2245"/>
      <c r="S26" s="2245"/>
      <c r="T26" s="2245"/>
      <c r="U26" s="2245"/>
      <c r="V26" s="2245"/>
    </row>
    <row r="27" spans="1:28" ht="13.5" thickTop="1">
      <c r="A27" s="3254" t="s">
        <v>2198</v>
      </c>
      <c r="B27" s="312" t="s">
        <v>2199</v>
      </c>
      <c r="C27" s="2225"/>
      <c r="D27" s="2226"/>
      <c r="E27" s="2440"/>
      <c r="F27" s="2440"/>
      <c r="G27" s="2440"/>
      <c r="H27" s="2440"/>
      <c r="I27" s="2440"/>
      <c r="J27" s="2245"/>
      <c r="K27" s="2401"/>
      <c r="L27" s="1670"/>
      <c r="M27" s="1670"/>
      <c r="N27" s="2245"/>
      <c r="O27" s="1670"/>
      <c r="P27" s="2245"/>
      <c r="Q27" s="2245"/>
      <c r="R27" s="2245"/>
      <c r="S27" s="2245"/>
      <c r="T27" s="2245"/>
      <c r="U27" s="2245"/>
      <c r="V27" s="2245"/>
    </row>
    <row r="28" spans="1:28">
      <c r="A28" s="3254"/>
      <c r="B28" s="294" t="s">
        <v>2200</v>
      </c>
      <c r="C28" s="2227"/>
      <c r="D28" s="2228"/>
      <c r="E28" s="2440"/>
      <c r="F28" s="2440"/>
      <c r="G28" s="2440"/>
      <c r="H28" s="2440"/>
      <c r="I28" s="2440"/>
      <c r="J28" s="2245"/>
      <c r="K28" s="2400"/>
      <c r="L28" s="2397"/>
      <c r="M28" s="2397"/>
      <c r="N28" s="2245"/>
      <c r="O28" s="1670"/>
      <c r="P28" s="2245"/>
      <c r="Q28" s="2245"/>
      <c r="R28" s="2245"/>
      <c r="S28" s="2245"/>
      <c r="T28" s="2245"/>
      <c r="U28" s="2245"/>
      <c r="V28" s="2245"/>
    </row>
    <row r="29" spans="1:28">
      <c r="A29" s="3254"/>
      <c r="B29" s="294" t="s">
        <v>2201</v>
      </c>
      <c r="C29" s="2229"/>
      <c r="D29" s="2230"/>
      <c r="E29" s="2440"/>
      <c r="F29" s="2440"/>
      <c r="G29" s="2440"/>
      <c r="H29" s="2440"/>
      <c r="I29" s="2440"/>
      <c r="J29" s="2245"/>
      <c r="K29" s="2400"/>
      <c r="L29" s="2397"/>
      <c r="M29" s="2397"/>
      <c r="N29" s="2245"/>
      <c r="O29" s="1670"/>
      <c r="P29" s="2245"/>
      <c r="Q29" s="2245"/>
      <c r="R29" s="2245"/>
      <c r="S29" s="2245"/>
      <c r="T29" s="2245"/>
      <c r="U29" s="2245"/>
      <c r="V29" s="2245"/>
    </row>
    <row r="30" spans="1:28">
      <c r="A30" s="3255"/>
      <c r="B30" s="294" t="s">
        <v>2202</v>
      </c>
      <c r="C30" s="3256"/>
      <c r="D30" s="3257"/>
      <c r="E30" s="2440"/>
      <c r="F30" s="2440"/>
      <c r="G30" s="2440"/>
      <c r="H30" s="2440"/>
      <c r="I30" s="2440"/>
      <c r="J30" s="2245"/>
      <c r="K30" s="2400"/>
      <c r="L30" s="2397"/>
      <c r="M30" s="2397"/>
      <c r="N30" s="2245"/>
      <c r="O30" s="1670"/>
      <c r="P30" s="2245"/>
      <c r="Q30" s="2245"/>
      <c r="R30" s="2245"/>
      <c r="S30" s="2245"/>
      <c r="T30" s="2245"/>
      <c r="U30" s="2245"/>
      <c r="V30" s="2245"/>
    </row>
    <row r="31" spans="1:28">
      <c r="A31" s="3258" t="s">
        <v>2203</v>
      </c>
      <c r="B31" s="2231"/>
      <c r="C31" s="12" t="str">
        <f>IF(B31="现房","成新及维护状况正常否",IF(B31="在建","工程状态是否正常",IF(B31="土地","是否闲置","-")))</f>
        <v>-</v>
      </c>
      <c r="D31" s="1281"/>
      <c r="E31" s="2232"/>
      <c r="F31" s="2440"/>
      <c r="G31" s="2440"/>
      <c r="H31" s="2440"/>
      <c r="I31" s="2440"/>
      <c r="J31" s="2245"/>
      <c r="K31" s="2399"/>
      <c r="L31" s="2397"/>
      <c r="M31" s="2397"/>
      <c r="N31" s="2245"/>
      <c r="O31" s="1670"/>
      <c r="P31" s="2245"/>
      <c r="Q31" s="2245"/>
      <c r="R31" s="2245"/>
      <c r="S31" s="2245"/>
      <c r="T31" s="2245"/>
      <c r="U31" s="2245"/>
      <c r="V31" s="2245"/>
    </row>
    <row r="32" spans="1:28">
      <c r="A32" s="3259"/>
      <c r="B32" s="2231"/>
      <c r="C32" s="12" t="str">
        <f>IF(B32="现房","成新及维护状况是否正常",IF(B32="在建","工程状态是否正常",IF(B32="土地","是否闲置","-")))</f>
        <v>-</v>
      </c>
      <c r="D32" s="1281"/>
      <c r="E32" s="2232"/>
      <c r="F32" s="2440"/>
      <c r="G32" s="2440"/>
      <c r="H32" s="2440"/>
      <c r="I32" s="2440"/>
      <c r="J32" s="2245"/>
      <c r="K32" s="2400"/>
      <c r="L32" s="2397"/>
      <c r="M32" s="2397"/>
      <c r="N32" s="2245"/>
      <c r="O32" s="1670"/>
      <c r="P32" s="2245"/>
      <c r="Q32" s="2245"/>
      <c r="R32" s="2245"/>
      <c r="S32" s="2245"/>
      <c r="T32" s="2245"/>
      <c r="U32" s="2245"/>
      <c r="V32" s="2245"/>
    </row>
    <row r="33" spans="1:30">
      <c r="A33" s="3259"/>
      <c r="B33" s="2234"/>
      <c r="C33" s="1478" t="str">
        <f>IF(B33="现房","成新及维护状况是否正常",IF(B33="在建","工程状态是否正常",IF(B33="土地","是否闲置","-")))</f>
        <v>-</v>
      </c>
      <c r="D33" s="1274"/>
      <c r="E33" s="2235"/>
      <c r="F33" s="2440"/>
      <c r="G33" s="2440"/>
      <c r="H33" s="2440"/>
      <c r="I33" s="2440"/>
      <c r="J33" s="2245"/>
      <c r="K33" s="2400"/>
      <c r="L33" s="2397"/>
      <c r="M33" s="2397"/>
      <c r="N33" s="2245"/>
      <c r="O33" s="1670"/>
      <c r="P33" s="2245"/>
      <c r="Q33" s="2245"/>
      <c r="R33" s="2245"/>
      <c r="S33" s="2245"/>
      <c r="T33" s="2245"/>
      <c r="U33" s="2245"/>
      <c r="V33" s="2245"/>
    </row>
    <row r="34" spans="1:30">
      <c r="A34" s="294" t="s">
        <v>2204</v>
      </c>
      <c r="B34" s="1870"/>
      <c r="C34" s="1870"/>
      <c r="D34" s="1870"/>
      <c r="E34" s="1870"/>
      <c r="F34" s="1870"/>
      <c r="G34" s="1870"/>
      <c r="H34" s="1870"/>
      <c r="I34" s="2440"/>
      <c r="J34" s="2245"/>
      <c r="K34" s="8">
        <f>COUNTIF(B34:H34,"——")</f>
        <v>0</v>
      </c>
      <c r="L34" s="315" t="s">
        <v>2205</v>
      </c>
      <c r="M34" s="315" t="s">
        <v>2206</v>
      </c>
      <c r="N34" s="315" t="s">
        <v>2207</v>
      </c>
      <c r="O34" s="315" t="s">
        <v>2208</v>
      </c>
      <c r="P34" s="315" t="s">
        <v>2209</v>
      </c>
      <c r="Q34" s="315" t="s">
        <v>2210</v>
      </c>
      <c r="R34" s="315" t="s">
        <v>2211</v>
      </c>
      <c r="S34" s="3253" t="s">
        <v>2212</v>
      </c>
      <c r="T34" s="315" t="str">
        <f>NUMBERSTRING(7-K34,1)&amp;"通"</f>
        <v>七通</v>
      </c>
      <c r="U34" s="2245"/>
      <c r="V34" s="2245"/>
    </row>
    <row r="35" spans="1:30">
      <c r="A35" s="2236"/>
      <c r="B35" s="3253" t="s">
        <v>2213</v>
      </c>
      <c r="C35" s="3253"/>
      <c r="D35" s="3253"/>
      <c r="E35" s="3253"/>
      <c r="F35" s="8">
        <f>C10</f>
        <v>0</v>
      </c>
      <c r="G35" s="2440"/>
      <c r="H35" s="2440"/>
      <c r="I35" s="2440"/>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53"/>
      <c r="T35" s="138" t="str">
        <f>IF(T34="一通",L35,IF(T34="二通",M35,IF(T34="三通",N35,IF(T34="四通",O35,IF(T34="五通",P35,IF(T34="六通",Q35,R35))))))</f>
        <v>、、、、、、</v>
      </c>
      <c r="U35" s="2245"/>
      <c r="V35" s="2245"/>
    </row>
    <row r="36" spans="1:30">
      <c r="A36" s="2183"/>
      <c r="B36" s="8" t="s">
        <v>2169</v>
      </c>
      <c r="C36" s="8" t="s">
        <v>2170</v>
      </c>
      <c r="D36" s="8" t="s">
        <v>2168</v>
      </c>
      <c r="E36" s="8" t="s">
        <v>2173</v>
      </c>
      <c r="F36" s="2799" t="s">
        <v>2554</v>
      </c>
      <c r="G36" s="2440"/>
      <c r="H36" s="2440"/>
      <c r="I36" s="2440"/>
      <c r="J36" s="2245"/>
      <c r="K36" s="2400"/>
      <c r="L36" s="2397"/>
      <c r="M36" s="2397"/>
      <c r="N36" s="2245"/>
      <c r="O36" s="1670"/>
      <c r="P36" s="2245"/>
      <c r="Q36" s="2245"/>
      <c r="R36" s="2245"/>
      <c r="S36" s="2245"/>
      <c r="T36" s="2245"/>
      <c r="U36" s="2245"/>
      <c r="V36" s="2245"/>
    </row>
    <row r="37" spans="1:30">
      <c r="A37" s="2413" t="s">
        <v>2214</v>
      </c>
      <c r="B37" s="2237"/>
      <c r="C37" s="2237"/>
      <c r="D37" s="2237"/>
      <c r="E37" s="2237" t="s">
        <v>306</v>
      </c>
      <c r="F37" s="2237"/>
      <c r="G37" s="2440"/>
      <c r="H37" s="2440"/>
      <c r="I37" s="2440"/>
      <c r="J37" s="2245"/>
      <c r="K37" s="2400"/>
      <c r="L37" s="2397"/>
      <c r="M37" s="2397"/>
      <c r="N37" s="2245"/>
      <c r="O37" s="1670"/>
      <c r="P37" s="2245"/>
      <c r="Q37" s="2245"/>
      <c r="R37" s="2245"/>
      <c r="S37" s="2245"/>
      <c r="T37" s="2245"/>
      <c r="U37" s="2245"/>
      <c r="V37" s="2245"/>
    </row>
    <row r="38" spans="1:30" ht="13.5" thickBot="1">
      <c r="A38" s="2414" t="s">
        <v>2215</v>
      </c>
      <c r="B38" s="2238"/>
      <c r="C38" s="2238"/>
      <c r="D38" s="2238"/>
      <c r="E38" s="2238" t="s">
        <v>242</v>
      </c>
      <c r="F38" s="2238"/>
      <c r="G38" s="2441"/>
      <c r="H38" s="2441"/>
      <c r="I38" s="2441"/>
      <c r="J38" s="2245"/>
      <c r="K38" s="2400"/>
      <c r="L38" s="2397"/>
      <c r="M38" s="2397"/>
      <c r="N38" s="2245"/>
      <c r="O38" s="1670"/>
      <c r="P38" s="2245"/>
      <c r="Q38" s="2245"/>
      <c r="R38" s="2245"/>
      <c r="S38" s="2245"/>
      <c r="T38" s="2245"/>
      <c r="U38" s="2245"/>
      <c r="V38" s="2245"/>
    </row>
    <row r="39" spans="1:30" s="2241" customFormat="1" ht="14.25" thickTop="1" thickBot="1">
      <c r="A39" s="2239" t="s">
        <v>2216</v>
      </c>
      <c r="B39" s="2240"/>
      <c r="C39" s="2240"/>
      <c r="D39" s="2240"/>
      <c r="E39" s="2240"/>
      <c r="F39" s="2240"/>
      <c r="G39" s="2240"/>
      <c r="H39" s="2240"/>
      <c r="I39" s="2240"/>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2"/>
      <c r="B40" s="2182"/>
      <c r="C40" s="2182"/>
      <c r="D40" s="2182"/>
      <c r="E40" s="2182"/>
      <c r="F40" s="2182"/>
      <c r="G40" s="2182"/>
      <c r="H40" s="2182"/>
      <c r="I40" s="1466"/>
      <c r="J40" s="2245"/>
      <c r="K40" s="2399"/>
      <c r="L40" s="1670"/>
      <c r="M40" s="1670"/>
      <c r="N40" s="2245"/>
      <c r="O40" s="1670"/>
      <c r="P40" s="2245"/>
      <c r="Q40" s="2245"/>
      <c r="R40" s="2245"/>
      <c r="S40" s="2245"/>
      <c r="T40" s="2245"/>
      <c r="U40" s="2245"/>
      <c r="V40" s="2245"/>
    </row>
    <row r="41" spans="1:30">
      <c r="A41" s="2242" t="s">
        <v>2217</v>
      </c>
      <c r="B41" s="1627"/>
      <c r="C41" s="1281"/>
      <c r="D41" s="2182"/>
      <c r="E41" s="2182"/>
      <c r="F41" s="2182"/>
      <c r="G41" s="2182"/>
      <c r="H41" s="2182"/>
      <c r="I41" s="1466"/>
      <c r="J41" s="2245"/>
      <c r="K41" s="2400"/>
      <c r="L41" s="2397"/>
      <c r="M41" s="2397"/>
      <c r="N41" s="2245"/>
      <c r="O41" s="1670"/>
      <c r="P41" s="2245"/>
      <c r="Q41" s="2245"/>
      <c r="R41" s="2245"/>
      <c r="S41" s="2245"/>
      <c r="T41" s="2245"/>
      <c r="U41" s="2245"/>
      <c r="V41" s="2245"/>
    </row>
    <row r="42" spans="1:30" ht="25.5">
      <c r="A42" s="315" t="s">
        <v>2218</v>
      </c>
      <c r="B42" s="8" t="s">
        <v>2219</v>
      </c>
      <c r="C42" s="8" t="s">
        <v>2220</v>
      </c>
      <c r="D42" s="8" t="s">
        <v>2221</v>
      </c>
      <c r="E42" s="8" t="s">
        <v>2222</v>
      </c>
      <c r="F42" s="8" t="s">
        <v>2223</v>
      </c>
      <c r="G42" s="8" t="s">
        <v>2224</v>
      </c>
      <c r="H42" s="8" t="s">
        <v>2225</v>
      </c>
      <c r="I42" s="8" t="s">
        <v>2226</v>
      </c>
      <c r="J42" s="2409" t="s">
        <v>2227</v>
      </c>
      <c r="K42" s="2410" t="s">
        <v>2228</v>
      </c>
      <c r="L42" s="2410" t="s">
        <v>2229</v>
      </c>
      <c r="M42" s="2410" t="s">
        <v>2230</v>
      </c>
      <c r="N42" s="2403" t="s">
        <v>2231</v>
      </c>
      <c r="O42" s="2403" t="s">
        <v>2232</v>
      </c>
      <c r="P42" s="2403" t="s">
        <v>2233</v>
      </c>
      <c r="Q42" s="2404" t="s">
        <v>2234</v>
      </c>
      <c r="R42" s="2404" t="s">
        <v>2235</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F13" activePane="bottomRight" state="frozen"/>
      <selection activeCell="C50" sqref="C50"/>
      <selection pane="topRight" activeCell="C50" sqref="C50"/>
      <selection pane="bottomLeft" activeCell="C50" sqref="C50"/>
      <selection pane="bottomRight" activeCell="K27" sqref="K27"/>
    </sheetView>
  </sheetViews>
  <sheetFormatPr defaultColWidth="8.875" defaultRowHeight="14.25"/>
  <cols>
    <col min="1" max="1" width="12.37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1046</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1047</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1048</v>
      </c>
      <c r="B2" s="8" t="s">
        <v>1049</v>
      </c>
      <c r="C2" s="8" t="s">
        <v>1050</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1051</v>
      </c>
      <c r="AZ2" s="987" t="s">
        <v>1052</v>
      </c>
      <c r="BA2" s="8" t="s">
        <v>1053</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v>120628.8</v>
      </c>
      <c r="B3" s="11">
        <f>IF(C3="否",G5-AT5,G5)</f>
        <v>66988.94</v>
      </c>
      <c r="C3" s="1469" t="s">
        <v>1054</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1055</v>
      </c>
      <c r="B5" s="1259"/>
      <c r="C5" s="1259"/>
      <c r="D5" s="1260"/>
      <c r="E5" s="13" t="s">
        <v>0</v>
      </c>
      <c r="F5" s="13">
        <f>SUM(F13:F587)</f>
        <v>0</v>
      </c>
      <c r="G5" s="13">
        <f>SUM(G13:G587)</f>
        <v>66988.94</v>
      </c>
      <c r="H5" s="13">
        <f t="shared" ref="H5:AT5" si="0">SUM(H13:H656)</f>
        <v>66988.94</v>
      </c>
      <c r="I5" s="13">
        <f t="shared" si="0"/>
        <v>65627.570000000007</v>
      </c>
      <c r="J5" s="13">
        <f t="shared" si="0"/>
        <v>0</v>
      </c>
      <c r="K5" s="13">
        <f t="shared" si="0"/>
        <v>1361.37</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1055</v>
      </c>
      <c r="AW5" s="1259"/>
      <c r="AX5" s="1259"/>
      <c r="AY5" s="14" t="s">
        <v>2</v>
      </c>
      <c r="AZ5" s="15">
        <f t="shared" ref="AZ5:BT5" si="1">SUM(AZ13:AZ656)</f>
        <v>66988.94</v>
      </c>
      <c r="BA5" s="15">
        <f t="shared" si="1"/>
        <v>66988.94</v>
      </c>
      <c r="BB5" s="15">
        <f t="shared" si="1"/>
        <v>65627.570000000007</v>
      </c>
      <c r="BC5" s="15">
        <f t="shared" si="1"/>
        <v>1361.37</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1056</v>
      </c>
      <c r="B6" s="1474"/>
      <c r="C6" s="1474"/>
      <c r="D6" s="1475"/>
      <c r="E6" s="13">
        <f>H6+AC6+AT6</f>
        <v>120628.8</v>
      </c>
      <c r="F6" s="13" t="s">
        <v>0</v>
      </c>
      <c r="G6" s="13" t="s">
        <v>1</v>
      </c>
      <c r="H6" s="17">
        <f>SUMIF(I$12:AB$12,"总值",I6:AB6)</f>
        <v>120628.8</v>
      </c>
      <c r="I6" s="13">
        <f t="shared" ref="I6:AB6" si="2">ROUND($A$3*I5/$B$3,2)</f>
        <v>118177.34</v>
      </c>
      <c r="J6" s="13">
        <f t="shared" si="2"/>
        <v>0</v>
      </c>
      <c r="K6" s="13">
        <f t="shared" si="2"/>
        <v>2451.46</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1056</v>
      </c>
      <c r="AW6" s="1474"/>
      <c r="AX6" s="1474"/>
      <c r="AY6" s="18">
        <f>IF(AY3&gt;0,AY3,ROUND($A$3*AZ5/$B$3,2))</f>
        <v>120628.8</v>
      </c>
      <c r="AZ6" s="13" t="s">
        <v>2</v>
      </c>
      <c r="BA6" s="13">
        <f>ROUND($AY$6*BA5/$AZ$5,2)</f>
        <v>120628.8</v>
      </c>
      <c r="BB6" s="13">
        <f>ROUND($AY$6*BB5/$AZ$5,2)</f>
        <v>118177.34</v>
      </c>
      <c r="BC6" s="13">
        <f t="shared" ref="BC6:BH6" si="4">ROUND($AY$6*BC5/$AZ$5,2)</f>
        <v>2451.46</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1057</v>
      </c>
      <c r="B7" s="1461" t="s">
        <v>1058</v>
      </c>
      <c r="C7" s="1461" t="s">
        <v>1059</v>
      </c>
      <c r="D7" s="1461" t="s">
        <v>1060</v>
      </c>
      <c r="E7" s="1461" t="s">
        <v>1061</v>
      </c>
      <c r="F7" s="1461" t="s">
        <v>1062</v>
      </c>
      <c r="G7" s="1478" t="s">
        <v>1063</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1064</v>
      </c>
      <c r="AV7" s="20" t="s">
        <v>1065</v>
      </c>
      <c r="AW7" s="1466" t="s">
        <v>1066</v>
      </c>
      <c r="AX7" s="20" t="s">
        <v>1059</v>
      </c>
      <c r="AY7" s="1259" t="s">
        <v>1067</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1068</v>
      </c>
      <c r="H8" s="1484" t="s">
        <v>1069</v>
      </c>
      <c r="I8" s="1485"/>
      <c r="J8" s="1269"/>
      <c r="K8" s="1269"/>
      <c r="L8" s="1269"/>
      <c r="M8" s="1269"/>
      <c r="N8" s="1269"/>
      <c r="O8" s="1269"/>
      <c r="P8" s="1269"/>
      <c r="Q8" s="1269"/>
      <c r="R8" s="1269"/>
      <c r="S8" s="1269"/>
      <c r="T8" s="1269"/>
      <c r="U8" s="1269"/>
      <c r="V8" s="1486"/>
      <c r="W8" s="1269"/>
      <c r="X8" s="1269"/>
      <c r="Y8" s="1269"/>
      <c r="Z8" s="1269"/>
      <c r="AA8" s="1486"/>
      <c r="AB8" s="1487"/>
      <c r="AC8" s="761" t="s">
        <v>1070</v>
      </c>
      <c r="AD8" s="1488"/>
      <c r="AE8" s="1480"/>
      <c r="AF8" s="1269"/>
      <c r="AG8" s="1269"/>
      <c r="AH8" s="1269"/>
      <c r="AI8" s="1269"/>
      <c r="AJ8" s="1269"/>
      <c r="AK8" s="1269"/>
      <c r="AL8" s="1269"/>
      <c r="AM8" s="1269"/>
      <c r="AN8" s="1269"/>
      <c r="AO8" s="1269"/>
      <c r="AP8" s="1269"/>
      <c r="AQ8" s="1269"/>
      <c r="AR8" s="1269"/>
      <c r="AS8" s="1269"/>
      <c r="AT8" s="1007" t="s">
        <v>1071</v>
      </c>
      <c r="AU8" s="1482" t="s">
        <v>1072</v>
      </c>
      <c r="AV8" s="1007"/>
      <c r="AW8" s="1467"/>
      <c r="AX8" s="1007"/>
      <c r="AY8" s="1466" t="s">
        <v>1073</v>
      </c>
      <c r="AZ8" s="1268" t="s">
        <v>1074</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1075</v>
      </c>
      <c r="I9" s="1491" t="s">
        <v>3385</v>
      </c>
      <c r="J9" s="761"/>
      <c r="K9" s="1491" t="s">
        <v>3414</v>
      </c>
      <c r="L9" s="761"/>
      <c r="M9" s="1491"/>
      <c r="N9" s="761"/>
      <c r="O9" s="1491"/>
      <c r="P9" s="761"/>
      <c r="Q9" s="1491"/>
      <c r="R9" s="761"/>
      <c r="S9" s="1491"/>
      <c r="T9" s="761"/>
      <c r="U9" s="1491"/>
      <c r="V9" s="761"/>
      <c r="W9" s="1491"/>
      <c r="X9" s="1492"/>
      <c r="Y9" s="1491"/>
      <c r="Z9" s="761"/>
      <c r="AA9" s="1491"/>
      <c r="AB9" s="761"/>
      <c r="AC9" s="1483" t="s">
        <v>1075</v>
      </c>
      <c r="AD9" s="12" t="s">
        <v>1076</v>
      </c>
      <c r="AE9" s="1013"/>
      <c r="AF9" s="12" t="s">
        <v>1077</v>
      </c>
      <c r="AG9" s="1013"/>
      <c r="AH9" s="12" t="s">
        <v>1076</v>
      </c>
      <c r="AI9" s="1013"/>
      <c r="AJ9" s="12" t="s">
        <v>1077</v>
      </c>
      <c r="AK9" s="1013"/>
      <c r="AL9" s="12" t="s">
        <v>1076</v>
      </c>
      <c r="AM9" s="1013"/>
      <c r="AN9" s="12" t="s">
        <v>1077</v>
      </c>
      <c r="AO9" s="1013"/>
      <c r="AP9" s="12" t="s">
        <v>1076</v>
      </c>
      <c r="AQ9" s="1013"/>
      <c r="AR9" s="12" t="s">
        <v>1077</v>
      </c>
      <c r="AS9" s="1493"/>
      <c r="AT9" s="1482"/>
      <c r="AU9" s="1482" t="s">
        <v>1078</v>
      </c>
      <c r="AV9" s="1007"/>
      <c r="AW9" s="1467"/>
      <c r="AX9" s="1007"/>
      <c r="AY9" s="25"/>
      <c r="AZ9" s="25" t="s">
        <v>1068</v>
      </c>
      <c r="BA9" s="1494" t="s">
        <v>1079</v>
      </c>
      <c r="BB9" s="1495"/>
      <c r="BC9" s="1025"/>
      <c r="BD9" s="1025"/>
      <c r="BE9" s="1025"/>
      <c r="BF9" s="1025"/>
      <c r="BG9" s="1025"/>
      <c r="BH9" s="1025"/>
      <c r="BI9" s="1025"/>
      <c r="BJ9" s="1025"/>
      <c r="BK9" s="1496"/>
      <c r="BL9" s="12" t="s">
        <v>1080</v>
      </c>
      <c r="BM9" s="1269"/>
      <c r="BN9" s="1485"/>
      <c r="BO9" s="1269"/>
      <c r="BP9" s="1269"/>
      <c r="BQ9" s="1269"/>
      <c r="BR9" s="1269"/>
      <c r="BS9" s="1269"/>
      <c r="BT9" s="23"/>
    </row>
    <row r="10" spans="1:72" s="1489" customFormat="1" ht="12.75">
      <c r="A10" s="1482"/>
      <c r="B10" s="1482"/>
      <c r="C10" s="1482"/>
      <c r="D10" s="1482"/>
      <c r="E10" s="1482"/>
      <c r="F10" s="1482"/>
      <c r="G10" s="1007"/>
      <c r="H10" s="25"/>
      <c r="I10" s="1491"/>
      <c r="J10" s="761"/>
      <c r="K10" s="1497"/>
      <c r="L10" s="761"/>
      <c r="M10" s="1497"/>
      <c r="N10" s="761"/>
      <c r="O10" s="1497"/>
      <c r="P10" s="761"/>
      <c r="Q10" s="1497"/>
      <c r="R10" s="761"/>
      <c r="S10" s="1497"/>
      <c r="T10" s="761"/>
      <c r="U10" s="1497"/>
      <c r="V10" s="761"/>
      <c r="W10" s="1497"/>
      <c r="X10" s="761"/>
      <c r="Y10" s="1497"/>
      <c r="Z10" s="761"/>
      <c r="AA10" s="1497"/>
      <c r="AB10" s="761"/>
      <c r="AC10" s="1007"/>
      <c r="AD10" s="12" t="s">
        <v>1081</v>
      </c>
      <c r="AE10" s="1498"/>
      <c r="AF10" s="12" t="s">
        <v>1081</v>
      </c>
      <c r="AG10" s="1498"/>
      <c r="AH10" s="12" t="s">
        <v>1082</v>
      </c>
      <c r="AI10" s="1498"/>
      <c r="AJ10" s="12" t="s">
        <v>1082</v>
      </c>
      <c r="AK10" s="1498"/>
      <c r="AL10" s="12" t="s">
        <v>1083</v>
      </c>
      <c r="AM10" s="1013"/>
      <c r="AN10" s="12" t="s">
        <v>1083</v>
      </c>
      <c r="AO10" s="1013"/>
      <c r="AP10" s="12" t="s">
        <v>1084</v>
      </c>
      <c r="AQ10" s="1013"/>
      <c r="AR10" s="12" t="s">
        <v>1084</v>
      </c>
      <c r="AS10" s="1013"/>
      <c r="AT10" s="1482"/>
      <c r="AU10" s="1482"/>
      <c r="AV10" s="1007"/>
      <c r="AW10" s="1467"/>
      <c r="AX10" s="1007"/>
      <c r="AY10" s="25"/>
      <c r="AZ10" s="25"/>
      <c r="BA10" s="1499" t="s">
        <v>1075</v>
      </c>
      <c r="BB10" s="1500" t="str">
        <f>I9</f>
        <v>地上</v>
      </c>
      <c r="BC10" s="26" t="str">
        <f>K9</f>
        <v>地下</v>
      </c>
      <c r="BD10" s="26">
        <f>M9</f>
        <v>0</v>
      </c>
      <c r="BE10" s="26">
        <f>O9</f>
        <v>0</v>
      </c>
      <c r="BF10" s="26">
        <f>Q9</f>
        <v>0</v>
      </c>
      <c r="BG10" s="26">
        <f>S9</f>
        <v>0</v>
      </c>
      <c r="BH10" s="26">
        <f>U9</f>
        <v>0</v>
      </c>
      <c r="BI10" s="26">
        <f>W9</f>
        <v>0</v>
      </c>
      <c r="BJ10" s="26">
        <f>Y9</f>
        <v>0</v>
      </c>
      <c r="BK10" s="26">
        <f>AA9</f>
        <v>0</v>
      </c>
      <c r="BL10" s="22" t="s">
        <v>1075</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1085</v>
      </c>
      <c r="AE11" s="1270"/>
      <c r="AF11" s="1504" t="s">
        <v>1085</v>
      </c>
      <c r="AG11" s="1270"/>
      <c r="AH11" s="1504" t="s">
        <v>1086</v>
      </c>
      <c r="AI11" s="1505"/>
      <c r="AJ11" s="1504" t="s">
        <v>1086</v>
      </c>
      <c r="AK11" s="1270"/>
      <c r="AL11" s="1268"/>
      <c r="AM11" s="1270"/>
      <c r="AN11" s="1268"/>
      <c r="AO11" s="1270"/>
      <c r="AP11" s="1268"/>
      <c r="AQ11" s="1270"/>
      <c r="AR11" s="1268"/>
      <c r="AS11" s="1270"/>
      <c r="AT11" s="1467"/>
      <c r="AU11" s="1482"/>
      <c r="AV11" s="1007"/>
      <c r="AW11" s="1467"/>
      <c r="AX11" s="1007"/>
      <c r="AY11" s="25"/>
      <c r="AZ11" s="25"/>
      <c r="BA11" s="25"/>
      <c r="BB11" s="1487">
        <f>I10</f>
        <v>0</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1087</v>
      </c>
      <c r="J12" s="8" t="s">
        <v>1088</v>
      </c>
      <c r="K12" s="8" t="s">
        <v>1087</v>
      </c>
      <c r="L12" s="8" t="s">
        <v>1088</v>
      </c>
      <c r="M12" s="8" t="s">
        <v>1087</v>
      </c>
      <c r="N12" s="8" t="s">
        <v>1088</v>
      </c>
      <c r="O12" s="8" t="s">
        <v>1087</v>
      </c>
      <c r="P12" s="8" t="s">
        <v>1088</v>
      </c>
      <c r="Q12" s="8" t="s">
        <v>1087</v>
      </c>
      <c r="R12" s="8" t="s">
        <v>1088</v>
      </c>
      <c r="S12" s="8" t="s">
        <v>1087</v>
      </c>
      <c r="T12" s="8" t="s">
        <v>1088</v>
      </c>
      <c r="U12" s="8" t="s">
        <v>1087</v>
      </c>
      <c r="V12" s="1258" t="s">
        <v>1088</v>
      </c>
      <c r="W12" s="8" t="s">
        <v>1087</v>
      </c>
      <c r="X12" s="8" t="s">
        <v>1088</v>
      </c>
      <c r="Y12" s="8" t="s">
        <v>1087</v>
      </c>
      <c r="Z12" s="8" t="s">
        <v>1088</v>
      </c>
      <c r="AA12" s="8" t="s">
        <v>1087</v>
      </c>
      <c r="AB12" s="8" t="s">
        <v>1088</v>
      </c>
      <c r="AC12" s="1509"/>
      <c r="AD12" s="1260" t="s">
        <v>1087</v>
      </c>
      <c r="AE12" s="8" t="s">
        <v>1088</v>
      </c>
      <c r="AF12" s="8" t="s">
        <v>1087</v>
      </c>
      <c r="AG12" s="8" t="s">
        <v>1088</v>
      </c>
      <c r="AH12" s="8" t="s">
        <v>1087</v>
      </c>
      <c r="AI12" s="8" t="s">
        <v>1088</v>
      </c>
      <c r="AJ12" s="8" t="s">
        <v>1087</v>
      </c>
      <c r="AK12" s="8" t="s">
        <v>1088</v>
      </c>
      <c r="AL12" s="8" t="s">
        <v>1087</v>
      </c>
      <c r="AM12" s="8" t="s">
        <v>1088</v>
      </c>
      <c r="AN12" s="8" t="s">
        <v>1087</v>
      </c>
      <c r="AO12" s="8" t="s">
        <v>1088</v>
      </c>
      <c r="AP12" s="8" t="s">
        <v>1087</v>
      </c>
      <c r="AQ12" s="8" t="s">
        <v>1088</v>
      </c>
      <c r="AR12" s="27" t="s">
        <v>1087</v>
      </c>
      <c r="AS12" s="1507" t="s">
        <v>1088</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t="str">
        <f>面积!K7</f>
        <v>1幢</v>
      </c>
      <c r="D13" s="1513" t="s">
        <v>3384</v>
      </c>
      <c r="E13" s="13">
        <f>IF($C$3="是",ROUND($A$3*G13/$B$3,2),ROUND($A$3*(G13-AT13)/$B$3,2))</f>
        <v>7354.37</v>
      </c>
      <c r="F13" s="29"/>
      <c r="G13" s="30">
        <f>H13+AC13+AT13</f>
        <v>4084.1099999999997</v>
      </c>
      <c r="H13" s="17">
        <f>SUMIF(I$12:AB$12,"总值",I13:AB13)</f>
        <v>4084.1099999999997</v>
      </c>
      <c r="I13" s="1514">
        <f>面积!L7</f>
        <v>2722.74</v>
      </c>
      <c r="J13" s="1514"/>
      <c r="K13" s="1514">
        <f>面积!M7</f>
        <v>1361.37</v>
      </c>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1幢</v>
      </c>
      <c r="AY13" s="1260">
        <f>ROUND($AY$6*AZ13/$AZ$5,2)</f>
        <v>7354.37</v>
      </c>
      <c r="AZ13" s="13">
        <f>BA13+BL13</f>
        <v>4084.1099999999997</v>
      </c>
      <c r="BA13" s="13">
        <f>SUM(BB13:BK13)</f>
        <v>4084.1099999999997</v>
      </c>
      <c r="BB13" s="13">
        <f>IF($D13="是",I13-J13,0)</f>
        <v>2722.74</v>
      </c>
      <c r="BC13" s="13">
        <f>IF($D13="是",K13-L13,0)</f>
        <v>1361.37</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628" t="str">
        <f>面积!K8</f>
        <v>2幢</v>
      </c>
      <c r="D14" s="1513" t="s">
        <v>3384</v>
      </c>
      <c r="E14" s="13">
        <f>IF($C$3="是",ROUND($A$3*G14/$B$3,2),ROUND($A$3*(G14-AT14)/$B$3,2))</f>
        <v>21.97</v>
      </c>
      <c r="F14" s="29"/>
      <c r="G14" s="30">
        <f>H14+AC14+AT14</f>
        <v>12.2</v>
      </c>
      <c r="H14" s="17">
        <f>SUMIF(I$12:AB$12,"总值",I14:AB14)</f>
        <v>12.2</v>
      </c>
      <c r="I14" s="1514">
        <f>面积!L8</f>
        <v>12.2</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t="str">
        <f t="shared" si="6"/>
        <v>2幢</v>
      </c>
      <c r="AY14" s="1260">
        <f>ROUND($AY$6*AZ14/$AZ$5,2)</f>
        <v>21.97</v>
      </c>
      <c r="AZ14" s="13">
        <f>BA14+BL14</f>
        <v>12.2</v>
      </c>
      <c r="BA14" s="13">
        <f>SUM(BB14:BK14)</f>
        <v>12.2</v>
      </c>
      <c r="BB14" s="13">
        <f>IF($D14="是",I14-J14,0)</f>
        <v>12.2</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628" t="str">
        <f>面积!K9</f>
        <v>3幢</v>
      </c>
      <c r="D15" s="1513" t="s">
        <v>3384</v>
      </c>
      <c r="E15" s="13">
        <f>IF($C$3="是",ROUND($A$3*G15/$B$3,2),ROUND($A$3*(G15-AT15)/$B$3,2))</f>
        <v>502.94</v>
      </c>
      <c r="F15" s="29"/>
      <c r="G15" s="30">
        <f>H15+AC15+AT15</f>
        <v>279.3</v>
      </c>
      <c r="H15" s="17">
        <f>SUMIF(I$12:AB$12,"总值",I15:AB15)</f>
        <v>279.3</v>
      </c>
      <c r="I15" s="1514">
        <f>面积!L9</f>
        <v>279.3</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t="str">
        <f t="shared" si="6"/>
        <v>3幢</v>
      </c>
      <c r="AY15" s="1260">
        <f>ROUND($AY$6*AZ15/$AZ$5,2)</f>
        <v>502.94</v>
      </c>
      <c r="AZ15" s="13">
        <f>BA15+BL15</f>
        <v>279.3</v>
      </c>
      <c r="BA15" s="13">
        <f>SUM(BB15:BK15)</f>
        <v>279.3</v>
      </c>
      <c r="BB15" s="13">
        <f>IF($D15="是",I15-J15,0)</f>
        <v>279.3</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628" t="str">
        <f>面积!K10</f>
        <v>4幢</v>
      </c>
      <c r="D16" s="1513" t="s">
        <v>3384</v>
      </c>
      <c r="E16" s="13">
        <f>IF($C$3="是",ROUND($A$3*G16/$B$3,2),ROUND($A$3*(G16-AT16)/$B$3,2))</f>
        <v>54110.44</v>
      </c>
      <c r="F16" s="29"/>
      <c r="G16" s="30">
        <f>H16+AC16+AT16</f>
        <v>30049.22</v>
      </c>
      <c r="H16" s="17">
        <f>SUMIF(I$12:AB$12,"总值",I16:AB16)</f>
        <v>30049.22</v>
      </c>
      <c r="I16" s="1514">
        <f>面积!L10</f>
        <v>30049.22</v>
      </c>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t="str">
        <f t="shared" si="6"/>
        <v>4幢</v>
      </c>
      <c r="AY16" s="1260">
        <f>ROUND($AY$6*AZ16/$AZ$5,2)</f>
        <v>54110.44</v>
      </c>
      <c r="AZ16" s="13">
        <f>BA16+BL16</f>
        <v>30049.22</v>
      </c>
      <c r="BA16" s="13">
        <f>SUM(BB16:BK16)</f>
        <v>30049.22</v>
      </c>
      <c r="BB16" s="13">
        <f>IF($D16="是",I16-J16,0)</f>
        <v>30049.22</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628" t="str">
        <f>面积!K11</f>
        <v>5幢</v>
      </c>
      <c r="D17" s="1513" t="s">
        <v>3384</v>
      </c>
      <c r="E17" s="13">
        <f>IF($C$3="是",ROUND($A$3*G17/$B$3,2),ROUND($A$3*(G17-AT17)/$B$3,2))</f>
        <v>358.87</v>
      </c>
      <c r="F17" s="29"/>
      <c r="G17" s="30">
        <f>H17+AC17+AT17</f>
        <v>199.29</v>
      </c>
      <c r="H17" s="17">
        <f>SUMIF(I$12:AB$12,"总值",I17:AB17)</f>
        <v>199.29</v>
      </c>
      <c r="I17" s="1514">
        <f>面积!L11</f>
        <v>199.29</v>
      </c>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t="str">
        <f t="shared" si="6"/>
        <v>5幢</v>
      </c>
      <c r="AY17" s="1260">
        <f>ROUND($AY$6*AZ17/$AZ$5,2)</f>
        <v>358.87</v>
      </c>
      <c r="AZ17" s="13">
        <f>BA17+BL17</f>
        <v>199.29</v>
      </c>
      <c r="BA17" s="13">
        <f>SUM(BB17:BK17)</f>
        <v>199.29</v>
      </c>
      <c r="BB17" s="13">
        <f>IF($D17="是",I17-J17,0)</f>
        <v>199.29</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628" t="str">
        <f>面积!K12</f>
        <v>6幢</v>
      </c>
      <c r="D18" s="1513" t="s">
        <v>3384</v>
      </c>
      <c r="E18" s="32">
        <f t="shared" ref="E18:E112" si="7">IF($C$3="是",ROUND($A$3*G18/$B$3,2),ROUND($A$3*(G18-AT18)/$B$3,2))</f>
        <v>116.04</v>
      </c>
      <c r="F18" s="33"/>
      <c r="G18" s="34">
        <f t="shared" ref="G18:G109" si="8">H18+AC18+AT18</f>
        <v>64.44</v>
      </c>
      <c r="H18" s="35">
        <f t="shared" ref="H18:H109" si="9">SUMIF(I$12:AB$12,"总值",I18:AB18)</f>
        <v>64.44</v>
      </c>
      <c r="I18" s="1514">
        <f>面积!L12</f>
        <v>64.44</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t="str">
        <f t="shared" ref="AX18:AX112" si="13">C18</f>
        <v>6幢</v>
      </c>
      <c r="AY18" s="38">
        <f t="shared" ref="AY18:AY109" si="14">ROUND($AY$6*AZ18/$AZ$5,2)</f>
        <v>116.04</v>
      </c>
      <c r="AZ18" s="32">
        <f t="shared" ref="AZ18:AZ109" si="15">BA18+BL18</f>
        <v>64.44</v>
      </c>
      <c r="BA18" s="32">
        <f t="shared" ref="BA18:BA109" si="16">SUM(BB18:BK18)</f>
        <v>64.44</v>
      </c>
      <c r="BB18" s="32">
        <f t="shared" ref="BB18:BB109" si="17">IF($D18="是",I18-J18,0)</f>
        <v>64.44</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628" t="str">
        <f>面积!K13</f>
        <v>7幢</v>
      </c>
      <c r="D19" s="1513" t="s">
        <v>3384</v>
      </c>
      <c r="E19" s="32">
        <f t="shared" si="7"/>
        <v>450.88</v>
      </c>
      <c r="F19" s="33"/>
      <c r="G19" s="34">
        <f t="shared" si="8"/>
        <v>250.39</v>
      </c>
      <c r="H19" s="35">
        <f t="shared" si="9"/>
        <v>250.39</v>
      </c>
      <c r="I19" s="1514">
        <f>面积!L13</f>
        <v>250.39</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t="str">
        <f t="shared" si="13"/>
        <v>7幢</v>
      </c>
      <c r="AY19" s="38">
        <f t="shared" si="14"/>
        <v>450.88</v>
      </c>
      <c r="AZ19" s="32">
        <f t="shared" si="15"/>
        <v>250.39</v>
      </c>
      <c r="BA19" s="32">
        <f t="shared" si="16"/>
        <v>250.39</v>
      </c>
      <c r="BB19" s="32">
        <f t="shared" si="17"/>
        <v>250.39</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628" t="str">
        <f>面积!K14</f>
        <v>8幢</v>
      </c>
      <c r="D20" s="1513" t="s">
        <v>3384</v>
      </c>
      <c r="E20" s="32">
        <f t="shared" si="7"/>
        <v>8898.27</v>
      </c>
      <c r="F20" s="33"/>
      <c r="G20" s="34">
        <f t="shared" si="8"/>
        <v>4941.49</v>
      </c>
      <c r="H20" s="35">
        <f t="shared" si="9"/>
        <v>4941.49</v>
      </c>
      <c r="I20" s="1514">
        <f>面积!L14</f>
        <v>4941.49</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t="str">
        <f t="shared" si="13"/>
        <v>8幢</v>
      </c>
      <c r="AY20" s="38">
        <f t="shared" si="14"/>
        <v>8898.27</v>
      </c>
      <c r="AZ20" s="32">
        <f t="shared" si="15"/>
        <v>4941.49</v>
      </c>
      <c r="BA20" s="32">
        <f t="shared" si="16"/>
        <v>4941.49</v>
      </c>
      <c r="BB20" s="32">
        <f t="shared" si="17"/>
        <v>4941.49</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628" t="str">
        <f>面积!K15</f>
        <v>9幢</v>
      </c>
      <c r="D21" s="1513" t="s">
        <v>3384</v>
      </c>
      <c r="E21" s="32">
        <f t="shared" si="7"/>
        <v>919.52</v>
      </c>
      <c r="F21" s="33"/>
      <c r="G21" s="34">
        <f t="shared" si="8"/>
        <v>510.64</v>
      </c>
      <c r="H21" s="35">
        <f t="shared" si="9"/>
        <v>510.64</v>
      </c>
      <c r="I21" s="1514">
        <f>面积!L15</f>
        <v>510.64</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t="str">
        <f t="shared" si="13"/>
        <v>9幢</v>
      </c>
      <c r="AY21" s="38">
        <f t="shared" si="14"/>
        <v>919.52</v>
      </c>
      <c r="AZ21" s="32">
        <f t="shared" si="15"/>
        <v>510.64</v>
      </c>
      <c r="BA21" s="32">
        <f t="shared" si="16"/>
        <v>510.64</v>
      </c>
      <c r="BB21" s="32">
        <f t="shared" si="17"/>
        <v>510.64</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628" t="str">
        <f>面积!K16</f>
        <v>10幢</v>
      </c>
      <c r="D22" s="1513" t="s">
        <v>3384</v>
      </c>
      <c r="E22" s="32">
        <f t="shared" si="7"/>
        <v>839.46</v>
      </c>
      <c r="F22" s="33"/>
      <c r="G22" s="34">
        <f t="shared" si="8"/>
        <v>466.18</v>
      </c>
      <c r="H22" s="35">
        <f t="shared" si="9"/>
        <v>466.18</v>
      </c>
      <c r="I22" s="1514">
        <f>面积!L16</f>
        <v>466.18</v>
      </c>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t="str">
        <f t="shared" si="13"/>
        <v>10幢</v>
      </c>
      <c r="AY22" s="38">
        <f t="shared" si="14"/>
        <v>839.46</v>
      </c>
      <c r="AZ22" s="32">
        <f t="shared" si="15"/>
        <v>466.18</v>
      </c>
      <c r="BA22" s="32">
        <f t="shared" si="16"/>
        <v>466.18</v>
      </c>
      <c r="BB22" s="32">
        <f t="shared" si="17"/>
        <v>466.18</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628" t="str">
        <f>面积!K17</f>
        <v>11幢</v>
      </c>
      <c r="D23" s="1513" t="s">
        <v>3384</v>
      </c>
      <c r="E23" s="32">
        <f t="shared" si="7"/>
        <v>227.02</v>
      </c>
      <c r="F23" s="33"/>
      <c r="G23" s="34">
        <f t="shared" si="8"/>
        <v>126.07</v>
      </c>
      <c r="H23" s="35">
        <f t="shared" si="9"/>
        <v>126.07</v>
      </c>
      <c r="I23" s="1514">
        <f>面积!L17</f>
        <v>126.07</v>
      </c>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t="str">
        <f t="shared" si="13"/>
        <v>11幢</v>
      </c>
      <c r="AY23" s="38">
        <f t="shared" si="14"/>
        <v>227.02</v>
      </c>
      <c r="AZ23" s="32">
        <f t="shared" si="15"/>
        <v>126.07</v>
      </c>
      <c r="BA23" s="32">
        <f t="shared" si="16"/>
        <v>126.07</v>
      </c>
      <c r="BB23" s="32">
        <f t="shared" si="17"/>
        <v>126.07</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628" t="str">
        <f>面积!K18</f>
        <v>12幢</v>
      </c>
      <c r="D24" s="1513" t="s">
        <v>3384</v>
      </c>
      <c r="E24" s="32">
        <f t="shared" si="7"/>
        <v>46829.01</v>
      </c>
      <c r="F24" s="33"/>
      <c r="G24" s="34">
        <f t="shared" si="8"/>
        <v>26005.61</v>
      </c>
      <c r="H24" s="35">
        <f t="shared" si="9"/>
        <v>26005.61</v>
      </c>
      <c r="I24" s="1514">
        <f>面积!L18</f>
        <v>26005.61</v>
      </c>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t="str">
        <f t="shared" si="13"/>
        <v>12幢</v>
      </c>
      <c r="AY24" s="38">
        <f t="shared" si="14"/>
        <v>46829.01</v>
      </c>
      <c r="AZ24" s="32">
        <f t="shared" si="15"/>
        <v>26005.61</v>
      </c>
      <c r="BA24" s="32">
        <f t="shared" si="16"/>
        <v>26005.61</v>
      </c>
      <c r="BB24" s="32">
        <f t="shared" si="17"/>
        <v>26005.61</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4" type="noConversion"/>
  <dataValidations disablePrompts="1"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1114</v>
      </c>
      <c r="B1" s="1071"/>
      <c r="C1" s="1071"/>
      <c r="D1" s="1071"/>
      <c r="E1" s="1071"/>
      <c r="F1" s="1071"/>
      <c r="G1" s="1071"/>
      <c r="H1" s="1071"/>
      <c r="I1" s="1071"/>
      <c r="J1" s="1071"/>
      <c r="K1" s="1071"/>
      <c r="L1" s="1071"/>
      <c r="M1" s="1071"/>
      <c r="N1" s="1071"/>
      <c r="O1" s="1071"/>
      <c r="P1" s="1071"/>
    </row>
    <row r="2" spans="1:16" ht="15">
      <c r="A2" s="3291" t="s">
        <v>1115</v>
      </c>
      <c r="B2" s="3291"/>
      <c r="C2" s="3291"/>
      <c r="D2" s="748" t="s">
        <v>1091</v>
      </c>
      <c r="E2" s="1523" t="s">
        <v>1092</v>
      </c>
      <c r="F2" s="2437"/>
      <c r="G2" s="2430"/>
      <c r="H2" s="2431"/>
      <c r="I2" s="2146" t="s">
        <v>1116</v>
      </c>
      <c r="J2" s="2437"/>
      <c r="K2" s="2437"/>
      <c r="L2" s="2437"/>
      <c r="M2" s="2437"/>
      <c r="N2" s="2438"/>
      <c r="O2" s="2437"/>
      <c r="P2" s="2437"/>
    </row>
    <row r="3" spans="1:16" ht="15.75" thickBot="1">
      <c r="A3" s="3292" t="s">
        <v>1089</v>
      </c>
      <c r="B3" s="3292"/>
      <c r="C3" s="3292"/>
      <c r="D3" s="41">
        <f>'数据-基础表'!AY6</f>
        <v>120628.8</v>
      </c>
      <c r="E3" s="41">
        <f>'数据-基础表'!AZ5</f>
        <v>66988.94</v>
      </c>
      <c r="F3" s="2437"/>
      <c r="G3" s="42"/>
      <c r="H3" s="43" t="s">
        <v>1090</v>
      </c>
      <c r="I3" s="802">
        <f>ROUND('数据-基础表'!B3/'数据-基础表'!A3,2)</f>
        <v>0.56000000000000005</v>
      </c>
      <c r="J3" s="2437"/>
      <c r="K3" s="2437"/>
      <c r="L3" s="2437"/>
      <c r="M3" s="2437"/>
      <c r="N3" s="2438"/>
      <c r="O3" s="2437"/>
      <c r="P3" s="2437"/>
    </row>
    <row r="4" spans="1:16" ht="15">
      <c r="A4" s="3293"/>
      <c r="B4" s="3294"/>
      <c r="C4" s="3295"/>
      <c r="D4" s="1524" t="s">
        <v>1091</v>
      </c>
      <c r="E4" s="1525" t="s">
        <v>1092</v>
      </c>
      <c r="F4" s="2437"/>
      <c r="G4" s="2432" t="s">
        <v>1117</v>
      </c>
      <c r="H4" s="43" t="s">
        <v>1097</v>
      </c>
      <c r="I4" s="802">
        <f>ROUND(SUMIF('数据-基础表'!I9:AS9,"地上",'数据-基础表'!I5:AS5)/'数据-基础表'!A3,2)</f>
        <v>0.54</v>
      </c>
      <c r="J4" s="2437"/>
      <c r="K4" s="2437"/>
      <c r="L4" s="2437"/>
      <c r="M4" s="2437"/>
      <c r="N4" s="2438"/>
      <c r="O4" s="2437"/>
      <c r="P4" s="2437"/>
    </row>
    <row r="5" spans="1:16">
      <c r="A5" s="42" t="s">
        <v>1093</v>
      </c>
      <c r="B5" s="3296" t="s">
        <v>1094</v>
      </c>
      <c r="C5" s="3296"/>
      <c r="D5" s="43">
        <f>ROUND($D$3*E5/$E$3,2)</f>
        <v>0</v>
      </c>
      <c r="E5" s="44">
        <f>SUMIF('数据-基础表'!$11:$11,"住宅",'数据-基础表'!$5:$5)</f>
        <v>0</v>
      </c>
      <c r="F5" s="2437"/>
      <c r="G5" s="42"/>
      <c r="H5" s="43" t="s">
        <v>1090</v>
      </c>
      <c r="I5" s="802">
        <f>ROUND(E31/D31,2)</f>
        <v>0.56000000000000005</v>
      </c>
      <c r="J5" s="2437"/>
      <c r="K5" s="2437"/>
      <c r="L5" s="2437"/>
      <c r="M5" s="2437"/>
      <c r="N5" s="2437"/>
      <c r="O5" s="2437"/>
      <c r="P5" s="2437"/>
    </row>
    <row r="6" spans="1:16" ht="15" thickBot="1">
      <c r="A6" s="1527"/>
      <c r="B6" s="3296" t="s">
        <v>1095</v>
      </c>
      <c r="C6" s="3296"/>
      <c r="D6" s="43">
        <f>ROUND($D$3*E6/$E$3,2)</f>
        <v>120628.8</v>
      </c>
      <c r="E6" s="44">
        <f>E3-E5</f>
        <v>66988.94</v>
      </c>
      <c r="F6" s="2437"/>
      <c r="G6" s="1529" t="s">
        <v>1096</v>
      </c>
      <c r="H6" s="45" t="s">
        <v>1097</v>
      </c>
      <c r="I6" s="2433">
        <f>ROUND(F31/D31,2)</f>
        <v>0.54</v>
      </c>
      <c r="J6" s="2437"/>
      <c r="K6" s="2437"/>
      <c r="L6" s="2437"/>
      <c r="M6" s="2437"/>
      <c r="N6" s="2437"/>
      <c r="O6" s="2437"/>
      <c r="P6" s="2437"/>
    </row>
    <row r="7" spans="1:16" ht="15.75" thickBot="1">
      <c r="A7" s="3288"/>
      <c r="B7" s="3289"/>
      <c r="C7" s="3290"/>
      <c r="D7" s="1524" t="s">
        <v>1091</v>
      </c>
      <c r="E7" s="1528" t="s">
        <v>1098</v>
      </c>
      <c r="F7" s="2437"/>
      <c r="G7" s="2434" t="s">
        <v>1099</v>
      </c>
      <c r="H7" s="95"/>
      <c r="I7" s="2435">
        <v>1</v>
      </c>
      <c r="J7" s="2437"/>
      <c r="K7" s="2437"/>
      <c r="L7" s="2437"/>
      <c r="M7" s="2437"/>
      <c r="N7" s="2437"/>
      <c r="O7" s="2437"/>
      <c r="P7" s="2437"/>
    </row>
    <row r="8" spans="1:16">
      <c r="A8" s="42" t="s">
        <v>1100</v>
      </c>
      <c r="B8" s="45" t="s">
        <v>1101</v>
      </c>
      <c r="C8" s="43" t="s">
        <v>1102</v>
      </c>
      <c r="D8" s="43">
        <f t="shared" ref="D8:D15" si="0">ROUND($D$3*E8/$E$3,2)</f>
        <v>118177.34</v>
      </c>
      <c r="E8" s="46">
        <f>SUMIF('数据-基础表'!BB10:BK10,"地上",'数据-基础表'!BB5:BK5)</f>
        <v>65627.570000000007</v>
      </c>
      <c r="F8" s="2437"/>
      <c r="G8" s="2437"/>
      <c r="H8" s="2437"/>
      <c r="I8" s="2437"/>
      <c r="J8" s="2437"/>
      <c r="K8" s="2437"/>
      <c r="L8" s="2437"/>
      <c r="M8" s="2437"/>
      <c r="N8" s="2437"/>
      <c r="O8" s="2437"/>
      <c r="P8" s="2437"/>
    </row>
    <row r="9" spans="1:16">
      <c r="A9" s="1529"/>
      <c r="B9" s="1530"/>
      <c r="C9" s="43" t="s">
        <v>1103</v>
      </c>
      <c r="D9" s="43">
        <f t="shared" si="0"/>
        <v>0</v>
      </c>
      <c r="E9" s="47">
        <v>0</v>
      </c>
      <c r="F9" s="2437"/>
      <c r="G9" s="2437"/>
      <c r="H9" s="2437"/>
      <c r="I9" s="2437"/>
      <c r="J9" s="2437"/>
      <c r="K9" s="2437"/>
      <c r="L9" s="2437"/>
      <c r="M9" s="2437"/>
      <c r="N9" s="2437"/>
      <c r="O9" s="2437"/>
      <c r="P9" s="2437"/>
    </row>
    <row r="10" spans="1:16">
      <c r="A10" s="1529"/>
      <c r="B10" s="1530"/>
      <c r="C10" s="43" t="s">
        <v>1112</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9"/>
      <c r="B11" s="1530"/>
      <c r="C11" s="43" t="s">
        <v>1104</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9"/>
      <c r="B12" s="1530"/>
      <c r="C12" s="43" t="s">
        <v>1105</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9"/>
      <c r="B13" s="1530"/>
      <c r="C13" s="43" t="s">
        <v>1106</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9"/>
      <c r="B14" s="1530"/>
      <c r="C14" s="43" t="s">
        <v>1118</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9"/>
      <c r="B15" s="1530"/>
      <c r="C15" s="43" t="s">
        <v>1113</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7"/>
      <c r="B16" s="1530"/>
      <c r="C16" s="45" t="s">
        <v>1107</v>
      </c>
      <c r="D16" s="45">
        <f>SUM(D8:D15)</f>
        <v>118177.34</v>
      </c>
      <c r="E16" s="48">
        <f>SUM(E8:E15)</f>
        <v>65627.570000000007</v>
      </c>
      <c r="F16" s="2437"/>
      <c r="G16" s="2437"/>
      <c r="H16" s="1531" t="s">
        <v>1119</v>
      </c>
      <c r="I16" s="1532"/>
      <c r="J16" s="1071"/>
      <c r="K16" s="3285" t="s">
        <v>1119</v>
      </c>
      <c r="L16" s="3286"/>
      <c r="M16" s="3286"/>
      <c r="N16" s="3286"/>
      <c r="O16" s="3286"/>
      <c r="P16" s="3287"/>
    </row>
    <row r="17" spans="1:19" ht="15">
      <c r="A17" s="1533" t="s">
        <v>1120</v>
      </c>
      <c r="B17" s="1534" t="s">
        <v>1121</v>
      </c>
      <c r="C17" s="1535" t="s">
        <v>1122</v>
      </c>
      <c r="D17" s="1536" t="s">
        <v>1110</v>
      </c>
      <c r="E17" s="1537" t="s">
        <v>1111</v>
      </c>
      <c r="F17" s="1538"/>
      <c r="G17" s="1539"/>
      <c r="H17" s="1540" t="s">
        <v>1123</v>
      </c>
      <c r="I17" s="1541" t="s">
        <v>1108</v>
      </c>
      <c r="J17" s="1071"/>
      <c r="K17" s="3282" t="s">
        <v>1124</v>
      </c>
      <c r="L17" s="3283"/>
      <c r="M17" s="3284"/>
      <c r="N17" s="3282" t="s">
        <v>1125</v>
      </c>
      <c r="O17" s="3283"/>
      <c r="P17" s="3284"/>
      <c r="R17" s="769" t="s">
        <v>1126</v>
      </c>
      <c r="S17" s="54"/>
    </row>
    <row r="18" spans="1:19" ht="15">
      <c r="A18" s="1529"/>
      <c r="B18" s="1526"/>
      <c r="C18" s="1542"/>
      <c r="D18" s="1543"/>
      <c r="E18" s="1544" t="s">
        <v>1127</v>
      </c>
      <c r="F18" s="1545" t="s">
        <v>1128</v>
      </c>
      <c r="G18" s="1546" t="s">
        <v>1129</v>
      </c>
      <c r="H18" s="980" t="s">
        <v>1130</v>
      </c>
      <c r="I18" s="1547" t="s">
        <v>1131</v>
      </c>
      <c r="J18" s="1071"/>
      <c r="K18" s="980" t="s">
        <v>1132</v>
      </c>
      <c r="L18" s="1548" t="s">
        <v>1133</v>
      </c>
      <c r="M18" s="802" t="s">
        <v>1134</v>
      </c>
      <c r="N18" s="980" t="s">
        <v>1132</v>
      </c>
      <c r="O18" s="1548" t="s">
        <v>1133</v>
      </c>
      <c r="P18" s="802" t="s">
        <v>1134</v>
      </c>
      <c r="R18" s="43" t="s">
        <v>1135</v>
      </c>
      <c r="S18" s="43" t="s">
        <v>1136</v>
      </c>
    </row>
    <row r="19" spans="1:19">
      <c r="A19" s="1549"/>
      <c r="B19" s="45" t="s">
        <v>1109</v>
      </c>
      <c r="C19" s="3114" t="s">
        <v>3386</v>
      </c>
      <c r="D19" s="43">
        <f>ROUND($D$3*E19/$E$3,2)</f>
        <v>120628.8</v>
      </c>
      <c r="E19" s="51">
        <f t="shared" ref="E19:E26" si="1">SUM(F19:G19)</f>
        <v>66988.94</v>
      </c>
      <c r="F19" s="2556">
        <f>'数据-基础表'!I5</f>
        <v>65627.570000000007</v>
      </c>
      <c r="G19" s="1243">
        <f>'数据-基础表'!K13</f>
        <v>1361.37</v>
      </c>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120628.8</v>
      </c>
      <c r="S19" s="51">
        <f t="shared" si="5"/>
        <v>66988.94</v>
      </c>
    </row>
    <row r="20" spans="1:19">
      <c r="A20" s="1549"/>
      <c r="B20" s="45" t="s">
        <v>1137</v>
      </c>
      <c r="C20" s="3114"/>
      <c r="D20" s="43">
        <f t="shared" ref="D20:D26" si="6">ROUND($D$3*E20/$E$3,2)</f>
        <v>0</v>
      </c>
      <c r="E20" s="51">
        <f t="shared" si="1"/>
        <v>0</v>
      </c>
      <c r="F20" s="2556"/>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1137</v>
      </c>
      <c r="C21" s="3114"/>
      <c r="D21" s="43">
        <f t="shared" si="6"/>
        <v>0</v>
      </c>
      <c r="E21" s="51">
        <f t="shared" si="1"/>
        <v>0</v>
      </c>
      <c r="F21" s="2556"/>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1137</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1137</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1137</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1137</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1137</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1138</v>
      </c>
      <c r="D27" s="1072">
        <f>SUM(D19:D26)</f>
        <v>120628.8</v>
      </c>
      <c r="E27" s="1073">
        <f>IF(SUM(E19:E26)='数据-基础表'!BA5,SUM(E19:E26),IF(F27="地上面积有误","面积有误","地下面积有误"))</f>
        <v>66988.94</v>
      </c>
      <c r="F27" s="1072">
        <f>IF(SUM(F19:F26)=E8,SUM(F19:F26),"地上面积有误")</f>
        <v>65627.570000000007</v>
      </c>
      <c r="G27" s="1074">
        <f>SUM(G19:G26)</f>
        <v>1361.37</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120628.8</v>
      </c>
      <c r="S27" s="43">
        <f>IF(SUM(S19:S26)=$E$3,SUM(S19:S26),SUM(S19:S26)&amp;"误差"&amp;ROUND(SUM(S19:S26)-E3,2))</f>
        <v>66988.94</v>
      </c>
    </row>
    <row r="28" spans="1:19">
      <c r="A28" s="1549"/>
      <c r="B28" s="45" t="s">
        <v>1139</v>
      </c>
      <c r="C28" s="54" t="s">
        <v>1140</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9"/>
      <c r="B29" s="45" t="s">
        <v>1139</v>
      </c>
      <c r="C29" s="1555" t="s">
        <v>1141</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9"/>
      <c r="B30" s="45"/>
      <c r="C30" s="1556" t="s">
        <v>1138</v>
      </c>
      <c r="D30" s="1072">
        <f>SUM(D28:D29)</f>
        <v>0</v>
      </c>
      <c r="E30" s="1072">
        <f>SUM(E28:E29)</f>
        <v>0</v>
      </c>
      <c r="F30" s="1072">
        <f>SUM(F28:F29)</f>
        <v>0</v>
      </c>
      <c r="G30" s="1074">
        <f>SUM(G28:G29)</f>
        <v>0</v>
      </c>
      <c r="H30" s="2437"/>
      <c r="I30" s="2437"/>
      <c r="J30" s="2437"/>
      <c r="K30" s="2437"/>
      <c r="L30" s="2437"/>
      <c r="M30" s="2437"/>
      <c r="N30" s="2437"/>
      <c r="O30" s="2437"/>
      <c r="P30" s="2437"/>
    </row>
    <row r="31" spans="1:19" ht="15.75" thickBot="1">
      <c r="A31" s="1557"/>
      <c r="B31" s="96"/>
      <c r="C31" s="785" t="s">
        <v>1142</v>
      </c>
      <c r="D31" s="643">
        <f>D27+D30</f>
        <v>120628.8</v>
      </c>
      <c r="E31" s="643">
        <f>E27+E30</f>
        <v>66988.94</v>
      </c>
      <c r="F31" s="644">
        <f>F27+F30</f>
        <v>65627.570000000007</v>
      </c>
      <c r="G31" s="645">
        <f>G27+G30</f>
        <v>1361.37</v>
      </c>
      <c r="H31" s="2437"/>
      <c r="I31" s="2437"/>
      <c r="J31" s="2437"/>
      <c r="K31" s="2437"/>
      <c r="L31" s="2437"/>
      <c r="M31" s="2437"/>
      <c r="N31" s="2437"/>
      <c r="O31" s="2437"/>
      <c r="P31" s="2437"/>
    </row>
    <row r="32" spans="1:19">
      <c r="A32" s="1526"/>
      <c r="B32" s="1526" t="s">
        <v>1143</v>
      </c>
      <c r="C32" s="1526"/>
      <c r="D32" s="1526"/>
      <c r="E32" s="990">
        <f>SUMIF(C19:C26,"*住宅*",E19:E26)</f>
        <v>0</v>
      </c>
      <c r="F32" s="1526"/>
      <c r="G32" s="1526"/>
      <c r="H32" s="2437"/>
      <c r="I32" s="2437"/>
      <c r="J32" s="2437"/>
      <c r="K32" s="2437"/>
      <c r="L32" s="2437"/>
      <c r="M32" s="2437"/>
      <c r="N32" s="2437"/>
      <c r="O32" s="2437"/>
      <c r="P32" s="2437"/>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K6" activePane="bottomRight" state="frozen"/>
      <selection activeCell="C50" sqref="C50"/>
      <selection pane="topRight" activeCell="C50" sqref="C50"/>
      <selection pane="bottomLeft" activeCell="C50" sqref="C50"/>
      <selection pane="bottomRight" activeCell="N6" sqref="N6"/>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1144</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75" thickBot="1">
      <c r="A2" s="1562" t="s">
        <v>1145</v>
      </c>
      <c r="B2" s="984">
        <f>项目基本情况!D3</f>
        <v>45677</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7"/>
      <c r="AO2" s="2437"/>
      <c r="AP2" s="2437"/>
      <c r="AQ2" s="2437"/>
      <c r="AR2" s="2437"/>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7"/>
      <c r="AO3" s="2437"/>
      <c r="AP3" s="2437"/>
      <c r="AQ3" s="2437"/>
      <c r="AR3" s="2437"/>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1146</v>
      </c>
      <c r="B4" s="1564"/>
      <c r="C4" s="1565"/>
      <c r="D4" s="1566"/>
      <c r="E4" s="1565" t="s">
        <v>1147</v>
      </c>
      <c r="F4" s="1565"/>
      <c r="G4" s="1565"/>
      <c r="H4" s="1565"/>
      <c r="I4" s="1565"/>
      <c r="J4" s="1567"/>
      <c r="K4" s="1568"/>
      <c r="L4" s="1569"/>
      <c r="M4" s="1565"/>
      <c r="N4" s="1565" t="s">
        <v>1148</v>
      </c>
      <c r="O4" s="1565"/>
      <c r="P4" s="1565"/>
      <c r="Q4" s="1565"/>
      <c r="R4" s="1565"/>
      <c r="S4" s="1567"/>
      <c r="T4" s="2436" t="str">
        <f>'数据-汇总表'!I17</f>
        <v>按面积比例</v>
      </c>
      <c r="U4" s="1564" t="s">
        <v>1149</v>
      </c>
      <c r="V4" s="1565"/>
      <c r="W4" s="1565"/>
      <c r="X4" s="1565"/>
      <c r="Y4" s="1567"/>
      <c r="Z4" s="1535" t="s">
        <v>1150</v>
      </c>
      <c r="AA4" s="1535"/>
      <c r="AB4" s="1535"/>
      <c r="AC4" s="1535"/>
      <c r="AD4" s="1535"/>
      <c r="AE4" s="1533" t="s">
        <v>1151</v>
      </c>
      <c r="AF4" s="1535"/>
      <c r="AG4" s="1570"/>
      <c r="AH4" s="1564"/>
      <c r="AI4" s="1565"/>
      <c r="AJ4" s="1565"/>
      <c r="AK4" s="1565"/>
      <c r="AL4" s="1565"/>
      <c r="AM4" s="1567"/>
      <c r="AN4" s="2437"/>
      <c r="AO4" s="2437"/>
      <c r="AP4" s="2437"/>
      <c r="AQ4" s="2437"/>
      <c r="AR4" s="2437"/>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1152</v>
      </c>
      <c r="B5" s="1572" t="s">
        <v>1153</v>
      </c>
      <c r="C5" s="1573" t="s">
        <v>1154</v>
      </c>
      <c r="D5" s="1574" t="s">
        <v>1155</v>
      </c>
      <c r="E5" s="504" t="s">
        <v>1156</v>
      </c>
      <c r="F5" s="1575" t="s">
        <v>1157</v>
      </c>
      <c r="G5" s="504" t="s">
        <v>1158</v>
      </c>
      <c r="H5" s="504" t="s">
        <v>1159</v>
      </c>
      <c r="I5" s="504" t="s">
        <v>1160</v>
      </c>
      <c r="J5" s="1247" t="s">
        <v>1161</v>
      </c>
      <c r="K5" s="1576" t="s">
        <v>1162</v>
      </c>
      <c r="L5" s="1577" t="s">
        <v>1163</v>
      </c>
      <c r="M5" s="1578" t="s">
        <v>1164</v>
      </c>
      <c r="N5" s="1579" t="s">
        <v>3387</v>
      </c>
      <c r="O5" s="1577" t="s">
        <v>1165</v>
      </c>
      <c r="P5" s="1580" t="s">
        <v>1166</v>
      </c>
      <c r="Q5" s="58" t="s">
        <v>1167</v>
      </c>
      <c r="R5" s="1581" t="s">
        <v>1168</v>
      </c>
      <c r="S5" s="1582" t="s">
        <v>1169</v>
      </c>
      <c r="T5" s="1583" t="s">
        <v>1170</v>
      </c>
      <c r="U5" s="985" t="s">
        <v>1171</v>
      </c>
      <c r="V5" s="504" t="s">
        <v>1172</v>
      </c>
      <c r="W5" s="504" t="s">
        <v>1173</v>
      </c>
      <c r="X5" s="60"/>
      <c r="Y5" s="59" t="s">
        <v>1174</v>
      </c>
      <c r="Z5" s="1101" t="s">
        <v>1171</v>
      </c>
      <c r="AA5" s="504" t="s">
        <v>1172</v>
      </c>
      <c r="AB5" s="504" t="s">
        <v>1173</v>
      </c>
      <c r="AC5" s="60"/>
      <c r="AD5" s="60" t="s">
        <v>1174</v>
      </c>
      <c r="AE5" s="985" t="s">
        <v>1175</v>
      </c>
      <c r="AF5" s="504" t="s">
        <v>1176</v>
      </c>
      <c r="AG5" s="59" t="s">
        <v>1177</v>
      </c>
      <c r="AH5" s="985" t="s">
        <v>1178</v>
      </c>
      <c r="AI5" s="1101" t="s">
        <v>1179</v>
      </c>
      <c r="AJ5" s="1101" t="s">
        <v>1180</v>
      </c>
      <c r="AK5" s="504" t="s">
        <v>1181</v>
      </c>
      <c r="AL5" s="504" t="s">
        <v>1182</v>
      </c>
      <c r="AM5" s="59" t="s">
        <v>1183</v>
      </c>
      <c r="AN5" s="1584" t="s">
        <v>1184</v>
      </c>
      <c r="AO5" s="1454" t="s">
        <v>1185</v>
      </c>
      <c r="AP5" s="968" t="s">
        <v>1186</v>
      </c>
      <c r="AQ5" s="1585" t="s">
        <v>1187</v>
      </c>
      <c r="AR5" s="1585" t="s">
        <v>1188</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工业</v>
      </c>
      <c r="B6" s="1587" t="str">
        <f>IF(A6=0,"","经营性")</f>
        <v>经营性</v>
      </c>
      <c r="C6" s="1588" t="s">
        <v>3</v>
      </c>
      <c r="D6" s="805">
        <f>SUMIF(项目基本情况!C$12:I$12,C6,项目基本情况!C$14:I$14)</f>
        <v>50</v>
      </c>
      <c r="E6" s="804">
        <f>IF(B6="","",SUMIF(项目基本情况!C$12:I$12,C6,项目基本情况!C$13:I$13))</f>
        <v>56071</v>
      </c>
      <c r="F6" s="61">
        <f>SUMIF(项目基本情况!C$12:I$12,C6,项目基本情况!C$15:I$15)</f>
        <v>28.47</v>
      </c>
      <c r="G6" s="62">
        <f>IF(ISERROR(ROUND(POWER(1+H6,D6-F6)*(POWER(1+H6,F6)-1)/(POWER(1+H6,D6)-1),3)),0,ROUND(POWER(1+H6,D6-F6)*(POWER(1+H6,F6)-1)/(POWER(1+H6,D6)-1),3))</f>
        <v>0.80300000000000005</v>
      </c>
      <c r="H6" s="691">
        <v>4.4999999999999998E-2</v>
      </c>
      <c r="I6" s="3549">
        <v>0.05</v>
      </c>
      <c r="J6" s="63">
        <v>7.4999999999999997E-2</v>
      </c>
      <c r="K6" s="970">
        <f>SUMIF('数据-汇总表'!C$19:C$33,A6,'数据-汇总表'!E$19:E$33)</f>
        <v>66988.94</v>
      </c>
      <c r="L6" s="692">
        <v>2700</v>
      </c>
      <c r="M6" s="64">
        <f t="shared" ref="M6:M14" si="0">ROUND(K6*L6/10000,0)</f>
        <v>18087</v>
      </c>
      <c r="N6" s="690">
        <f>面积!R19</f>
        <v>0.69</v>
      </c>
      <c r="O6" s="64" t="str">
        <f>IF($N$5="成新度","——",ROUND(M6*N6,0))</f>
        <v>——</v>
      </c>
      <c r="P6" s="65" t="str">
        <f>IF($N$5="成新度","——",M6-O6)</f>
        <v>——</v>
      </c>
      <c r="Q6" s="693">
        <v>0.1</v>
      </c>
      <c r="R6" s="66">
        <f ca="1">SUMIF('数据-汇总表'!C$19:C$33,A6,'数据-汇总表'!R$19:R$27)</f>
        <v>120628.8</v>
      </c>
      <c r="S6" s="49">
        <f>IF('数据-汇总表'!$I$17="按面积比例",SUMIF('数据-汇总表'!C$19:C$33,A6,'数据-汇总表'!K$19:K$33),SUMIF('数据-汇总表'!C$19:C$33,A6,'数据-汇总表'!N$19:N$33))</f>
        <v>0</v>
      </c>
      <c r="T6" s="1092">
        <f>ROUND($L$14*S6/10000,0)</f>
        <v>0</v>
      </c>
      <c r="U6" s="3125">
        <f>'比较法-工业'!C43</f>
        <v>1.2</v>
      </c>
      <c r="V6" s="67">
        <v>1.4999999999999999E-2</v>
      </c>
      <c r="W6" s="67">
        <v>0.1</v>
      </c>
      <c r="X6" s="979"/>
      <c r="Y6" s="68">
        <f>N6</f>
        <v>0.69</v>
      </c>
      <c r="Z6" s="69"/>
      <c r="AA6" s="63"/>
      <c r="AB6" s="63"/>
      <c r="AC6" s="979"/>
      <c r="AD6" s="70"/>
      <c r="AE6" s="980">
        <f ca="1">IF(AN6="",0,SUMIF(INDIRECT("'"&amp;AN6&amp;"'"&amp;"!E:E"),$AE$5,INDIRECT("'"&amp;AN6&amp;"'"&amp;"!F:F")))</f>
        <v>28.47</v>
      </c>
      <c r="AF6" s="74"/>
      <c r="AG6" s="130">
        <f>IF(AF6="",0,AE6-AF6)</f>
        <v>0</v>
      </c>
      <c r="AH6" s="71"/>
      <c r="AI6" s="73">
        <v>365</v>
      </c>
      <c r="AJ6" s="74"/>
      <c r="AK6" s="75">
        <v>2E-3</v>
      </c>
      <c r="AL6" s="76">
        <v>1E-3</v>
      </c>
      <c r="AM6" s="77">
        <v>0.01</v>
      </c>
      <c r="AN6" s="1589" t="s">
        <v>3388</v>
      </c>
      <c r="AO6" s="50">
        <f ca="1">SUMIF(INDIRECT("'"&amp;AN6&amp;"'"&amp;"!A:A"),"总价",INDIRECT("'"&amp;AN6&amp;"'"&amp;"!B:B"))</f>
        <v>38122</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hidden="1">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hidden="1">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hidden="1">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hidden="1">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hidden="1">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hidden="1">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hidden="1">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hidden="1">
      <c r="A14" s="1591" t="s">
        <v>1189</v>
      </c>
      <c r="B14" s="1587" t="s">
        <v>1190</v>
      </c>
      <c r="C14" s="1592" t="s">
        <v>1189</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7"/>
      <c r="AP14" s="2437"/>
      <c r="AQ14" s="2437"/>
      <c r="AR14" s="2437"/>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1191</v>
      </c>
      <c r="B15" s="1587" t="s">
        <v>1190</v>
      </c>
      <c r="C15" s="1592" t="s">
        <v>1192</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7"/>
      <c r="AP15" s="2437"/>
      <c r="AQ15" s="2437"/>
      <c r="AR15" s="2437"/>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1193</v>
      </c>
      <c r="B16" s="82"/>
      <c r="C16" s="783"/>
      <c r="D16" s="1594"/>
      <c r="E16" s="82"/>
      <c r="F16" s="82"/>
      <c r="G16" s="83">
        <f>ROUND(SUMPRODUCT(G6:G13,K6:K13)/SUMPRODUCT((G6:G13&gt;0)*(K6:K13)),3)</f>
        <v>0.80300000000000005</v>
      </c>
      <c r="H16" s="84">
        <f>ROUND(SUMPRODUCT(H6:H13,K6:K13)/SUMPRODUCT((H6:H13&gt;0)*(K6:K13)),3)</f>
        <v>4.4999999999999998E-2</v>
      </c>
      <c r="I16" s="85"/>
      <c r="J16" s="85"/>
      <c r="K16" s="86">
        <f>SUM(K6:K15)</f>
        <v>66988.94</v>
      </c>
      <c r="L16" s="87">
        <f>ROUND(M16*10000/SUM(K6:K14),0)</f>
        <v>2700</v>
      </c>
      <c r="M16" s="87">
        <f>SUM(M6:M14)</f>
        <v>18087</v>
      </c>
      <c r="N16" s="88">
        <f>ROUND(SUMPRODUCT(M6:M14,N6:N14)/M16,3)</f>
        <v>0.69</v>
      </c>
      <c r="O16" s="87">
        <f>SUM(O6:O14)</f>
        <v>0</v>
      </c>
      <c r="P16" s="87">
        <f>SUM(P6:P14)</f>
        <v>0</v>
      </c>
      <c r="Q16" s="89">
        <f>ROUND(SUMPRODUCT(Q6:Q13,K6:K13)/SUMPRODUCT((Q6:Q13&gt;0)*(K6:K13)),2)</f>
        <v>0.1</v>
      </c>
      <c r="R16" s="974">
        <f ca="1">SUM(R6:R13)</f>
        <v>120628.8</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1194</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6" t="s">
        <v>1195</v>
      </c>
      <c r="B19" s="97">
        <v>0</v>
      </c>
      <c r="C19" s="2559" t="s">
        <v>2277</v>
      </c>
      <c r="D19" s="2450"/>
      <c r="E19" s="2437"/>
      <c r="F19" s="2437"/>
      <c r="G19" s="2437"/>
      <c r="H19" s="2437"/>
      <c r="I19" s="2437"/>
      <c r="J19" s="2437"/>
      <c r="K19" s="2448"/>
      <c r="L19" s="2448"/>
      <c r="M19" s="2447"/>
      <c r="N19" s="2447"/>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7" t="s">
        <v>1196</v>
      </c>
      <c r="B20" s="98">
        <v>2</v>
      </c>
      <c r="C20" s="2560" t="s">
        <v>2275</v>
      </c>
      <c r="D20" s="2450"/>
      <c r="E20" s="2437"/>
      <c r="F20" s="2437"/>
      <c r="G20" s="2437"/>
      <c r="H20" s="2437"/>
      <c r="I20" s="2437"/>
      <c r="J20" s="2437"/>
      <c r="K20" s="2448"/>
      <c r="L20" s="2448"/>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8" t="s">
        <v>1197</v>
      </c>
      <c r="B21" s="98">
        <v>2</v>
      </c>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7" t="s">
        <v>1198</v>
      </c>
      <c r="B22" s="99">
        <f>B19+B20</f>
        <v>2</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8" t="s">
        <v>1199</v>
      </c>
      <c r="B23" s="99">
        <f>B19+B21</f>
        <v>2</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1200</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9"/>
      <c r="B25" s="1542"/>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2" t="s">
        <v>1201</v>
      </c>
      <c r="B26" s="1600" t="s">
        <v>1202</v>
      </c>
      <c r="C26" s="2451" t="s">
        <v>1203</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601" t="s">
        <v>1204</v>
      </c>
      <c r="B27" s="101">
        <v>160</v>
      </c>
      <c r="C27" s="2561" t="s">
        <v>2279</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2" t="s">
        <v>1205</v>
      </c>
      <c r="B28" s="103">
        <v>200</v>
      </c>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3" t="s">
        <v>1206</v>
      </c>
      <c r="B29" s="105">
        <f ca="1">成本法!C10</f>
        <v>1340</v>
      </c>
      <c r="C29" s="2562" t="s">
        <v>2269</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4" t="s">
        <v>1207</v>
      </c>
      <c r="B30" s="638">
        <v>200</v>
      </c>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2" t="s">
        <v>1208</v>
      </c>
      <c r="B31" s="104">
        <f>B30-B32</f>
        <v>200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5" t="s">
        <v>1209</v>
      </c>
      <c r="B32" s="639">
        <v>0</v>
      </c>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601" t="s">
        <v>1210</v>
      </c>
      <c r="B33" s="640">
        <v>0.05</v>
      </c>
      <c r="C33" s="2563" t="s">
        <v>3361</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2" t="s">
        <v>1211</v>
      </c>
      <c r="B34" s="106">
        <v>0</v>
      </c>
      <c r="C34" s="2563" t="s">
        <v>2270</v>
      </c>
      <c r="D34" s="2458" t="s">
        <v>2276</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2" t="s">
        <v>1212</v>
      </c>
      <c r="B35" s="103">
        <v>200</v>
      </c>
      <c r="C35" s="2563" t="s">
        <v>2271</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1213</v>
      </c>
      <c r="B36" s="107">
        <v>0.02</v>
      </c>
      <c r="C36" s="2563" t="s">
        <v>3379</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4" t="s">
        <v>1214</v>
      </c>
      <c r="B37" s="108">
        <v>0.02</v>
      </c>
      <c r="C37" s="2563" t="s">
        <v>3362</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2" t="s">
        <v>1215</v>
      </c>
      <c r="B38" s="106">
        <v>0.02</v>
      </c>
      <c r="C38" s="2563" t="s">
        <v>3363</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5" t="s">
        <v>1216</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2285</v>
      </c>
      <c r="B40" s="1015">
        <f ca="1">IF(A40="利息：取LPR",存贷款利率!G1,存贷款利率!G1+C40)</f>
        <v>3.1E-2</v>
      </c>
      <c r="C40" s="2571">
        <v>5.0000000000000001E-3</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601" t="s">
        <v>1217</v>
      </c>
      <c r="B41" s="109">
        <f>B42+B43</f>
        <v>5.5000000000000007E-2</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6" t="s">
        <v>1218</v>
      </c>
      <c r="B42" s="110">
        <v>0.05</v>
      </c>
      <c r="C42" s="2457">
        <f>IF(B2&lt;DATE(2016,5,1),0,B42)</f>
        <v>0.05</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6" t="s">
        <v>1219</v>
      </c>
      <c r="B43" s="111">
        <f>B42*(B44+B45+B46)+B47</f>
        <v>5.000000000000001E-3</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7" t="s">
        <v>1220</v>
      </c>
      <c r="B44" s="112">
        <v>0.05</v>
      </c>
      <c r="C44" s="2563" t="s">
        <v>3364</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7" t="s">
        <v>1221</v>
      </c>
      <c r="B45" s="110">
        <v>0.03</v>
      </c>
      <c r="C45" s="2562" t="s">
        <v>2272</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7" t="s">
        <v>1222</v>
      </c>
      <c r="B46" s="110">
        <v>0.02</v>
      </c>
      <c r="C46" s="2562" t="s">
        <v>2273</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1223</v>
      </c>
      <c r="B47" s="113"/>
      <c r="C47" s="2565" t="s">
        <v>2280</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9" t="s">
        <v>1224</v>
      </c>
      <c r="B48" s="114">
        <v>0.03</v>
      </c>
      <c r="C48" s="2562" t="s">
        <v>2272</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1225</v>
      </c>
      <c r="B49" s="110">
        <v>5.0000000000000001E-4</v>
      </c>
      <c r="C49" s="2562" t="s">
        <v>2274</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10" t="s">
        <v>1226</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1227</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10" t="s">
        <v>1228</v>
      </c>
      <c r="B52" s="117">
        <f>SUMIF(A54:A63,B53,B54:B63)</f>
        <v>1.5</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2" t="s">
        <v>1229</v>
      </c>
      <c r="B53" s="1611" t="s">
        <v>29</v>
      </c>
      <c r="C53" s="2438" t="s">
        <v>1230</v>
      </c>
      <c r="D53" s="2564" t="s">
        <v>2278</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2" t="s">
        <v>1231</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2" t="s">
        <v>1232</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2" t="s">
        <v>1233</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2" t="s">
        <v>1234</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2" t="s">
        <v>1235</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2" t="s">
        <v>1236</v>
      </c>
      <c r="B59" s="72">
        <v>1.5</v>
      </c>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2" t="s">
        <v>1237</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2" t="s">
        <v>1238</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2" t="s">
        <v>1239</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1240</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algorithmName="SHA-512" hashValue="g6z/jtvy+tiolAES8gNudiAgtz+cotVOkQhkFe32Lbntv2qPHlOnajFJFAuPxHLQTP/uQuV9jU8MAH/nI9HJ+w==" saltValue="kJk++ZaMLAcaK/tH9b9NJA==" spinCount="100000" sheet="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7" customWidth="1"/>
    <col min="9" max="9" width="16.75" style="2277" customWidth="1"/>
    <col min="10" max="10" width="2.625" style="2277" customWidth="1"/>
    <col min="11" max="11" width="11.875" style="2277" customWidth="1"/>
    <col min="12" max="12" width="16.75" style="2277" customWidth="1"/>
    <col min="13" max="13" width="2.625" style="2277" customWidth="1"/>
    <col min="14" max="14" width="11.875" style="2277" customWidth="1"/>
    <col min="15" max="15" width="16.75" style="2277" customWidth="1"/>
    <col min="16" max="16" width="2.625" style="2277" customWidth="1"/>
    <col min="17" max="17" width="11.875" style="2277" customWidth="1"/>
    <col min="18" max="18" width="16.75" style="751" customWidth="1"/>
    <col min="19" max="29" width="9" style="751"/>
    <col min="30" max="16384" width="9" style="1522"/>
  </cols>
  <sheetData>
    <row r="1" spans="1:29" s="2259" customFormat="1" ht="18.75" thickBot="1">
      <c r="A1" s="3297" t="s">
        <v>2261</v>
      </c>
      <c r="B1" s="3298"/>
      <c r="C1" s="3298"/>
      <c r="D1" s="3298"/>
      <c r="E1" s="3298"/>
      <c r="F1" s="3298"/>
      <c r="G1" s="3298"/>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2258</v>
      </c>
      <c r="D2" s="1595"/>
      <c r="E2" s="2260"/>
      <c r="F2" s="2263"/>
      <c r="G2" s="2262" t="s">
        <v>2259</v>
      </c>
      <c r="H2" s="751"/>
      <c r="I2" s="751"/>
      <c r="J2" s="751"/>
      <c r="K2" s="751"/>
      <c r="L2" s="751"/>
      <c r="M2" s="751"/>
      <c r="N2" s="751"/>
      <c r="O2" s="751"/>
      <c r="P2" s="751"/>
      <c r="Q2" s="751"/>
    </row>
    <row r="3" spans="1:29" ht="24">
      <c r="A3" s="2247" t="s">
        <v>2260</v>
      </c>
      <c r="B3" s="2264" t="s">
        <v>2236</v>
      </c>
      <c r="C3" s="2265"/>
      <c r="D3" s="2266"/>
      <c r="E3" s="2248" t="s">
        <v>2260</v>
      </c>
      <c r="F3" s="2267" t="s">
        <v>2237</v>
      </c>
      <c r="G3" s="2268"/>
      <c r="H3" s="751"/>
      <c r="I3" s="751"/>
      <c r="J3" s="751"/>
      <c r="K3" s="751"/>
      <c r="L3" s="751"/>
      <c r="M3" s="751"/>
      <c r="N3" s="751"/>
      <c r="O3" s="751"/>
      <c r="P3" s="751"/>
      <c r="Q3" s="751"/>
    </row>
    <row r="4" spans="1:29">
      <c r="A4" s="2248"/>
      <c r="B4" s="315" t="s">
        <v>2238</v>
      </c>
      <c r="C4" s="2269"/>
      <c r="D4" s="2266"/>
      <c r="E4" s="2270"/>
      <c r="F4" s="1281" t="s">
        <v>2239</v>
      </c>
      <c r="G4" s="2271"/>
      <c r="H4" s="751"/>
      <c r="I4" s="751"/>
      <c r="J4" s="751"/>
      <c r="K4" s="751"/>
      <c r="L4" s="751"/>
      <c r="M4" s="751"/>
      <c r="N4" s="751"/>
      <c r="O4" s="751"/>
      <c r="P4" s="751"/>
      <c r="Q4" s="751"/>
    </row>
    <row r="5" spans="1:29">
      <c r="A5" s="2248"/>
      <c r="B5" s="315" t="s">
        <v>2240</v>
      </c>
      <c r="C5" s="2269"/>
      <c r="D5" s="2266"/>
      <c r="E5" s="2270"/>
      <c r="F5" s="315" t="s">
        <v>2241</v>
      </c>
      <c r="G5" s="2271"/>
      <c r="H5" s="751"/>
      <c r="I5" s="751"/>
      <c r="J5" s="751"/>
      <c r="K5" s="751"/>
      <c r="L5" s="751"/>
      <c r="M5" s="751"/>
      <c r="N5" s="751"/>
      <c r="O5" s="751"/>
      <c r="P5" s="751"/>
      <c r="Q5" s="751"/>
    </row>
    <row r="6" spans="1:29">
      <c r="A6" s="2248"/>
      <c r="B6" s="315" t="s">
        <v>2242</v>
      </c>
      <c r="C6" s="2271"/>
      <c r="D6" s="2266"/>
      <c r="E6" s="2270"/>
      <c r="F6" s="315" t="s">
        <v>2243</v>
      </c>
      <c r="G6" s="2271"/>
      <c r="H6" s="751"/>
      <c r="I6" s="751"/>
      <c r="J6" s="751"/>
      <c r="K6" s="751"/>
      <c r="L6" s="751"/>
      <c r="M6" s="751"/>
      <c r="N6" s="751"/>
      <c r="O6" s="751"/>
      <c r="P6" s="751"/>
      <c r="Q6" s="751"/>
    </row>
    <row r="7" spans="1:29" ht="15" thickBot="1">
      <c r="A7" s="2248"/>
      <c r="B7" s="315" t="s">
        <v>2241</v>
      </c>
      <c r="C7" s="2271"/>
      <c r="D7" s="2245"/>
      <c r="E7" s="2272"/>
      <c r="F7" s="2273" t="s">
        <v>2244</v>
      </c>
      <c r="G7" s="2274"/>
      <c r="H7" s="751"/>
      <c r="I7" s="751"/>
      <c r="J7" s="751"/>
      <c r="K7" s="751"/>
      <c r="L7" s="751"/>
      <c r="M7" s="751"/>
      <c r="N7" s="751"/>
      <c r="O7" s="751"/>
      <c r="P7" s="751"/>
      <c r="Q7" s="751"/>
    </row>
    <row r="8" spans="1:29">
      <c r="A8" s="2248"/>
      <c r="B8" s="315" t="s">
        <v>2243</v>
      </c>
      <c r="C8" s="2271"/>
      <c r="D8" s="2245"/>
      <c r="E8" s="2245"/>
      <c r="F8" s="121"/>
      <c r="G8" s="121"/>
      <c r="H8" s="751"/>
      <c r="I8" s="751"/>
      <c r="J8" s="751"/>
      <c r="K8" s="751"/>
      <c r="L8" s="751"/>
      <c r="M8" s="751"/>
      <c r="N8" s="751"/>
      <c r="O8" s="751"/>
      <c r="P8" s="751"/>
      <c r="Q8" s="751"/>
    </row>
    <row r="9" spans="1:29">
      <c r="A9" s="2248"/>
      <c r="B9" s="315" t="s">
        <v>2245</v>
      </c>
      <c r="C9" s="2269"/>
      <c r="D9" s="2266"/>
      <c r="E9" s="2245"/>
      <c r="F9" s="121"/>
      <c r="G9" s="121"/>
      <c r="H9" s="751"/>
      <c r="I9" s="751"/>
      <c r="J9" s="751"/>
      <c r="K9" s="751"/>
      <c r="L9" s="751"/>
      <c r="M9" s="751"/>
      <c r="N9" s="751"/>
      <c r="O9" s="751"/>
      <c r="P9" s="751"/>
      <c r="Q9" s="751"/>
    </row>
    <row r="10" spans="1:29" ht="15" thickBot="1">
      <c r="A10" s="2249"/>
      <c r="B10" s="2275" t="s">
        <v>2246</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8">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75" thickBot="1">
      <c r="A13" s="2284" t="s">
        <v>2262</v>
      </c>
      <c r="B13" s="2280"/>
      <c r="C13" s="2280"/>
      <c r="D13" s="2279"/>
      <c r="E13" s="2280"/>
      <c r="F13" s="2280"/>
      <c r="G13" s="2280"/>
    </row>
    <row r="14" spans="1:29" ht="15" thickBot="1">
      <c r="A14" s="2285"/>
      <c r="B14" s="2285"/>
      <c r="C14" s="2286" t="s">
        <v>2247</v>
      </c>
      <c r="D14" s="2266"/>
      <c r="E14" s="2287"/>
      <c r="F14" s="2287"/>
      <c r="G14" s="2262" t="s">
        <v>2248</v>
      </c>
    </row>
    <row r="15" spans="1:29" ht="24">
      <c r="A15" s="2250" t="s">
        <v>2249</v>
      </c>
      <c r="B15" s="2288" t="s">
        <v>2236</v>
      </c>
      <c r="C15" s="2289">
        <f>C3</f>
        <v>0</v>
      </c>
      <c r="D15" s="2266"/>
      <c r="E15" s="2251" t="s">
        <v>2250</v>
      </c>
      <c r="F15" s="2288" t="s">
        <v>2251</v>
      </c>
      <c r="G15" s="2290">
        <f>G3</f>
        <v>0</v>
      </c>
    </row>
    <row r="16" spans="1:29">
      <c r="A16" s="2252"/>
      <c r="B16" s="2291" t="s">
        <v>2238</v>
      </c>
      <c r="C16" s="2292">
        <f>C4</f>
        <v>0</v>
      </c>
      <c r="D16" s="2266"/>
      <c r="E16" s="2253"/>
      <c r="F16" s="2293" t="s">
        <v>2239</v>
      </c>
      <c r="G16" s="2294">
        <f>G4</f>
        <v>0</v>
      </c>
    </row>
    <row r="17" spans="1:17">
      <c r="A17" s="2252"/>
      <c r="B17" s="2291" t="s">
        <v>2240</v>
      </c>
      <c r="C17" s="2292">
        <f>C5</f>
        <v>0</v>
      </c>
      <c r="D17" s="2245"/>
      <c r="E17" s="2253"/>
      <c r="F17" s="2293" t="s">
        <v>2252</v>
      </c>
      <c r="G17" s="2295"/>
    </row>
    <row r="18" spans="1:17">
      <c r="A18" s="2252"/>
      <c r="B18" s="2293" t="s">
        <v>2242</v>
      </c>
      <c r="C18" s="2294">
        <f>C6</f>
        <v>0</v>
      </c>
      <c r="D18" s="2245"/>
      <c r="E18" s="2253"/>
      <c r="F18" s="2293" t="s">
        <v>2244</v>
      </c>
      <c r="G18" s="2294">
        <f>G7</f>
        <v>0</v>
      </c>
    </row>
    <row r="19" spans="1:17">
      <c r="A19" s="2252"/>
      <c r="B19" s="2293" t="s">
        <v>2253</v>
      </c>
      <c r="C19" s="2295"/>
      <c r="D19" s="2266"/>
      <c r="E19" s="2253"/>
      <c r="F19" s="315" t="s">
        <v>2241</v>
      </c>
      <c r="G19" s="2294">
        <f>G5</f>
        <v>0</v>
      </c>
    </row>
    <row r="20" spans="1:17">
      <c r="A20" s="2252"/>
      <c r="B20" s="2293" t="s">
        <v>2254</v>
      </c>
      <c r="C20" s="2292">
        <f>C9</f>
        <v>0</v>
      </c>
      <c r="D20" s="2245"/>
      <c r="E20" s="2253"/>
      <c r="F20" s="315" t="s">
        <v>2243</v>
      </c>
      <c r="G20" s="2294">
        <f>G6</f>
        <v>0</v>
      </c>
    </row>
    <row r="21" spans="1:17">
      <c r="A21" s="2252"/>
      <c r="B21" s="315" t="s">
        <v>2241</v>
      </c>
      <c r="C21" s="2294">
        <f>C7</f>
        <v>0</v>
      </c>
      <c r="D21" s="2266"/>
      <c r="E21" s="2253"/>
      <c r="F21" s="2293" t="s">
        <v>2255</v>
      </c>
      <c r="G21" s="2296"/>
    </row>
    <row r="22" spans="1:17" ht="13.5" customHeight="1">
      <c r="A22" s="2252"/>
      <c r="B22" s="315" t="s">
        <v>2243</v>
      </c>
      <c r="C22" s="2294">
        <f>C8</f>
        <v>0</v>
      </c>
      <c r="D22" s="2266"/>
      <c r="E22" s="2253"/>
      <c r="F22" s="2293" t="s">
        <v>2246</v>
      </c>
      <c r="G22" s="2295"/>
    </row>
    <row r="23" spans="1:17" s="751" customFormat="1" ht="15" thickBot="1">
      <c r="A23" s="2252"/>
      <c r="B23" s="2293" t="s">
        <v>2255</v>
      </c>
      <c r="C23" s="2296"/>
      <c r="D23" s="1614"/>
      <c r="E23" s="2254"/>
      <c r="F23" s="2297" t="s">
        <v>2256</v>
      </c>
      <c r="G23" s="2298"/>
      <c r="H23" s="2277"/>
      <c r="I23" s="2277"/>
      <c r="J23" s="2277"/>
      <c r="K23" s="2277"/>
      <c r="L23" s="2277"/>
      <c r="M23" s="2277"/>
      <c r="N23" s="2277"/>
      <c r="O23" s="2277"/>
      <c r="P23" s="2277"/>
      <c r="Q23" s="2277"/>
    </row>
    <row r="24" spans="1:17" s="751" customFormat="1" ht="15" thickBot="1">
      <c r="A24" s="2255"/>
      <c r="B24" s="2297" t="s">
        <v>2257</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6"/>
  <sheetViews>
    <sheetView tabSelected="1" view="pageBreakPreview" zoomScale="80" zoomScaleNormal="80" zoomScaleSheetLayoutView="80" workbookViewId="0">
      <selection activeCell="M18" sqref="M18"/>
    </sheetView>
  </sheetViews>
  <sheetFormatPr defaultColWidth="9" defaultRowHeight="13.5"/>
  <cols>
    <col min="1" max="1" width="25" style="2301" customWidth="1"/>
    <col min="2" max="9" width="15.75" style="2301" customWidth="1"/>
    <col min="10" max="10" width="10" style="2301" bestFit="1" customWidth="1"/>
    <col min="11" max="16384" width="9" style="2301"/>
  </cols>
  <sheetData>
    <row r="1" spans="1:13" ht="16.5">
      <c r="A1" s="3189" t="s">
        <v>3470</v>
      </c>
      <c r="B1" s="3189">
        <f>SUM(B14:B23)</f>
        <v>157673.51</v>
      </c>
      <c r="C1" s="3193"/>
      <c r="D1" s="3193"/>
      <c r="E1" s="2460"/>
      <c r="F1" s="2460"/>
      <c r="G1" s="2461"/>
      <c r="H1" s="2461"/>
      <c r="I1" s="2461"/>
      <c r="J1" s="2461"/>
      <c r="K1" s="2461"/>
    </row>
    <row r="2" spans="1:13" ht="16.5">
      <c r="A2" s="3189" t="s">
        <v>3471</v>
      </c>
      <c r="B2" s="3189">
        <f>SUM(C14:C23)</f>
        <v>195643.5</v>
      </c>
      <c r="C2" s="3193"/>
      <c r="D2" s="3193"/>
      <c r="E2" s="2460"/>
      <c r="F2" s="2460"/>
      <c r="G2" s="2461"/>
      <c r="H2" s="2461"/>
      <c r="I2" s="2461"/>
      <c r="J2" s="2461"/>
      <c r="K2" s="2461"/>
    </row>
    <row r="3" spans="1:13" ht="16.5">
      <c r="A3" s="3189" t="s">
        <v>3482</v>
      </c>
      <c r="B3" s="3194">
        <f>项目基本情况!D3</f>
        <v>45677</v>
      </c>
      <c r="C3" s="3193"/>
      <c r="D3" s="3193"/>
      <c r="E3" s="2460"/>
      <c r="F3" s="2460"/>
      <c r="G3" s="2461"/>
      <c r="H3" s="2461"/>
      <c r="I3" s="2461"/>
      <c r="J3" s="3155"/>
      <c r="K3" s="3155" t="s">
        <v>3521</v>
      </c>
      <c r="L3" s="3207" t="s">
        <v>3522</v>
      </c>
      <c r="M3" s="3207"/>
    </row>
    <row r="4" spans="1:13" ht="33">
      <c r="A4" s="3189" t="s">
        <v>3478</v>
      </c>
      <c r="B4" s="3189" t="s">
        <v>3479</v>
      </c>
      <c r="C4" s="3189" t="s">
        <v>3473</v>
      </c>
      <c r="D4" s="3189" t="s">
        <v>3474</v>
      </c>
      <c r="E4" s="2460"/>
      <c r="F4" s="2461"/>
      <c r="G4" s="2461"/>
      <c r="H4" s="2461"/>
      <c r="I4" s="2461"/>
      <c r="J4" s="3155" t="s">
        <v>3523</v>
      </c>
      <c r="K4" s="3155">
        <f ca="1">结果表!D118</f>
        <v>16904</v>
      </c>
      <c r="L4" s="3207">
        <f ca="1">结果表!F118</f>
        <v>18986</v>
      </c>
      <c r="M4" s="3207">
        <f ca="1">K4+L4</f>
        <v>35890</v>
      </c>
    </row>
    <row r="5" spans="1:13" ht="20.25">
      <c r="A5" s="3189" t="s">
        <v>3480</v>
      </c>
      <c r="B5" s="3189">
        <f ca="1">SUM(D14:D23)</f>
        <v>86271</v>
      </c>
      <c r="C5" s="3189">
        <f ca="1">IF(B5=D14,结果表!H102,ROUND(B5*10000/$B$1,0))</f>
        <v>5471</v>
      </c>
      <c r="D5" s="3189">
        <f ca="1">ROUND(B5*10000/$B$2,0)</f>
        <v>4410</v>
      </c>
      <c r="E5" s="3186">
        <v>35631</v>
      </c>
      <c r="F5" s="2461"/>
      <c r="G5" s="2461"/>
      <c r="H5" s="2461"/>
      <c r="I5" s="2461"/>
      <c r="J5" s="3155" t="s">
        <v>3524</v>
      </c>
      <c r="K5" s="3155">
        <f ca="1">[3]结果表!$D$118</f>
        <v>15568</v>
      </c>
      <c r="L5" s="3207">
        <f ca="1">[3]结果表!$F$118</f>
        <v>34813</v>
      </c>
      <c r="M5" s="3207">
        <f ca="1">K5+L5</f>
        <v>50381</v>
      </c>
    </row>
    <row r="6" spans="1:13" ht="20.25">
      <c r="A6" s="3189" t="s">
        <v>3481</v>
      </c>
      <c r="B6" s="3189">
        <f ca="1">SUM(G14:G23)</f>
        <v>86271</v>
      </c>
      <c r="C6" s="3189">
        <f ca="1">IF(B6=G14,结果表!H108,ROUND(B6*10000/$B$1,0))</f>
        <v>5471</v>
      </c>
      <c r="D6" s="3189">
        <f ca="1">ROUND(B6*10000/$B$2,0)</f>
        <v>4410</v>
      </c>
      <c r="E6" s="3186">
        <v>51618</v>
      </c>
      <c r="F6" s="2461"/>
      <c r="G6" s="2461"/>
      <c r="H6" s="2461"/>
      <c r="I6" s="2461"/>
      <c r="J6" s="3208" t="s">
        <v>3526</v>
      </c>
      <c r="K6" s="3155">
        <f ca="1">K4+K5</f>
        <v>32472</v>
      </c>
      <c r="L6" s="3155">
        <f t="shared" ref="L6:M6" ca="1" si="0">L4+L5</f>
        <v>53799</v>
      </c>
      <c r="M6" s="3155">
        <f t="shared" ca="1" si="0"/>
        <v>86271</v>
      </c>
    </row>
    <row r="7" spans="1:13" ht="16.5">
      <c r="A7" s="2300" t="s">
        <v>653</v>
      </c>
      <c r="B7" s="2300">
        <f>SUM(H14:H23)</f>
        <v>0</v>
      </c>
      <c r="C7" s="2300" t="str">
        <f>IF(B7=H14,结果表!H110,ROUND(B7*10000/$B$1,0))</f>
        <v>——</v>
      </c>
      <c r="D7" s="2300">
        <f>ROUND(B7*10000/$B$2,0)</f>
        <v>0</v>
      </c>
      <c r="E7" s="2460">
        <f>E5+E6</f>
        <v>87249</v>
      </c>
      <c r="F7" s="2461"/>
      <c r="G7" s="2461"/>
      <c r="H7" s="2461"/>
      <c r="I7" s="2461"/>
      <c r="J7" s="3209" t="s">
        <v>3525</v>
      </c>
      <c r="K7" s="3209">
        <v>0.4</v>
      </c>
      <c r="L7" s="3210">
        <v>0.6</v>
      </c>
      <c r="M7" s="3210"/>
    </row>
    <row r="8" spans="1:13" ht="16.5">
      <c r="A8" s="2300" t="s">
        <v>587</v>
      </c>
      <c r="B8" s="2300">
        <f>SUM(I14:I23)</f>
        <v>0</v>
      </c>
      <c r="C8" s="2300" t="str">
        <f>IF(B8=I14,结果表!H112,ROUND(B8*10000/$B$1,0))</f>
        <v>——</v>
      </c>
      <c r="D8" s="2300">
        <f>ROUND(B8*10000/$B$2,0)</f>
        <v>0</v>
      </c>
      <c r="E8" s="2460"/>
      <c r="F8" s="2461"/>
      <c r="G8" s="2461"/>
      <c r="H8" s="2461"/>
      <c r="I8" s="2461"/>
      <c r="J8" s="3209"/>
      <c r="K8" s="3209">
        <f ca="1">K6*K7</f>
        <v>12988.800000000001</v>
      </c>
      <c r="L8" s="3209">
        <f ca="1">L6*L7</f>
        <v>32279.399999999998</v>
      </c>
      <c r="M8" s="3210">
        <f ca="1">K8+L8</f>
        <v>45268.2</v>
      </c>
    </row>
    <row r="9" spans="1:13" ht="16.5">
      <c r="A9" s="2300" t="s">
        <v>651</v>
      </c>
      <c r="B9" s="1244"/>
      <c r="C9" s="2460"/>
      <c r="D9" s="2460"/>
      <c r="E9" s="2460"/>
      <c r="F9" s="2461"/>
      <c r="G9" s="2461"/>
      <c r="H9" s="2461"/>
      <c r="I9" s="2461"/>
      <c r="J9" s="2461"/>
      <c r="K9" s="2461"/>
    </row>
    <row r="10" spans="1:13" ht="16.5">
      <c r="A10" s="2300" t="s">
        <v>650</v>
      </c>
      <c r="B10" s="2300">
        <f>IF(E10="",0,ROUND(B1*(E10*365/G10)/10000,0))</f>
        <v>0</v>
      </c>
      <c r="C10" s="2300" t="s">
        <v>3331</v>
      </c>
      <c r="D10" s="2300" t="s">
        <v>3332</v>
      </c>
      <c r="E10" s="3135"/>
      <c r="F10" s="3139" t="s">
        <v>3333</v>
      </c>
      <c r="G10" s="3136"/>
      <c r="H10" s="2461"/>
      <c r="I10" s="2461"/>
      <c r="J10" s="2461"/>
      <c r="K10" s="2461"/>
    </row>
    <row r="11" spans="1:13" ht="16.5">
      <c r="A11" s="2300" t="s">
        <v>654</v>
      </c>
      <c r="B11" s="1244"/>
      <c r="C11" s="2460"/>
      <c r="D11" s="2460"/>
      <c r="E11" s="2460"/>
      <c r="F11" s="2461"/>
      <c r="G11" s="2461"/>
      <c r="H11" s="2461"/>
      <c r="I11" s="2461"/>
      <c r="J11" s="2461"/>
      <c r="K11" s="2461"/>
    </row>
    <row r="12" spans="1:13" ht="16.5">
      <c r="A12" s="2460"/>
      <c r="B12" s="2460"/>
      <c r="C12" s="2460"/>
      <c r="D12" s="2460"/>
      <c r="E12" s="2460"/>
      <c r="F12" s="2461"/>
      <c r="G12" s="2461"/>
      <c r="H12" s="2461"/>
      <c r="I12" s="2461"/>
      <c r="J12" s="2461"/>
      <c r="K12" s="2461"/>
    </row>
    <row r="13" spans="1:13" ht="33">
      <c r="A13" s="3187" t="s">
        <v>3469</v>
      </c>
      <c r="B13" s="3188" t="s">
        <v>3470</v>
      </c>
      <c r="C13" s="3188" t="s">
        <v>3471</v>
      </c>
      <c r="D13" s="3188" t="s">
        <v>3472</v>
      </c>
      <c r="E13" s="3189" t="s">
        <v>3473</v>
      </c>
      <c r="F13" s="3189" t="s">
        <v>3474</v>
      </c>
      <c r="G13" s="3188" t="s">
        <v>3475</v>
      </c>
      <c r="H13" s="2302" t="s">
        <v>652</v>
      </c>
      <c r="I13" s="2302" t="s">
        <v>649</v>
      </c>
      <c r="J13" s="3186" t="s">
        <v>3468</v>
      </c>
      <c r="K13" s="2461"/>
    </row>
    <row r="14" spans="1:13" ht="20.25">
      <c r="A14" s="3190" t="s">
        <v>3476</v>
      </c>
      <c r="B14" s="3191">
        <f>'数据-汇总表'!E3</f>
        <v>66988.94</v>
      </c>
      <c r="C14" s="3191">
        <f>'数据-汇总表'!D3</f>
        <v>120628.8</v>
      </c>
      <c r="D14" s="3191">
        <f ca="1">结果表!G19</f>
        <v>35890</v>
      </c>
      <c r="E14" s="3191">
        <f ca="1">ROUND(D14*10000/B14,0)</f>
        <v>5358</v>
      </c>
      <c r="F14" s="3191">
        <f ca="1">ROUND(D14*10000/C14,0)</f>
        <v>2975</v>
      </c>
      <c r="G14" s="3191">
        <f ca="1">D14</f>
        <v>35890</v>
      </c>
      <c r="H14" s="2304"/>
      <c r="I14" s="2304"/>
      <c r="J14" s="3186">
        <v>35631</v>
      </c>
      <c r="K14" s="2461"/>
    </row>
    <row r="15" spans="1:13" ht="20.25">
      <c r="A15" s="3190" t="s">
        <v>3477</v>
      </c>
      <c r="B15" s="3190">
        <f>[3]结果表!$B$118</f>
        <v>90684.57</v>
      </c>
      <c r="C15" s="3190">
        <f>[3]结果表!$C$118</f>
        <v>75014.7</v>
      </c>
      <c r="D15" s="3190">
        <f ca="1">[3]结果表!$H$118</f>
        <v>50381</v>
      </c>
      <c r="E15" s="3191">
        <f t="shared" ref="E15:E23" ca="1" si="1">ROUND(D15*10000/B15,0)</f>
        <v>5556</v>
      </c>
      <c r="F15" s="3191">
        <f t="shared" ref="F15:F23" ca="1" si="2">ROUND(D15*10000/C15,0)</f>
        <v>6716</v>
      </c>
      <c r="G15" s="3192">
        <f ca="1">D15</f>
        <v>50381</v>
      </c>
      <c r="H15" s="1244"/>
      <c r="I15" s="2305"/>
      <c r="J15" s="3186">
        <v>51618</v>
      </c>
      <c r="K15" s="3186"/>
    </row>
    <row r="16" spans="1:13" ht="16.5">
      <c r="A16" s="2303" t="s">
        <v>648</v>
      </c>
      <c r="B16" s="2305"/>
      <c r="C16" s="2305"/>
      <c r="D16" s="2305"/>
      <c r="E16" s="2304" t="e">
        <f t="shared" si="1"/>
        <v>#DIV/0!</v>
      </c>
      <c r="F16" s="2304" t="e">
        <f t="shared" si="2"/>
        <v>#DIV/0!</v>
      </c>
      <c r="G16" s="1244"/>
      <c r="H16" s="1244"/>
      <c r="I16" s="2305"/>
      <c r="J16" s="2461"/>
      <c r="K16" s="2461"/>
    </row>
    <row r="17" spans="1:11" ht="16.5">
      <c r="A17" s="2303" t="s">
        <v>647</v>
      </c>
      <c r="B17" s="2305"/>
      <c r="C17" s="2305"/>
      <c r="D17" s="2305"/>
      <c r="E17" s="2304" t="e">
        <f t="shared" si="1"/>
        <v>#DIV/0!</v>
      </c>
      <c r="F17" s="2304" t="e">
        <f t="shared" si="2"/>
        <v>#DIV/0!</v>
      </c>
      <c r="G17" s="1244"/>
      <c r="H17" s="1244"/>
      <c r="I17" s="2305"/>
      <c r="J17" s="2461"/>
      <c r="K17" s="2461"/>
    </row>
    <row r="18" spans="1:11" ht="16.5">
      <c r="A18" s="2303" t="s">
        <v>646</v>
      </c>
      <c r="B18" s="2305"/>
      <c r="C18" s="2305"/>
      <c r="D18" s="2305"/>
      <c r="E18" s="2304" t="e">
        <f t="shared" si="1"/>
        <v>#DIV/0!</v>
      </c>
      <c r="F18" s="2304" t="e">
        <f t="shared" si="2"/>
        <v>#DIV/0!</v>
      </c>
      <c r="G18" s="2305"/>
      <c r="H18" s="2305"/>
      <c r="I18" s="2305"/>
      <c r="J18" s="2461"/>
      <c r="K18" s="2461"/>
    </row>
    <row r="19" spans="1:11" ht="16.5">
      <c r="A19" s="2303" t="s">
        <v>645</v>
      </c>
      <c r="B19" s="2305"/>
      <c r="C19" s="2305"/>
      <c r="D19" s="2305"/>
      <c r="E19" s="2304" t="e">
        <f t="shared" si="1"/>
        <v>#DIV/0!</v>
      </c>
      <c r="F19" s="2304" t="e">
        <f t="shared" si="2"/>
        <v>#DIV/0!</v>
      </c>
      <c r="G19" s="2305"/>
      <c r="H19" s="2305"/>
      <c r="I19" s="2305"/>
      <c r="J19" s="2461"/>
      <c r="K19" s="2461"/>
    </row>
    <row r="20" spans="1:11" ht="16.5">
      <c r="A20" s="2303" t="s">
        <v>644</v>
      </c>
      <c r="B20" s="2305"/>
      <c r="C20" s="2305"/>
      <c r="D20" s="2305"/>
      <c r="E20" s="2304" t="e">
        <f t="shared" si="1"/>
        <v>#DIV/0!</v>
      </c>
      <c r="F20" s="2304" t="e">
        <f t="shared" si="2"/>
        <v>#DIV/0!</v>
      </c>
      <c r="G20" s="2305"/>
      <c r="H20" s="2305"/>
      <c r="I20" s="2305"/>
      <c r="J20" s="2461"/>
      <c r="K20" s="2461"/>
    </row>
    <row r="21" spans="1:11" ht="16.5">
      <c r="A21" s="2303" t="s">
        <v>643</v>
      </c>
      <c r="B21" s="2305"/>
      <c r="C21" s="2305"/>
      <c r="D21" s="2305"/>
      <c r="E21" s="2304" t="e">
        <f t="shared" si="1"/>
        <v>#DIV/0!</v>
      </c>
      <c r="F21" s="2304" t="e">
        <f t="shared" si="2"/>
        <v>#DIV/0!</v>
      </c>
      <c r="G21" s="2305"/>
      <c r="H21" s="2305"/>
      <c r="I21" s="2305"/>
      <c r="J21" s="2461"/>
      <c r="K21" s="2461"/>
    </row>
    <row r="22" spans="1:11" ht="16.5">
      <c r="A22" s="2303" t="s">
        <v>642</v>
      </c>
      <c r="B22" s="2305"/>
      <c r="C22" s="2305"/>
      <c r="D22" s="2305"/>
      <c r="E22" s="2304" t="e">
        <f t="shared" si="1"/>
        <v>#DIV/0!</v>
      </c>
      <c r="F22" s="2304" t="e">
        <f t="shared" si="2"/>
        <v>#DIV/0!</v>
      </c>
      <c r="G22" s="2305"/>
      <c r="H22" s="2305"/>
      <c r="I22" s="2305"/>
      <c r="J22" s="2461"/>
      <c r="K22" s="2461"/>
    </row>
    <row r="23" spans="1:11" ht="16.5">
      <c r="A23" s="2303" t="s">
        <v>641</v>
      </c>
      <c r="B23" s="2305"/>
      <c r="C23" s="2305"/>
      <c r="D23" s="2305"/>
      <c r="E23" s="1244" t="e">
        <f t="shared" si="1"/>
        <v>#DIV/0!</v>
      </c>
      <c r="F23" s="1244" t="e">
        <f t="shared" si="2"/>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I26" sqref="I26"/>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1246</v>
      </c>
      <c r="B1" s="646"/>
      <c r="C1" s="1620"/>
      <c r="D1" s="646"/>
      <c r="E1" s="646"/>
      <c r="F1" s="1621" t="s">
        <v>1247</v>
      </c>
      <c r="G1" s="1453"/>
      <c r="H1" s="1621" t="str">
        <f>IF(G1="现房","——","估价对象范围")</f>
        <v>估价对象范围</v>
      </c>
      <c r="I1" s="1622"/>
    </row>
    <row r="2" spans="1:12" ht="21.75" customHeight="1" thickBot="1">
      <c r="A2" s="3333" t="str">
        <f>项目基本情况!S2</f>
        <v>北京市房地产</v>
      </c>
      <c r="B2" s="3334"/>
      <c r="C2" s="3334"/>
      <c r="D2" s="3334"/>
      <c r="E2" s="3334"/>
      <c r="F2" s="3334"/>
      <c r="G2" s="3334"/>
      <c r="H2" s="3334"/>
      <c r="I2" s="3335"/>
    </row>
    <row r="3" spans="1:12" ht="12.75">
      <c r="A3" s="3337" t="s">
        <v>1248</v>
      </c>
      <c r="B3" s="3338"/>
      <c r="C3" s="3338"/>
      <c r="D3" s="3338"/>
      <c r="E3" s="3338"/>
      <c r="F3" s="3338"/>
      <c r="G3" s="3338"/>
      <c r="H3" s="3338"/>
      <c r="I3" s="3338"/>
    </row>
    <row r="4" spans="1:12" ht="14.25">
      <c r="A4" s="1624" t="s">
        <v>1249</v>
      </c>
      <c r="B4" s="1625" t="s">
        <v>1250</v>
      </c>
      <c r="C4" s="1626" t="s">
        <v>3395</v>
      </c>
      <c r="D4" s="1626" t="s">
        <v>3388</v>
      </c>
      <c r="E4" s="3339" t="s">
        <v>1251</v>
      </c>
      <c r="F4" s="3340"/>
      <c r="G4" s="3340"/>
      <c r="H4" s="3340"/>
      <c r="I4" s="3341"/>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313" t="s">
        <v>1252</v>
      </c>
      <c r="B5" s="3300">
        <v>25</v>
      </c>
      <c r="C5" s="3316"/>
      <c r="D5" s="3336"/>
      <c r="E5" s="123" t="s">
        <v>1253</v>
      </c>
      <c r="F5" s="1627"/>
      <c r="G5" s="1627"/>
      <c r="H5" s="1627"/>
      <c r="I5" s="1281"/>
    </row>
    <row r="6" spans="1:12" ht="12.75">
      <c r="A6" s="3313"/>
      <c r="B6" s="3300"/>
      <c r="C6" s="3317"/>
      <c r="D6" s="3336"/>
      <c r="E6" s="123" t="s">
        <v>1254</v>
      </c>
      <c r="F6" s="1627"/>
      <c r="G6" s="1627"/>
      <c r="H6" s="1627"/>
      <c r="I6" s="1281"/>
    </row>
    <row r="7" spans="1:12" ht="12.75">
      <c r="A7" s="3313"/>
      <c r="B7" s="3300"/>
      <c r="C7" s="3318"/>
      <c r="D7" s="3336"/>
      <c r="E7" s="123" t="s">
        <v>1255</v>
      </c>
      <c r="F7" s="1627"/>
      <c r="G7" s="1627"/>
      <c r="H7" s="1627"/>
      <c r="I7" s="1281"/>
    </row>
    <row r="8" spans="1:12" ht="12.75">
      <c r="A8" s="3313" t="s">
        <v>1256</v>
      </c>
      <c r="B8" s="3300">
        <v>15</v>
      </c>
      <c r="C8" s="3316"/>
      <c r="D8" s="3336"/>
      <c r="E8" s="123" t="s">
        <v>1257</v>
      </c>
      <c r="F8" s="1627"/>
      <c r="G8" s="1627"/>
      <c r="H8" s="1627"/>
      <c r="I8" s="1281"/>
    </row>
    <row r="9" spans="1:12" ht="12.75">
      <c r="A9" s="3313"/>
      <c r="B9" s="3300"/>
      <c r="C9" s="3318"/>
      <c r="D9" s="3336"/>
      <c r="E9" s="123" t="s">
        <v>1258</v>
      </c>
      <c r="F9" s="1627"/>
      <c r="G9" s="1627"/>
      <c r="H9" s="1627"/>
      <c r="I9" s="1281"/>
    </row>
    <row r="10" spans="1:12" ht="12.75">
      <c r="A10" s="3313" t="s">
        <v>1259</v>
      </c>
      <c r="B10" s="3300">
        <v>15</v>
      </c>
      <c r="C10" s="3316"/>
      <c r="D10" s="3336"/>
      <c r="E10" s="123" t="s">
        <v>1260</v>
      </c>
      <c r="F10" s="1627"/>
      <c r="G10" s="1627"/>
      <c r="H10" s="1627"/>
      <c r="I10" s="1281"/>
    </row>
    <row r="11" spans="1:12" ht="12.75">
      <c r="A11" s="3313"/>
      <c r="B11" s="3300"/>
      <c r="C11" s="3318"/>
      <c r="D11" s="3336"/>
      <c r="E11" s="123" t="s">
        <v>1261</v>
      </c>
      <c r="F11" s="1627"/>
      <c r="G11" s="1627"/>
      <c r="H11" s="1627"/>
      <c r="I11" s="1281"/>
    </row>
    <row r="12" spans="1:12" ht="12.75">
      <c r="A12" s="3313" t="s">
        <v>1262</v>
      </c>
      <c r="B12" s="3300">
        <v>15</v>
      </c>
      <c r="C12" s="3316"/>
      <c r="D12" s="3336"/>
      <c r="E12" s="123" t="s">
        <v>1263</v>
      </c>
      <c r="F12" s="1627"/>
      <c r="G12" s="1627"/>
      <c r="H12" s="1627"/>
      <c r="I12" s="1281"/>
    </row>
    <row r="13" spans="1:12" ht="12.75">
      <c r="A13" s="3313"/>
      <c r="B13" s="3300"/>
      <c r="C13" s="3318"/>
      <c r="D13" s="3336"/>
      <c r="E13" s="123" t="s">
        <v>1264</v>
      </c>
      <c r="F13" s="1627"/>
      <c r="G13" s="1627"/>
      <c r="H13" s="1627"/>
      <c r="I13" s="1281"/>
    </row>
    <row r="14" spans="1:12" ht="12.75">
      <c r="A14" s="3313" t="s">
        <v>1265</v>
      </c>
      <c r="B14" s="3300">
        <v>30</v>
      </c>
      <c r="C14" s="3316">
        <v>5</v>
      </c>
      <c r="D14" s="3336">
        <v>5</v>
      </c>
      <c r="E14" s="123" t="s">
        <v>1266</v>
      </c>
      <c r="F14" s="1627"/>
      <c r="G14" s="1627"/>
      <c r="H14" s="1627"/>
      <c r="I14" s="1281"/>
    </row>
    <row r="15" spans="1:12" ht="12.75">
      <c r="A15" s="3313"/>
      <c r="B15" s="3300"/>
      <c r="C15" s="3317"/>
      <c r="D15" s="3336"/>
      <c r="E15" s="123" t="s">
        <v>1267</v>
      </c>
      <c r="F15" s="1627"/>
      <c r="G15" s="1627"/>
      <c r="H15" s="1627"/>
      <c r="I15" s="1281"/>
    </row>
    <row r="16" spans="1:12" ht="12.75">
      <c r="A16" s="3313"/>
      <c r="B16" s="3300"/>
      <c r="C16" s="3318"/>
      <c r="D16" s="3336"/>
      <c r="E16" s="123" t="s">
        <v>1268</v>
      </c>
      <c r="F16" s="1627"/>
      <c r="G16" s="1627"/>
      <c r="H16" s="1627"/>
      <c r="I16" s="1281"/>
    </row>
    <row r="17" spans="1:36" ht="15">
      <c r="A17" s="1628" t="s">
        <v>1269</v>
      </c>
      <c r="B17" s="54"/>
      <c r="C17" s="124">
        <f>SUM(C5:C16)</f>
        <v>5</v>
      </c>
      <c r="D17" s="124">
        <f>SUM(D5:D16)</f>
        <v>5</v>
      </c>
      <c r="E17" s="121"/>
      <c r="F17" s="121"/>
      <c r="G17" s="121"/>
      <c r="H17" s="121"/>
      <c r="I17" s="121"/>
      <c r="K17" s="294"/>
      <c r="L17" s="294" t="s">
        <v>1270</v>
      </c>
      <c r="M17" s="294" t="s">
        <v>1271</v>
      </c>
    </row>
    <row r="18" spans="1:36" ht="31.9" customHeight="1" thickBot="1">
      <c r="A18" s="1629" t="s">
        <v>1272</v>
      </c>
      <c r="B18" s="1542"/>
      <c r="C18" s="125">
        <f>ROUND(C17/SUM(C17:D17),2)</f>
        <v>0.5</v>
      </c>
      <c r="D18" s="125">
        <f>1-C18</f>
        <v>0.5</v>
      </c>
      <c r="E18" s="3323" t="s">
        <v>2115</v>
      </c>
      <c r="F18" s="3324"/>
      <c r="G18" s="3324"/>
      <c r="H18" s="3324"/>
      <c r="I18" s="3324"/>
      <c r="K18" s="294" t="s">
        <v>1273</v>
      </c>
      <c r="L18" s="294">
        <f>IF(C1="",'数据-汇总表'!E3,SUMIF(项目类型,C1,'数据-汇总表'!E17:E26)+SUMIF(项目类型,C1,'数据-汇总表'!I17:I26))</f>
        <v>66988.94</v>
      </c>
      <c r="M18" s="294">
        <f>IF(C1="",'数据-汇总表'!E3,SUMIF(项目类型,C1,'数据-汇总表'!E17:E26))</f>
        <v>66988.94</v>
      </c>
    </row>
    <row r="19" spans="1:36" ht="15">
      <c r="A19" s="1630" t="s">
        <v>1274</v>
      </c>
      <c r="B19" s="1631" t="s">
        <v>1275</v>
      </c>
      <c r="C19" s="126">
        <f ca="1">SUMIF(INDIRECT("'"&amp;C4&amp;"'"&amp;"!A:A"),结果表!B19,INDIRECT("'"&amp;C4&amp;"'"&amp;"!B:B"))</f>
        <v>33658</v>
      </c>
      <c r="D19" s="127">
        <f ca="1">SUMIF(INDIRECT("'"&amp;D4&amp;"'"&amp;"!A:A"),结果表!B19,INDIRECT("'"&amp;D4&amp;"'"&amp;"!B:B"))</f>
        <v>38122</v>
      </c>
      <c r="E19" s="1630" t="s">
        <v>1276</v>
      </c>
      <c r="F19" s="1631" t="s">
        <v>1275</v>
      </c>
      <c r="G19" s="128">
        <f ca="1">ROUND(C19*$C$18+D19*$D$18,0)</f>
        <v>35890</v>
      </c>
      <c r="H19" s="1632" t="s">
        <v>1277</v>
      </c>
      <c r="I19" s="121"/>
      <c r="K19" s="294" t="s">
        <v>1278</v>
      </c>
      <c r="L19" s="294">
        <f>IF(C1="",'数据-汇总表'!D3,SUMIF(项目类型,C1,'数据-汇总表'!D17:D26)+SUMIF(项目类型,C1,'数据-汇总表'!H17:H27))</f>
        <v>120628.8</v>
      </c>
      <c r="M19" s="294">
        <f>IF(C1="",'数据-汇总表'!D3,SUMIF(项目类型,C1,'数据-汇总表'!D17:D26))</f>
        <v>120628.8</v>
      </c>
    </row>
    <row r="20" spans="1:36" ht="15">
      <c r="A20" s="1633"/>
      <c r="B20" s="43" t="s">
        <v>1279</v>
      </c>
      <c r="C20" s="129">
        <f ca="1">SUMIF(INDIRECT("'"&amp;C4&amp;"'"&amp;"!A:A"),结果表!B20,INDIRECT("'"&amp;C4&amp;"'"&amp;"!B:B"))</f>
        <v>5024</v>
      </c>
      <c r="D20" s="130">
        <f ca="1">SUMIF(INDIRECT("'"&amp;D4&amp;"'"&amp;"!A:A"),结果表!B20,INDIRECT("'"&amp;D4&amp;"'"&amp;"!B:B"))</f>
        <v>5691</v>
      </c>
      <c r="E20" s="1633"/>
      <c r="F20" s="43" t="s">
        <v>1279</v>
      </c>
      <c r="G20" s="131">
        <f ca="1">ROUND(C20*$C$18+D20*$D$18,0)</f>
        <v>5358</v>
      </c>
      <c r="H20" s="760" t="s">
        <v>1280</v>
      </c>
      <c r="I20" s="121"/>
    </row>
    <row r="21" spans="1:36" ht="15" customHeight="1" thickBot="1">
      <c r="A21" s="449"/>
      <c r="B21" s="93" t="s">
        <v>1281</v>
      </c>
      <c r="C21" s="678">
        <f ca="1">ROUND(C19*10000/L19,0)</f>
        <v>2790</v>
      </c>
      <c r="D21" s="679">
        <f ca="1">ROUND(D19*10000/L19,0)</f>
        <v>3160</v>
      </c>
      <c r="E21" s="449"/>
      <c r="F21" s="93" t="s">
        <v>1281</v>
      </c>
      <c r="G21" s="132">
        <f ca="1">ROUND(G19*10000/L19,0)</f>
        <v>2975</v>
      </c>
      <c r="H21" s="1634" t="s">
        <v>1280</v>
      </c>
      <c r="I21" s="121"/>
    </row>
    <row r="22" spans="1:36" ht="15" thickBot="1">
      <c r="A22" s="1564" t="s">
        <v>1282</v>
      </c>
      <c r="B22" s="1635"/>
      <c r="C22" s="1636"/>
      <c r="D22" s="680">
        <f ca="1">IF(C19&lt;D19,D19/C19-1,C19/D19-1)</f>
        <v>0.13262820131915154</v>
      </c>
      <c r="E22" s="121"/>
      <c r="F22" s="121"/>
      <c r="G22" s="121"/>
      <c r="H22" s="121"/>
      <c r="I22" s="121"/>
      <c r="J22" s="3156" t="s">
        <v>3437</v>
      </c>
      <c r="K22" s="2328"/>
    </row>
    <row r="23" spans="1:36" ht="13.5" thickBot="1">
      <c r="A23" s="646"/>
      <c r="B23" s="646"/>
      <c r="C23" s="646"/>
      <c r="D23" s="646"/>
      <c r="E23" s="121"/>
      <c r="F23" s="121"/>
      <c r="G23" s="121"/>
      <c r="H23" s="121"/>
      <c r="I23" s="121"/>
      <c r="J23" s="3157" t="s">
        <v>3436</v>
      </c>
      <c r="K23" s="2328">
        <v>51618</v>
      </c>
    </row>
    <row r="24" spans="1:36" ht="14.25">
      <c r="A24" s="3307" t="s">
        <v>1283</v>
      </c>
      <c r="B24" s="1631" t="s">
        <v>1275</v>
      </c>
      <c r="C24" s="128">
        <f>IF(B30=0,0,D30)</f>
        <v>0</v>
      </c>
      <c r="D24" s="1637"/>
      <c r="E24" s="121"/>
      <c r="F24" s="121"/>
      <c r="G24" s="121"/>
      <c r="H24" s="121"/>
      <c r="I24" s="121"/>
      <c r="J24" s="3157" t="s">
        <v>3484</v>
      </c>
      <c r="K24" s="2328">
        <v>35631</v>
      </c>
    </row>
    <row r="25" spans="1:36" ht="14.25">
      <c r="A25" s="3308"/>
      <c r="B25" s="43" t="s">
        <v>1279</v>
      </c>
      <c r="C25" s="133">
        <f>IF(B30=0,0,C30)</f>
        <v>0</v>
      </c>
      <c r="D25" s="1638"/>
      <c r="E25" s="121"/>
      <c r="F25" s="121"/>
      <c r="G25" s="121"/>
      <c r="H25" s="121"/>
      <c r="I25" s="121"/>
    </row>
    <row r="26" spans="1:36" ht="13.5" customHeight="1">
      <c r="A26" s="1639" t="s">
        <v>1284</v>
      </c>
      <c r="B26" s="134" t="s">
        <v>1285</v>
      </c>
      <c r="C26" s="134" t="s">
        <v>1286</v>
      </c>
      <c r="D26" s="135" t="s">
        <v>1287</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1288</v>
      </c>
      <c r="B30" s="134"/>
      <c r="C30" s="134"/>
      <c r="D30" s="134"/>
      <c r="E30" s="2127" t="s">
        <v>2116</v>
      </c>
      <c r="F30" s="121"/>
      <c r="G30" s="121"/>
      <c r="H30" s="121"/>
      <c r="I30" s="121"/>
    </row>
    <row r="31" spans="1:36" s="2133" customFormat="1" ht="26.45" customHeight="1" thickTop="1" thickBot="1">
      <c r="A31" s="2128"/>
      <c r="B31" s="2129"/>
      <c r="C31" s="2129"/>
      <c r="D31" s="2129"/>
      <c r="E31" s="2129"/>
      <c r="F31" s="2129"/>
      <c r="G31" s="2129"/>
      <c r="H31" s="2129"/>
      <c r="I31" s="2130" t="s">
        <v>2117</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1289</v>
      </c>
      <c r="B32" s="1535"/>
      <c r="C32" s="136">
        <f ca="1">IF(D32="总价",G19-C24,G20-C25)</f>
        <v>35890</v>
      </c>
      <c r="D32" s="1641" t="s">
        <v>3466</v>
      </c>
      <c r="E32" s="121"/>
      <c r="F32" s="121"/>
      <c r="G32" s="121"/>
      <c r="H32" s="121"/>
      <c r="I32" s="121"/>
    </row>
    <row r="33" spans="1:15" ht="15">
      <c r="A33" s="740" t="s">
        <v>1290</v>
      </c>
      <c r="B33" s="123"/>
      <c r="C33" s="1642" t="s">
        <v>3467</v>
      </c>
      <c r="D33" s="1643" t="s">
        <v>3395</v>
      </c>
      <c r="E33" s="1644" t="s">
        <v>1291</v>
      </c>
      <c r="F33" s="1645" t="str">
        <f>IF(D32="楼面单价","取值（单价）","取值（总价）")</f>
        <v>取值（总价）</v>
      </c>
      <c r="G33" s="121"/>
      <c r="H33" s="121"/>
      <c r="I33" s="121"/>
    </row>
    <row r="34" spans="1:15" ht="15">
      <c r="A34" s="1646"/>
      <c r="B34" s="1647" t="s">
        <v>1292</v>
      </c>
      <c r="C34" s="140">
        <f ca="1">IF(C33="自定义",F34,C32-C35)</f>
        <v>16904</v>
      </c>
      <c r="D34" s="808">
        <f ca="1">IF(C33="自定义",ROUND(C34/C32,3),IF(C33="收益比率",SUMIF(INDIRECT("'"&amp;D33&amp;"'"&amp;"!b:b"),"土地收益比率",INDIRECT("'"&amp;D33&amp;"'"&amp;"!c:c")),SUMIF(INDIRECT("'"&amp;D33&amp;"'"&amp;"!b:b"),"土地成本比率",INDIRECT("'"&amp;D33&amp;"'"&amp;"!c:c"))))</f>
        <v>0.47099999999999997</v>
      </c>
      <c r="E34" s="1648" t="s">
        <v>1293</v>
      </c>
      <c r="F34" s="1243"/>
      <c r="G34" s="121"/>
      <c r="H34" s="121"/>
      <c r="I34" s="121"/>
    </row>
    <row r="35" spans="1:15" ht="15.75" thickBot="1">
      <c r="A35" s="1649"/>
      <c r="B35" s="1650" t="s">
        <v>1294</v>
      </c>
      <c r="C35" s="1090">
        <f ca="1">IF(C33="自定义",F35,ROUND(C32*D35,0))</f>
        <v>18986</v>
      </c>
      <c r="D35" s="1091">
        <f ca="1">IF(C33="自定义",ROUND(C35/C32,3),IF(C33="收益比率",SUMIF(INDIRECT("'"&amp;D33&amp;"'"&amp;"!b:b"),"建筑物收益比率",INDIRECT("'"&amp;D33&amp;"'"&amp;"!c:c")),SUMIF(INDIRECT("'"&amp;D33&amp;"'"&amp;"!b:b"),"建筑物成本比率",INDIRECT("'"&amp;D33&amp;"'"&amp;"!c:c"))))</f>
        <v>0.52900000000000003</v>
      </c>
      <c r="E35" s="1651" t="s">
        <v>1295</v>
      </c>
      <c r="F35" s="146"/>
      <c r="G35" s="121"/>
      <c r="H35" s="121"/>
      <c r="I35" s="121"/>
    </row>
    <row r="36" spans="1:15" ht="15.75" thickBot="1">
      <c r="A36" s="3327" t="s">
        <v>1296</v>
      </c>
      <c r="B36" s="1652" t="s">
        <v>1297</v>
      </c>
      <c r="C36" s="137"/>
      <c r="D36" s="1653"/>
      <c r="E36" s="1567"/>
      <c r="F36" s="1654"/>
      <c r="G36" s="121"/>
      <c r="H36" s="121"/>
      <c r="I36" s="121"/>
    </row>
    <row r="37" spans="1:15" ht="15.75" thickBot="1">
      <c r="A37" s="3328"/>
      <c r="B37" s="1555" t="s">
        <v>1298</v>
      </c>
      <c r="C37" s="139"/>
      <c r="D37" s="1071"/>
      <c r="E37" s="1071"/>
      <c r="F37" s="1654"/>
      <c r="G37" s="121"/>
      <c r="H37" s="121"/>
      <c r="I37" s="121"/>
    </row>
    <row r="38" spans="1:15" ht="15.75" thickBot="1">
      <c r="A38" s="3329"/>
      <c r="B38" s="1655" t="s">
        <v>1299</v>
      </c>
      <c r="C38" s="641"/>
      <c r="D38" s="1656" t="s">
        <v>1300</v>
      </c>
      <c r="E38" s="1071"/>
      <c r="F38" s="1654"/>
      <c r="G38" s="121"/>
      <c r="H38" s="121"/>
      <c r="I38" s="121"/>
    </row>
    <row r="39" spans="1:15" ht="15">
      <c r="A39" s="1633" t="s">
        <v>1301</v>
      </c>
      <c r="B39" s="1657" t="s">
        <v>1302</v>
      </c>
      <c r="C39" s="1658" t="s">
        <v>1303</v>
      </c>
      <c r="D39" s="1658" t="s">
        <v>1304</v>
      </c>
      <c r="E39" s="1659" t="s">
        <v>1305</v>
      </c>
      <c r="F39" s="1654"/>
      <c r="G39" s="121"/>
      <c r="H39" s="121"/>
      <c r="I39" s="121"/>
    </row>
    <row r="40" spans="1:15" ht="14.25">
      <c r="A40" s="1660" t="s">
        <v>1306</v>
      </c>
      <c r="B40" s="141"/>
      <c r="C40" s="142"/>
      <c r="D40" s="142"/>
      <c r="E40" s="143"/>
      <c r="F40" s="1654"/>
      <c r="G40" s="121"/>
      <c r="H40" s="121"/>
      <c r="I40" s="121"/>
    </row>
    <row r="41" spans="1:15" ht="14.25">
      <c r="A41" s="1660" t="s">
        <v>1307</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1308</v>
      </c>
      <c r="B44" s="1664"/>
      <c r="C44" s="1664"/>
      <c r="D44" s="1665"/>
      <c r="E44" s="1665"/>
      <c r="F44" s="1666"/>
      <c r="G44" s="1666"/>
      <c r="H44" s="1666"/>
      <c r="I44" s="1666"/>
      <c r="J44" s="1667" t="s">
        <v>1309</v>
      </c>
      <c r="K44" s="4"/>
      <c r="L44" s="4"/>
      <c r="M44" s="4"/>
      <c r="N44" s="4"/>
      <c r="O44" s="4"/>
    </row>
    <row r="45" spans="1:15" ht="14.25" customHeight="1" thickBot="1">
      <c r="A45" s="3304" t="s">
        <v>1310</v>
      </c>
      <c r="B45" s="3305"/>
      <c r="C45" s="3306"/>
      <c r="D45" s="147">
        <f ca="1">ROUND(H101*F45,0)</f>
        <v>35890</v>
      </c>
      <c r="E45" s="148" t="s">
        <v>1311</v>
      </c>
      <c r="F45" s="149">
        <v>1</v>
      </c>
      <c r="G45" s="150" t="s">
        <v>1312</v>
      </c>
      <c r="H45" s="121"/>
      <c r="I45" s="121"/>
      <c r="J45" s="3382" t="s">
        <v>1313</v>
      </c>
      <c r="K45" s="3382"/>
      <c r="L45" s="3382"/>
      <c r="M45" s="3382"/>
      <c r="N45" s="3382"/>
      <c r="O45" s="3382"/>
    </row>
    <row r="46" spans="1:15" ht="14.25" customHeight="1">
      <c r="A46" s="3301" t="s">
        <v>1314</v>
      </c>
      <c r="B46" s="3302"/>
      <c r="C46" s="3302"/>
      <c r="D46" s="3302"/>
      <c r="E46" s="3302"/>
      <c r="F46" s="3302"/>
      <c r="G46" s="3303"/>
      <c r="H46" s="1668"/>
      <c r="I46" s="151"/>
      <c r="J46" s="2308">
        <v>1</v>
      </c>
      <c r="K46" s="3363" t="s">
        <v>1315</v>
      </c>
      <c r="L46" s="3363"/>
      <c r="M46" s="3383"/>
      <c r="N46" s="3383"/>
      <c r="O46" s="3383"/>
    </row>
    <row r="47" spans="1:15" ht="12" customHeight="1">
      <c r="A47" s="152" t="s">
        <v>1316</v>
      </c>
      <c r="B47" s="153"/>
      <c r="C47" s="154"/>
      <c r="D47" s="1024" t="s">
        <v>1317</v>
      </c>
      <c r="E47" s="294" t="s">
        <v>1318</v>
      </c>
      <c r="F47" s="155" t="s">
        <v>1319</v>
      </c>
      <c r="G47" s="2331" t="s">
        <v>1320</v>
      </c>
      <c r="H47" s="2332"/>
      <c r="I47" s="151"/>
      <c r="J47" s="2308">
        <v>2</v>
      </c>
      <c r="K47" s="3363" t="s">
        <v>1321</v>
      </c>
      <c r="L47" s="3363"/>
      <c r="M47" s="3384">
        <f>'数据-取费表'!B2</f>
        <v>45677</v>
      </c>
      <c r="N47" s="3384"/>
      <c r="O47" s="3384"/>
    </row>
    <row r="48" spans="1:15" ht="25.5">
      <c r="A48" s="3332" t="s">
        <v>1322</v>
      </c>
      <c r="B48" s="3315"/>
      <c r="C48" s="3315"/>
      <c r="D48" s="12" t="b">
        <f>IF(H48="情况1",0,IF(H48="情况2",D52,IF(H48="情况3",D53,IF(H48="情况4",D54))))</f>
        <v>0</v>
      </c>
      <c r="E48" s="1256" t="str">
        <f>IF(H48="情况4","(销售额-原购置价)×税（费）率","销售额×税（费）率")</f>
        <v>销售额×税（费）率</v>
      </c>
      <c r="F48" s="2333">
        <f>IF(H48="情况1","免征",'数据-取费表'!B41)</f>
        <v>5.5000000000000007E-2</v>
      </c>
      <c r="G48" s="2334" t="s">
        <v>1323</v>
      </c>
      <c r="H48" s="2335"/>
      <c r="I48" s="1668"/>
      <c r="J48" s="2308">
        <v>3</v>
      </c>
      <c r="K48" s="3363" t="s">
        <v>1324</v>
      </c>
      <c r="L48" s="3363"/>
      <c r="M48" s="3385">
        <f ca="1">H101</f>
        <v>35890</v>
      </c>
      <c r="N48" s="3385"/>
      <c r="O48" s="3385"/>
    </row>
    <row r="49" spans="1:35" ht="25.5" customHeight="1">
      <c r="A49" s="2152" t="s">
        <v>1325</v>
      </c>
      <c r="B49" s="3299" t="s">
        <v>1326</v>
      </c>
      <c r="C49" s="3299"/>
      <c r="D49" s="1478">
        <v>0</v>
      </c>
      <c r="E49" s="316" t="s">
        <v>1327</v>
      </c>
      <c r="F49" s="2233" t="s">
        <v>28</v>
      </c>
      <c r="G49" s="3369"/>
      <c r="H49" s="2134" t="s">
        <v>2118</v>
      </c>
      <c r="I49" s="2135"/>
      <c r="J49" s="2308">
        <v>4</v>
      </c>
      <c r="K49" s="3363" t="str">
        <f>IF(项目基本情况!E8="房地产抵押价值","房地产抵押价值","抵押担保权已注销时的房地产抵押价值")</f>
        <v>房地产抵押价值</v>
      </c>
      <c r="L49" s="3363"/>
      <c r="M49" s="3385">
        <f ca="1">IF(项目基本情况!E8="房地产抵押价值",H107,H109)</f>
        <v>35890</v>
      </c>
      <c r="N49" s="3385"/>
      <c r="O49" s="3385"/>
    </row>
    <row r="50" spans="1:35" ht="25.5" customHeight="1">
      <c r="A50" s="2336"/>
      <c r="B50" s="3299" t="s">
        <v>1328</v>
      </c>
      <c r="C50" s="3299"/>
      <c r="D50" s="2189"/>
      <c r="E50" s="323"/>
      <c r="F50" s="2233"/>
      <c r="G50" s="3370"/>
      <c r="H50" s="2136" t="s">
        <v>2119</v>
      </c>
      <c r="I50" s="2135"/>
      <c r="J50" s="3382" t="s">
        <v>1329</v>
      </c>
      <c r="K50" s="3382"/>
      <c r="L50" s="3382"/>
      <c r="M50" s="3382"/>
      <c r="N50" s="3382"/>
      <c r="O50" s="3382"/>
    </row>
    <row r="51" spans="1:35" ht="20.45" customHeight="1">
      <c r="A51" s="2337"/>
      <c r="B51" s="3299" t="s">
        <v>1330</v>
      </c>
      <c r="C51" s="3299"/>
      <c r="D51" s="1024"/>
      <c r="E51" s="319"/>
      <c r="F51" s="2233"/>
      <c r="G51" s="3371"/>
      <c r="H51" s="2136" t="s">
        <v>2120</v>
      </c>
      <c r="I51" s="2135"/>
      <c r="J51" s="2309" t="s">
        <v>1331</v>
      </c>
      <c r="K51" s="3363" t="s">
        <v>1332</v>
      </c>
      <c r="L51" s="3363"/>
      <c r="M51" s="2309" t="s">
        <v>1333</v>
      </c>
      <c r="N51" s="2309" t="s">
        <v>1334</v>
      </c>
      <c r="O51" s="2309" t="s">
        <v>1335</v>
      </c>
    </row>
    <row r="52" spans="1:35" ht="24" customHeight="1">
      <c r="A52" s="2153" t="s">
        <v>1336</v>
      </c>
      <c r="B52" s="3299" t="s">
        <v>1337</v>
      </c>
      <c r="C52" s="3299"/>
      <c r="D52" s="1024">
        <f ca="1">ROUND(D45*'数据-取费表'!B41/(1+'数据-取费表'!C42),0)</f>
        <v>1880</v>
      </c>
      <c r="E52" s="1256" t="s">
        <v>1338</v>
      </c>
      <c r="F52" s="2338">
        <f>'数据-取费表'!B41</f>
        <v>5.5000000000000007E-2</v>
      </c>
      <c r="G52" s="2339"/>
      <c r="H52" s="2329"/>
      <c r="I52" s="1669"/>
      <c r="J52" s="2308">
        <v>1</v>
      </c>
      <c r="K52" s="3364" t="s">
        <v>1339</v>
      </c>
      <c r="L52" s="3364"/>
      <c r="M52" s="2310" t="b">
        <f>D48</f>
        <v>0</v>
      </c>
      <c r="N52" s="2308" t="str">
        <f>E48</f>
        <v>销售额×税（费）率</v>
      </c>
      <c r="O52" s="2311">
        <f>F48</f>
        <v>5.5000000000000007E-2</v>
      </c>
    </row>
    <row r="53" spans="1:35" ht="12" customHeight="1">
      <c r="A53" s="2153" t="s">
        <v>1340</v>
      </c>
      <c r="B53" s="3325" t="s">
        <v>2266</v>
      </c>
      <c r="C53" s="3326"/>
      <c r="D53" s="1024">
        <f ca="1">ROUND(D45*'数据-取费表'!B41/(1+'数据-取费表'!C42),0)</f>
        <v>1880</v>
      </c>
      <c r="E53" s="1256" t="s">
        <v>1338</v>
      </c>
      <c r="F53" s="2338">
        <f>'数据-取费表'!B41</f>
        <v>5.5000000000000007E-2</v>
      </c>
      <c r="G53" s="2339"/>
      <c r="H53" s="2329"/>
      <c r="I53" s="1669"/>
      <c r="J53" s="2308">
        <v>2</v>
      </c>
      <c r="K53" s="3364" t="s">
        <v>1341</v>
      </c>
      <c r="L53" s="3364"/>
      <c r="M53" s="2310">
        <f t="shared" ref="M53:O54" ca="1" si="0">D55</f>
        <v>18</v>
      </c>
      <c r="N53" s="2308" t="str">
        <f t="shared" si="0"/>
        <v>销售额×税（费）率</v>
      </c>
      <c r="O53" s="2311" t="str">
        <f t="shared" si="0"/>
        <v>免征</v>
      </c>
    </row>
    <row r="54" spans="1:35" ht="12" customHeight="1">
      <c r="A54" s="2153" t="s">
        <v>1342</v>
      </c>
      <c r="B54" s="3325" t="s">
        <v>2267</v>
      </c>
      <c r="C54" s="3326"/>
      <c r="D54" s="1024">
        <f ca="1">C68</f>
        <v>1880</v>
      </c>
      <c r="E54" s="319" t="s">
        <v>1343</v>
      </c>
      <c r="F54" s="2338">
        <f>'数据-取费表'!B41</f>
        <v>5.5000000000000007E-2</v>
      </c>
      <c r="G54" s="2339"/>
      <c r="H54" s="2340"/>
      <c r="I54" s="1669"/>
      <c r="J54" s="2308">
        <v>3</v>
      </c>
      <c r="K54" s="3364" t="s">
        <v>1344</v>
      </c>
      <c r="L54" s="3364"/>
      <c r="M54" s="2310">
        <f t="shared" ca="1" si="0"/>
        <v>20346</v>
      </c>
      <c r="N54" s="2308" t="str">
        <f t="shared" si="0"/>
        <v>增值额×税（费）率</v>
      </c>
      <c r="O54" s="2312" t="str">
        <f t="shared" si="0"/>
        <v>免征</v>
      </c>
    </row>
    <row r="55" spans="1:35" ht="24" customHeight="1">
      <c r="A55" s="3314" t="s">
        <v>1345</v>
      </c>
      <c r="B55" s="3315"/>
      <c r="C55" s="3315"/>
      <c r="D55" s="12">
        <f ca="1">IF(H55="个人住宅",0,ROUND(D45*I55,0))</f>
        <v>18</v>
      </c>
      <c r="E55" s="1256" t="s">
        <v>1346</v>
      </c>
      <c r="F55" s="2338" t="str">
        <f>IF(H55="正常",I55,"免征")</f>
        <v>免征</v>
      </c>
      <c r="G55" s="2339"/>
      <c r="H55" s="2335"/>
      <c r="I55" s="157">
        <f>'数据-取费表'!B49</f>
        <v>5.0000000000000001E-4</v>
      </c>
      <c r="J55" s="2308">
        <f>IF(H59="非个人房产","",4)</f>
        <v>4</v>
      </c>
      <c r="K55" s="3364" t="str">
        <f>IF(H59="非个人房产","——","个人所得税")</f>
        <v>个人所得税</v>
      </c>
      <c r="L55" s="3364"/>
      <c r="M55" s="2313">
        <f ca="1">D59</f>
        <v>342</v>
      </c>
      <c r="N55" s="1883" t="str">
        <f>E59</f>
        <v>差额计税</v>
      </c>
      <c r="O55" s="2314">
        <f>F59</f>
        <v>0.01</v>
      </c>
    </row>
    <row r="56" spans="1:35" ht="24.75">
      <c r="A56" s="3314" t="s">
        <v>1347</v>
      </c>
      <c r="B56" s="3315"/>
      <c r="C56" s="3315"/>
      <c r="D56" s="12">
        <f ca="1">IF(H56="个人住宅",D57,D58)</f>
        <v>20346</v>
      </c>
      <c r="E56" s="1256" t="s">
        <v>1348</v>
      </c>
      <c r="F56" s="2338" t="str">
        <f>IF(H56="正常",F58,"免征")</f>
        <v>免征</v>
      </c>
      <c r="G56" s="2341" t="s">
        <v>1349</v>
      </c>
      <c r="H56" s="2342"/>
      <c r="I56" s="1670"/>
      <c r="J56" s="2308" t="str">
        <f>IF(项目基本情况!K6="上海银行",IF(J55="",4,J55+1),"")</f>
        <v/>
      </c>
      <c r="K56" s="3387" t="str">
        <f>IF(项目基本情况!K6="上海银行","其他处置费用","")</f>
        <v/>
      </c>
      <c r="L56" s="3388"/>
      <c r="M56" s="2310" t="str">
        <f>IF(项目基本情况!K6="上海银行",M69,"")</f>
        <v/>
      </c>
      <c r="N56" s="3387" t="str">
        <f>IF(项目基本情况!K6="上海银行","包含处置中涉及的律师、诉讼、拍卖、评估等费用","")</f>
        <v/>
      </c>
      <c r="O56" s="3390"/>
    </row>
    <row r="57" spans="1:35" ht="12.75">
      <c r="A57" s="2153" t="s">
        <v>1325</v>
      </c>
      <c r="B57" s="3325" t="s">
        <v>1350</v>
      </c>
      <c r="C57" s="3326"/>
      <c r="D57" s="1478">
        <v>0</v>
      </c>
      <c r="E57" s="316" t="s">
        <v>1327</v>
      </c>
      <c r="F57" s="294"/>
      <c r="G57" s="2339"/>
      <c r="H57" s="2343"/>
      <c r="I57" s="1670"/>
      <c r="J57" s="3364">
        <f>IF(AND(J55="",J56=""),4,IF(项目基本情况!K6="上海银行",结果表!J56+1,结果表!J55+1))</f>
        <v>5</v>
      </c>
      <c r="K57" s="3364" t="s">
        <v>1351</v>
      </c>
      <c r="L57" s="2315" t="s">
        <v>1352</v>
      </c>
      <c r="M57" s="2316"/>
      <c r="N57" s="2317">
        <f ca="1">SUMIF(M52:M56,"&lt;9e307")</f>
        <v>20706</v>
      </c>
      <c r="O57" s="2318"/>
      <c r="P57" s="2463">
        <f ca="1">N57/M49</f>
        <v>0.57692950682641408</v>
      </c>
    </row>
    <row r="58" spans="1:35" ht="24.75">
      <c r="A58" s="2153" t="s">
        <v>1336</v>
      </c>
      <c r="B58" s="3325" t="s">
        <v>1353</v>
      </c>
      <c r="C58" s="3299"/>
      <c r="D58" s="12">
        <f ca="1">IF(H58="转让取得",C81,C97)</f>
        <v>20346</v>
      </c>
      <c r="E58" s="1256" t="s">
        <v>1348</v>
      </c>
      <c r="F58" s="294" t="s">
        <v>28</v>
      </c>
      <c r="G58" s="2339"/>
      <c r="H58" s="2342"/>
      <c r="I58" s="1670"/>
      <c r="J58" s="3364"/>
      <c r="K58" s="3364"/>
      <c r="L58" s="2315" t="s">
        <v>1354</v>
      </c>
      <c r="M58" s="2319"/>
      <c r="N58" s="2320" t="str">
        <f ca="1">NUMBERSTRING(INT(N57*10000),2)&amp;"元整"</f>
        <v>贰亿零柒佰零陆万元整</v>
      </c>
      <c r="O58" s="2321"/>
    </row>
    <row r="59" spans="1:35" ht="24.75" thickBot="1">
      <c r="A59" s="3367" t="s">
        <v>1355</v>
      </c>
      <c r="B59" s="3368"/>
      <c r="C59" s="3368"/>
      <c r="D59" s="2344">
        <f ca="1">IF(H59="非个人房产","——",IF(H59="个人住宅（满五唯一有凭证）",0,IF(H59="个人其他（无凭证）",ROUND(D45*F59,0),ROUND(C67*F59,0))))</f>
        <v>342</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1349</v>
      </c>
      <c r="H59" s="2138"/>
      <c r="I59" s="2137" t="s">
        <v>2121</v>
      </c>
      <c r="J59" s="3365">
        <f>J57+1</f>
        <v>6</v>
      </c>
      <c r="K59" s="3364" t="s">
        <v>1356</v>
      </c>
      <c r="L59" s="2308" t="s">
        <v>1352</v>
      </c>
      <c r="M59" s="2322"/>
      <c r="N59" s="2323">
        <f ca="1">M49-N57</f>
        <v>15184</v>
      </c>
      <c r="O59" s="2324"/>
    </row>
    <row r="60" spans="1:35" ht="12" customHeight="1">
      <c r="A60" s="1671"/>
      <c r="B60" s="646"/>
      <c r="C60" s="646"/>
      <c r="D60" s="646"/>
      <c r="E60" s="1466"/>
      <c r="F60" s="1670"/>
      <c r="G60" s="1670"/>
      <c r="H60" s="151"/>
      <c r="I60" s="121"/>
      <c r="J60" s="3366"/>
      <c r="K60" s="3364"/>
      <c r="L60" s="2315" t="s">
        <v>1354</v>
      </c>
      <c r="M60" s="2319"/>
      <c r="N60" s="2320" t="str">
        <f ca="1">NUMBERSTRING(INT(N59*10000),2)&amp;"元整"</f>
        <v>壹亿伍仟壹佰捌拾肆万元整</v>
      </c>
      <c r="O60" s="2321"/>
    </row>
    <row r="61" spans="1:35" ht="13.5" thickBot="1">
      <c r="A61" s="3312" t="s">
        <v>1357</v>
      </c>
      <c r="B61" s="3312"/>
      <c r="C61" s="3312"/>
      <c r="D61" s="3312"/>
      <c r="E61" s="3312"/>
      <c r="F61" s="1670"/>
      <c r="G61" s="1670"/>
      <c r="H61" s="151"/>
      <c r="I61" s="121"/>
      <c r="J61" s="2308">
        <f>J59+1</f>
        <v>7</v>
      </c>
      <c r="K61" s="3364" t="s">
        <v>1358</v>
      </c>
      <c r="L61" s="3364"/>
      <c r="M61" s="2325"/>
      <c r="N61" s="2326">
        <f ca="1">ROUND(N59*10000/'数据-汇总表'!E3,0)</f>
        <v>2267</v>
      </c>
      <c r="O61" s="2327"/>
    </row>
    <row r="62" spans="1:35" ht="12.75">
      <c r="A62" s="3330" t="s">
        <v>1359</v>
      </c>
      <c r="B62" s="3331"/>
      <c r="C62" s="1865"/>
      <c r="D62" s="1865" t="s">
        <v>1360</v>
      </c>
      <c r="E62" s="158" t="s">
        <v>1361</v>
      </c>
      <c r="F62" s="1670"/>
      <c r="G62" s="1670"/>
      <c r="H62" s="151"/>
      <c r="I62" s="121"/>
    </row>
    <row r="63" spans="1:35" ht="12.75">
      <c r="A63" s="165" t="s">
        <v>330</v>
      </c>
      <c r="B63" s="159" t="s">
        <v>1362</v>
      </c>
      <c r="C63" s="2348">
        <f ca="1">ROUND((C64+C65)/(1+'数据-取费表'!C42),0)</f>
        <v>34181</v>
      </c>
      <c r="D63" s="159"/>
      <c r="E63" s="160"/>
      <c r="F63" s="1670"/>
      <c r="G63" s="1670"/>
      <c r="H63" s="151"/>
      <c r="I63" s="121"/>
      <c r="J63" s="3389" t="s">
        <v>1363</v>
      </c>
      <c r="K63" s="1245" t="s">
        <v>1364</v>
      </c>
      <c r="L63" s="1245">
        <f ca="1">IF(M49&gt;10000,M49*0.5%,IF(AND(M49&gt;1000,M49&lt;=10000),M49*1%,IF(AND(M49&gt;100,M49&lt;=1000),M49*3%,IF(AND(M49&gt;10,M49&lt;=100),M49*5%,M49*8%))))</f>
        <v>179.45000000000002</v>
      </c>
      <c r="M63" s="294">
        <f ca="1">ROUND(L63,1)</f>
        <v>179.5</v>
      </c>
      <c r="N63" s="2328"/>
      <c r="Z63" s="1623"/>
      <c r="AI63" s="1561"/>
    </row>
    <row r="64" spans="1:35" ht="14.25" customHeight="1">
      <c r="A64" s="161" t="s">
        <v>325</v>
      </c>
      <c r="B64" s="162" t="s">
        <v>1365</v>
      </c>
      <c r="C64" s="2349">
        <f ca="1">D45</f>
        <v>35890</v>
      </c>
      <c r="D64" s="162" t="s">
        <v>26</v>
      </c>
      <c r="E64" s="164"/>
      <c r="F64" s="1670"/>
      <c r="G64" s="1670"/>
      <c r="H64" s="151"/>
      <c r="I64" s="121"/>
      <c r="J64" s="3389"/>
      <c r="K64" s="1245" t="s">
        <v>1366</v>
      </c>
      <c r="L64" s="1245">
        <f ca="1">IF(M49&gt;2000,M49*0.5%,IF(AND(M49&gt;1000,M49&lt;=2000),M49*0.6%,IF(AND(M49&gt;500,M49&lt;=1000),M49*0.7%,IF(AND(M49&gt;200,M49&lt;=500),M49*0.8%,IF(AND(M49&gt;100,M49&lt;=200),M49*0.9%,IF(AND(M49&gt;50,M49&lt;=100),M49*1%,IF(AND(M49&gt;20,M49&lt;=50),M49*1.5%,IF(AND(M49&gt;10,M49&lt;=20),M49*2%,IF(AND(M49&gt;1,M49&lt;=10),M49*2.5%)))))))))</f>
        <v>179.45000000000002</v>
      </c>
      <c r="M64" s="294">
        <f t="shared" ref="M64:M65" ca="1" si="1">ROUND(L64,1)</f>
        <v>179.5</v>
      </c>
      <c r="N64" s="2329" t="s">
        <v>1367</v>
      </c>
      <c r="Z64" s="1623"/>
      <c r="AI64" s="1561"/>
    </row>
    <row r="65" spans="1:35" ht="14.25" customHeight="1">
      <c r="A65" s="161" t="s">
        <v>326</v>
      </c>
      <c r="B65" s="162" t="s">
        <v>1368</v>
      </c>
      <c r="C65" s="2350"/>
      <c r="D65" s="162"/>
      <c r="E65" s="164"/>
      <c r="F65" s="1670"/>
      <c r="G65" s="1670"/>
      <c r="H65" s="151"/>
      <c r="I65" s="121"/>
      <c r="J65" s="3389"/>
      <c r="K65" s="1245" t="s">
        <v>1369</v>
      </c>
      <c r="L65" s="1245">
        <f ca="1">IF(M49&gt;1000,M49*0.1%,IF(AND(M49&gt;500,M49&lt;=1000),M49*0.5%,IF(AND(M49&gt;50,M49&lt;=500),M49*1%,IF(AND(M49&gt;1,M49&lt;=50),M49*1.5%))))</f>
        <v>35.89</v>
      </c>
      <c r="M65" s="294">
        <f t="shared" ca="1" si="1"/>
        <v>35.9</v>
      </c>
      <c r="N65" s="2329" t="s">
        <v>1367</v>
      </c>
      <c r="Z65" s="1623"/>
      <c r="AI65" s="1561"/>
    </row>
    <row r="66" spans="1:35" ht="14.25" customHeight="1">
      <c r="A66" s="165" t="s">
        <v>327</v>
      </c>
      <c r="B66" s="166" t="s">
        <v>1370</v>
      </c>
      <c r="C66" s="2351"/>
      <c r="D66" s="166" t="s">
        <v>26</v>
      </c>
      <c r="E66" s="1251" t="s">
        <v>655</v>
      </c>
      <c r="F66" s="1670"/>
      <c r="G66" s="1670"/>
      <c r="H66" s="151"/>
      <c r="I66" s="121"/>
      <c r="J66" s="3389"/>
      <c r="K66" s="1245" t="s">
        <v>1371</v>
      </c>
      <c r="L66" s="1245">
        <f ca="1">M49*0.5%</f>
        <v>179.45000000000002</v>
      </c>
      <c r="M66" s="294">
        <f ca="1">IF(L66&gt;0.5,0.5,ROUND(L66,0))</f>
        <v>0.5</v>
      </c>
      <c r="N66" s="2329" t="s">
        <v>1372</v>
      </c>
      <c r="Z66" s="1623"/>
      <c r="AI66" s="1561"/>
    </row>
    <row r="67" spans="1:35" ht="14.25" customHeight="1">
      <c r="A67" s="165" t="s">
        <v>328</v>
      </c>
      <c r="B67" s="166" t="s">
        <v>1373</v>
      </c>
      <c r="C67" s="2352">
        <f ca="1">C63-C66</f>
        <v>34181</v>
      </c>
      <c r="D67" s="162" t="s">
        <v>26</v>
      </c>
      <c r="E67" s="164"/>
      <c r="F67" s="1670"/>
      <c r="G67" s="1670"/>
      <c r="H67" s="151"/>
      <c r="I67" s="121"/>
      <c r="J67" s="3389"/>
      <c r="K67" s="1245" t="s">
        <v>1374</v>
      </c>
      <c r="L67" s="1245">
        <f ca="1">IF(M49&gt;=10000,(8.25+(M49-10000)*0.01%),IF(AND(M49&gt;=8000,M49&lt;10000),(7.85+(M49-8000)*0.02%),IF(AND(M49&gt;=5000,M49&lt;8000),(6.65+(M49-5000)*0.04%),IF(AND(M49&gt;=2000,M49&lt;5000),(4.25+(PM49-2000)*0.08%),IF(AND(M49&gt;=1000,M49&lt;2000),(2.75+(M49-1000)*0.15%),IF(AND(M49&gt;=100,M49&lt;1000),(0.5+(M49-100)*0.25%),IF(AND(M49&gt;0,M49&lt;100),M49*0.5%)))))))</f>
        <v>10.839</v>
      </c>
      <c r="M67" s="294">
        <f ca="1">ROUND(L67*0.9,1)</f>
        <v>9.8000000000000007</v>
      </c>
      <c r="N67" s="2328"/>
      <c r="Z67" s="1623"/>
      <c r="AI67" s="1561"/>
    </row>
    <row r="68" spans="1:35" ht="14.25" customHeight="1" thickBot="1">
      <c r="A68" s="168" t="s">
        <v>329</v>
      </c>
      <c r="B68" s="169" t="s">
        <v>1375</v>
      </c>
      <c r="C68" s="2353">
        <f ca="1">IF(C67&lt;=0,0,ROUND(C67*D68,0))</f>
        <v>1880</v>
      </c>
      <c r="D68" s="2354">
        <f>'数据-取费表'!B41</f>
        <v>5.5000000000000007E-2</v>
      </c>
      <c r="E68" s="170"/>
      <c r="F68" s="1670"/>
      <c r="G68" s="1670"/>
      <c r="H68" s="151"/>
      <c r="I68" s="121"/>
      <c r="J68" s="3389"/>
      <c r="K68" s="1245" t="s">
        <v>1376</v>
      </c>
      <c r="L68" s="1245">
        <f ca="1">IF(M49&gt;10000,M49*0.5%,IF(AND(M49&gt;5000,M49&lt;=10000),M49*1%,IF(AND(M49&gt;1000,M49&lt;=5000),M49*2%,IF(AND(M49&gt;200,M49&lt;=1000),M49*3%,M49*5%))))</f>
        <v>179.45000000000002</v>
      </c>
      <c r="M68" s="294">
        <f ca="1">ROUND(L68,1)</f>
        <v>179.5</v>
      </c>
      <c r="N68" s="2328"/>
      <c r="Z68" s="1623"/>
      <c r="AI68" s="1561"/>
    </row>
    <row r="69" spans="1:35" ht="16.5" customHeight="1">
      <c r="A69" s="1672"/>
      <c r="B69" s="1673"/>
      <c r="C69" s="1674"/>
      <c r="D69" s="1675"/>
      <c r="E69" s="1676"/>
      <c r="F69" s="1466"/>
      <c r="G69" s="1466"/>
      <c r="H69" s="1467"/>
      <c r="I69" s="646"/>
      <c r="J69" s="3389"/>
      <c r="K69" s="1245" t="s">
        <v>1377</v>
      </c>
      <c r="L69" s="1245"/>
      <c r="M69" s="294">
        <f ca="1">ROUND(SUM(M63:M68),0)</f>
        <v>585</v>
      </c>
      <c r="N69" s="2330">
        <f ca="1">M69/M49</f>
        <v>1.6299804959598773E-2</v>
      </c>
      <c r="Z69" s="1623"/>
      <c r="AI69" s="1561"/>
    </row>
    <row r="70" spans="1:35" s="642" customFormat="1" ht="15" thickBot="1">
      <c r="A70" s="3351" t="s">
        <v>1378</v>
      </c>
      <c r="B70" s="3352"/>
      <c r="C70" s="3352"/>
      <c r="D70" s="3352"/>
      <c r="E70" s="3352"/>
      <c r="F70" s="3352"/>
      <c r="G70" s="3352"/>
      <c r="H70" s="3352"/>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330" t="s">
        <v>1359</v>
      </c>
      <c r="B71" s="3331"/>
      <c r="C71" s="1865"/>
      <c r="D71" s="1865" t="s">
        <v>1360</v>
      </c>
      <c r="E71" s="171" t="s">
        <v>1361</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1379</v>
      </c>
      <c r="C72" s="2352">
        <f ca="1">ROUND(D45/(1+'数据-取费表'!C42),0)</f>
        <v>34181</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1380</v>
      </c>
      <c r="C73" s="2352">
        <f ca="1">C74+C78</f>
        <v>171</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1381</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1382</v>
      </c>
      <c r="C75" s="2355"/>
      <c r="D75" s="162" t="s">
        <v>26</v>
      </c>
      <c r="E75" s="176" t="s">
        <v>1383</v>
      </c>
      <c r="F75" s="2356"/>
      <c r="G75" s="176" t="s">
        <v>1384</v>
      </c>
      <c r="H75" s="2357"/>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1385</v>
      </c>
      <c r="C76" s="162">
        <f>IF(F75="购房发票",ROUND(C75*H75*D76,0),0)</f>
        <v>0</v>
      </c>
      <c r="D76" s="2358">
        <v>0.05</v>
      </c>
      <c r="E76" s="3325" t="s">
        <v>1386</v>
      </c>
      <c r="F76" s="3299"/>
      <c r="G76" s="3299"/>
      <c r="H76" s="3350"/>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1387</v>
      </c>
      <c r="C77" s="162">
        <f>ROUND(IF(G77="个人住宅",0,IF(G77="2016年5月1日前购买",C75*D77,C75*D77/(1+'数据-取费表'!C42))),0)</f>
        <v>0</v>
      </c>
      <c r="D77" s="2359">
        <f>'数据-取费表'!B48+'数据-取费表'!B49</f>
        <v>3.0499999999999999E-2</v>
      </c>
      <c r="E77" s="12" t="s">
        <v>1388</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1389</v>
      </c>
      <c r="C78" s="2360">
        <f ca="1">ROUND(D45*D78/(1+'数据-取费表'!C42),0)</f>
        <v>171</v>
      </c>
      <c r="D78" s="2361">
        <f>'数据-取费表'!B43</f>
        <v>5.000000000000001E-3</v>
      </c>
      <c r="E78" s="3309" t="s">
        <v>1390</v>
      </c>
      <c r="F78" s="3310"/>
      <c r="G78" s="3310"/>
      <c r="H78" s="3319"/>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1391</v>
      </c>
      <c r="C79" s="2352">
        <f ca="1">C72-C73</f>
        <v>34010</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1392</v>
      </c>
      <c r="C80" s="2362">
        <f ca="1">IF(C79&lt;=0,0,C79/C73)</f>
        <v>198.88888888888889</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1393</v>
      </c>
      <c r="C81" s="2363">
        <f ca="1">ROUND(IF(C79&lt;=0,0,IF(C80&gt;=200%,C79*60%-C73*35%,IF(C80&gt;=100%,C79*50%-C73*15%,IF(C80&gt;=50%,C79*40%-C73*5%,IF(C80&lt;50%,C79*30%,0))))),0)</f>
        <v>20346</v>
      </c>
      <c r="D81" s="2364"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351" t="s">
        <v>1394</v>
      </c>
      <c r="B83" s="3352"/>
      <c r="C83" s="3352"/>
      <c r="D83" s="3352"/>
      <c r="E83" s="3352"/>
      <c r="F83" s="3352"/>
      <c r="G83" s="3352"/>
      <c r="H83" s="3352"/>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330" t="s">
        <v>1359</v>
      </c>
      <c r="B84" s="3331"/>
      <c r="C84" s="1865"/>
      <c r="D84" s="1865" t="s">
        <v>1360</v>
      </c>
      <c r="E84" s="171" t="s">
        <v>1361</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1379</v>
      </c>
      <c r="C85" s="2352">
        <f ca="1">ROUND(D45/(1+'数据-取费表'!C42),0)</f>
        <v>34181</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1380</v>
      </c>
      <c r="C86" s="2352">
        <f ca="1">IF(H88="仅含出让金",C87+C90+C91+C92+C93+C94,C87+C91+C92+C93+C94)</f>
        <v>171</v>
      </c>
      <c r="D86" s="2365"/>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1395</v>
      </c>
      <c r="C87" s="2360">
        <f>C88+C89</f>
        <v>0</v>
      </c>
      <c r="D87" s="2361"/>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1396</v>
      </c>
      <c r="C88" s="2366"/>
      <c r="D88" s="2361"/>
      <c r="E88" s="185" t="s">
        <v>1397</v>
      </c>
      <c r="F88" s="2148"/>
      <c r="G88" s="186" t="s">
        <v>1398</v>
      </c>
      <c r="H88" s="1684"/>
      <c r="I88" s="1681"/>
      <c r="J88" s="2306" t="s">
        <v>2263</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1387</v>
      </c>
      <c r="C89" s="2360">
        <f>ROUND(C88*D89,0)</f>
        <v>0</v>
      </c>
      <c r="D89" s="2361">
        <f>'数据-取费表'!B48+'数据-取费表'!B49</f>
        <v>3.0499999999999999E-2</v>
      </c>
      <c r="E89" s="185" t="s">
        <v>1399</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1400</v>
      </c>
      <c r="C90" s="2366"/>
      <c r="D90" s="2361"/>
      <c r="E90" s="185" t="str">
        <f>IF(H88="-","土地取得成本中已包含该笔费用"," ")</f>
        <v xml:space="preserve"> </v>
      </c>
      <c r="F90" s="2148"/>
      <c r="G90" s="3391" t="s">
        <v>2113</v>
      </c>
      <c r="H90" s="3392"/>
      <c r="I90" s="1681"/>
      <c r="J90" s="2306" t="s">
        <v>2264</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1401</v>
      </c>
      <c r="B91" s="162" t="s">
        <v>1402</v>
      </c>
      <c r="C91" s="2360">
        <f>IF(H91="——",成本法!C33,I91)</f>
        <v>0</v>
      </c>
      <c r="D91" s="2361"/>
      <c r="E91" s="3309" t="s">
        <v>1403</v>
      </c>
      <c r="F91" s="3310"/>
      <c r="G91" s="3310"/>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1404</v>
      </c>
      <c r="B92" s="162" t="s">
        <v>1405</v>
      </c>
      <c r="C92" s="2360">
        <f>ROUND((C87+C90+C91)*D92,0)</f>
        <v>0</v>
      </c>
      <c r="D92" s="2367"/>
      <c r="E92" s="3309" t="s">
        <v>1406</v>
      </c>
      <c r="F92" s="3310"/>
      <c r="G92" s="3310"/>
      <c r="H92" s="3319"/>
      <c r="I92" s="1681"/>
      <c r="J92" s="2307" t="s">
        <v>2265</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1407</v>
      </c>
      <c r="B93" s="162" t="s">
        <v>1389</v>
      </c>
      <c r="C93" s="2360">
        <f ca="1">ROUND(D45*D93/(1+'数据-取费表'!C42),0)</f>
        <v>171</v>
      </c>
      <c r="D93" s="2361">
        <f>'数据-取费表'!B43</f>
        <v>5.000000000000001E-3</v>
      </c>
      <c r="E93" s="3309" t="s">
        <v>1390</v>
      </c>
      <c r="F93" s="3310"/>
      <c r="G93" s="3310"/>
      <c r="H93" s="3319"/>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1408</v>
      </c>
      <c r="B94" s="162" t="s">
        <v>1409</v>
      </c>
      <c r="C94" s="2366">
        <f>ROUND((C87+C90+C91)*D94,0)</f>
        <v>0</v>
      </c>
      <c r="D94" s="2361">
        <v>0.2</v>
      </c>
      <c r="E94" s="3320" t="s">
        <v>1410</v>
      </c>
      <c r="F94" s="3321"/>
      <c r="G94" s="3321"/>
      <c r="H94" s="3322"/>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1391</v>
      </c>
      <c r="C95" s="2352">
        <f ca="1">ROUND(C85-C86,0)</f>
        <v>34010</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1392</v>
      </c>
      <c r="C96" s="2362">
        <f ca="1">IF(C95&lt;=0,0,C95/C86)</f>
        <v>198.88888888888889</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1393</v>
      </c>
      <c r="C97" s="2363">
        <f ca="1">ROUND(IF(C95&lt;=0,0,IF(C96&gt;=200%,C95*60%-C86*35%,IF(C96&gt;=100%,C95*50%-C86*15%,IF(C96&gt;=50%,C95*40%-C86*5%,IF(C96&lt;50%,C95*30%,0))))),0)</f>
        <v>20346</v>
      </c>
      <c r="D97" s="2364"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1411</v>
      </c>
      <c r="B99" s="646"/>
      <c r="C99" s="646"/>
      <c r="D99" s="646"/>
      <c r="E99" s="1466"/>
      <c r="F99" s="1466"/>
      <c r="G99" s="1466"/>
      <c r="H99" s="1467"/>
      <c r="I99" s="121"/>
    </row>
    <row r="100" spans="1:35" ht="18.75" customHeight="1">
      <c r="A100" s="3293" t="s">
        <v>1412</v>
      </c>
      <c r="B100" s="3294"/>
      <c r="C100" s="3294"/>
      <c r="D100" s="3311"/>
      <c r="E100" s="3294" t="s">
        <v>1413</v>
      </c>
      <c r="F100" s="3294"/>
      <c r="G100" s="3294"/>
      <c r="H100" s="3311"/>
      <c r="I100" s="121"/>
    </row>
    <row r="101" spans="1:35" ht="18.75" customHeight="1">
      <c r="A101" s="3372" t="s">
        <v>1414</v>
      </c>
      <c r="B101" s="3373"/>
      <c r="C101" s="2369" t="str">
        <f>C4</f>
        <v>成本法</v>
      </c>
      <c r="D101" s="2370" t="str">
        <f>D4</f>
        <v>收益法</v>
      </c>
      <c r="E101" s="3386" t="s">
        <v>1415</v>
      </c>
      <c r="F101" s="3343"/>
      <c r="G101" s="1687" t="s">
        <v>1416</v>
      </c>
      <c r="H101" s="2379">
        <f ca="1">H118</f>
        <v>35890</v>
      </c>
      <c r="I101" s="121"/>
    </row>
    <row r="102" spans="1:35" ht="18.75" customHeight="1">
      <c r="A102" s="3345" t="s">
        <v>1417</v>
      </c>
      <c r="B102" s="2368" t="s">
        <v>1416</v>
      </c>
      <c r="C102" s="2369">
        <f ca="1">IF(D32="楼面单价",ROUND(C19,0),C19)</f>
        <v>33658</v>
      </c>
      <c r="D102" s="2370">
        <f ca="1">IF(D32="楼面单价",ROUND(D19,0),D19)</f>
        <v>38122</v>
      </c>
      <c r="E102" s="3386"/>
      <c r="F102" s="3343"/>
      <c r="G102" s="1687" t="s">
        <v>1418</v>
      </c>
      <c r="H102" s="2339">
        <f ca="1">I118</f>
        <v>5358</v>
      </c>
      <c r="I102" s="121"/>
    </row>
    <row r="103" spans="1:35" ht="42.75" customHeight="1">
      <c r="A103" s="3345"/>
      <c r="B103" s="2368" t="s">
        <v>1418</v>
      </c>
      <c r="C103" s="2371">
        <f ca="1">C20</f>
        <v>5024</v>
      </c>
      <c r="D103" s="2372">
        <f ca="1">D20</f>
        <v>5691</v>
      </c>
      <c r="E103" s="3380" t="s">
        <v>1419</v>
      </c>
      <c r="F103" s="3381"/>
      <c r="G103" s="1688" t="s">
        <v>1420</v>
      </c>
      <c r="H103" s="2379">
        <f>IF(D36="正常操作",H104+H105+H106,H105+H106)</f>
        <v>0</v>
      </c>
      <c r="I103" s="121"/>
    </row>
    <row r="104" spans="1:35" ht="18.75" customHeight="1">
      <c r="A104" s="3345" t="s">
        <v>1421</v>
      </c>
      <c r="B104" s="2373" t="s">
        <v>1416</v>
      </c>
      <c r="C104" s="2374">
        <f ca="1">H118</f>
        <v>35890</v>
      </c>
      <c r="D104" s="2375"/>
      <c r="E104" s="1555" t="s">
        <v>1422</v>
      </c>
      <c r="F104" s="1548"/>
      <c r="G104" s="1688" t="s">
        <v>1420</v>
      </c>
      <c r="H104" s="2380">
        <f>IF(D36="同一抵押权人同一抵押物续贷",C36&amp;"（续贷，未扣减，详见特别提示）",C36)</f>
        <v>0</v>
      </c>
      <c r="I104" s="121"/>
    </row>
    <row r="105" spans="1:35" ht="18.75" customHeight="1" thickBot="1">
      <c r="A105" s="3346"/>
      <c r="B105" s="2376" t="s">
        <v>1418</v>
      </c>
      <c r="C105" s="2377">
        <f ca="1">I118</f>
        <v>5358</v>
      </c>
      <c r="D105" s="2378"/>
      <c r="E105" s="1555" t="s">
        <v>1423</v>
      </c>
      <c r="F105" s="1548"/>
      <c r="G105" s="1688" t="s">
        <v>1420</v>
      </c>
      <c r="H105" s="2381">
        <f>C37</f>
        <v>0</v>
      </c>
      <c r="I105" s="121"/>
    </row>
    <row r="106" spans="1:35" ht="18.75" customHeight="1">
      <c r="A106" s="646" t="s">
        <v>1424</v>
      </c>
      <c r="B106" s="646"/>
      <c r="C106" s="646"/>
      <c r="D106" s="646"/>
      <c r="E106" s="1689" t="s">
        <v>1425</v>
      </c>
      <c r="F106" s="1548"/>
      <c r="G106" s="1688" t="s">
        <v>1420</v>
      </c>
      <c r="H106" s="2381">
        <f>C38</f>
        <v>0</v>
      </c>
      <c r="I106" s="121"/>
    </row>
    <row r="107" spans="1:35" ht="18.75" customHeight="1">
      <c r="A107" s="121"/>
      <c r="B107" s="121"/>
      <c r="C107" s="121"/>
      <c r="D107" s="121"/>
      <c r="E107" s="3342" t="str">
        <f>IF(项目基本情况!E8="已注销","——","3.房地产抵押价值")</f>
        <v>3.房地产抵押价值</v>
      </c>
      <c r="F107" s="3343"/>
      <c r="G107" s="1687" t="s">
        <v>1416</v>
      </c>
      <c r="H107" s="2379">
        <f ca="1">IF(E107="——","——",H101-H103)</f>
        <v>35890</v>
      </c>
      <c r="I107" s="121"/>
    </row>
    <row r="108" spans="1:35" ht="18.75" customHeight="1">
      <c r="A108" s="121"/>
      <c r="B108" s="121"/>
      <c r="C108" s="121"/>
      <c r="D108" s="121"/>
      <c r="E108" s="3342"/>
      <c r="F108" s="3343"/>
      <c r="G108" s="1687" t="s">
        <v>1418</v>
      </c>
      <c r="H108" s="2339">
        <f ca="1">IF(H107=H101,H102,ROUND(H107*10000/'数据-汇总表'!E3,0))</f>
        <v>5358</v>
      </c>
      <c r="I108" s="121"/>
    </row>
    <row r="109" spans="1:35" ht="18.75" customHeight="1">
      <c r="A109" s="121"/>
      <c r="B109" s="121"/>
      <c r="C109" s="121"/>
      <c r="D109" s="121"/>
      <c r="E109" s="3342" t="str">
        <f>IF(项目基本情况!E8="已注销及未注销","4.抵押担保权已注销时的房地产抵押价值",IF(项目基本情况!E8="已注销","3.抵押担保权已注销时的房地产抵押价值","——"))</f>
        <v>——</v>
      </c>
      <c r="F109" s="3343"/>
      <c r="G109" s="1687" t="s">
        <v>1416</v>
      </c>
      <c r="H109" s="2382" t="str">
        <f>IF(E109="——","——",H101-H105-H106)</f>
        <v>——</v>
      </c>
      <c r="I109" s="121"/>
    </row>
    <row r="110" spans="1:35" ht="18.75" customHeight="1">
      <c r="A110" s="121"/>
      <c r="B110" s="121"/>
      <c r="C110" s="121"/>
      <c r="D110" s="121"/>
      <c r="E110" s="3342"/>
      <c r="F110" s="3343"/>
      <c r="G110" s="1687" t="s">
        <v>1418</v>
      </c>
      <c r="H110" s="2339" t="str">
        <f>IF(H109="——","——",ROUND(H109*10000/'数据-汇总表'!E3,0))</f>
        <v>——</v>
      </c>
      <c r="I110" s="121"/>
    </row>
    <row r="111" spans="1:35" ht="18.75" customHeight="1">
      <c r="A111" s="121"/>
      <c r="B111" s="121"/>
      <c r="C111" s="121"/>
      <c r="D111" s="121"/>
      <c r="E111" s="3374" t="str">
        <f>IF(项目基本情况!E9="抵押净值",IF(OR(项目基本情况!E8="已注销",项目基本情况!E8="房地产抵押价值"),"4.抵押净值","5.抵押净值"),"——")</f>
        <v>——</v>
      </c>
      <c r="F111" s="3344"/>
      <c r="G111" s="1687" t="s">
        <v>1416</v>
      </c>
      <c r="H111" s="2379" t="str">
        <f>IF(E111="——","——",N59)</f>
        <v>——</v>
      </c>
      <c r="I111" s="121"/>
    </row>
    <row r="112" spans="1:35" ht="18.75" customHeight="1" thickBot="1">
      <c r="A112" s="121"/>
      <c r="B112" s="121"/>
      <c r="C112" s="121"/>
      <c r="D112" s="121"/>
      <c r="E112" s="3375"/>
      <c r="F112" s="3376"/>
      <c r="G112" s="1690" t="s">
        <v>1418</v>
      </c>
      <c r="H112" s="2383" t="str">
        <f>IF(E111="——","——",N61)</f>
        <v>——</v>
      </c>
      <c r="I112" s="121"/>
    </row>
    <row r="113" spans="1:27" ht="18.75" customHeight="1">
      <c r="A113" s="121"/>
      <c r="B113" s="121"/>
      <c r="C113" s="121"/>
      <c r="D113" s="121"/>
      <c r="E113" s="3347" t="s">
        <v>1424</v>
      </c>
      <c r="F113" s="3347"/>
      <c r="G113" s="3347"/>
      <c r="H113" s="3347"/>
      <c r="I113" s="121"/>
    </row>
    <row r="114" spans="1:27" ht="3.75" customHeight="1">
      <c r="A114" s="646"/>
      <c r="B114" s="646"/>
      <c r="C114" s="646"/>
      <c r="D114" s="646"/>
      <c r="E114" s="1671"/>
      <c r="F114" s="1671"/>
      <c r="G114" s="1671"/>
      <c r="H114" s="1671"/>
      <c r="I114" s="646"/>
    </row>
    <row r="115" spans="1:27" ht="18.75" customHeight="1">
      <c r="A115" s="3357" t="s">
        <v>1426</v>
      </c>
      <c r="B115" s="3358"/>
      <c r="C115" s="3358"/>
      <c r="D115" s="3358"/>
      <c r="E115" s="3358"/>
      <c r="F115" s="3358"/>
      <c r="G115" s="3358"/>
      <c r="H115" s="3358"/>
      <c r="I115" s="3359"/>
    </row>
    <row r="116" spans="1:27" ht="27" customHeight="1">
      <c r="A116" s="3313" t="s">
        <v>1427</v>
      </c>
      <c r="B116" s="3348" t="s">
        <v>1428</v>
      </c>
      <c r="C116" s="3348" t="s">
        <v>1429</v>
      </c>
      <c r="D116" s="3361" t="s">
        <v>1430</v>
      </c>
      <c r="E116" s="3362"/>
      <c r="F116" s="3356" t="s">
        <v>1431</v>
      </c>
      <c r="G116" s="3356"/>
      <c r="H116" s="3313" t="s">
        <v>1432</v>
      </c>
      <c r="I116" s="3313"/>
    </row>
    <row r="117" spans="1:27" ht="18.75" customHeight="1">
      <c r="A117" s="3313"/>
      <c r="B117" s="3349"/>
      <c r="C117" s="3349"/>
      <c r="D117" s="2150" t="s">
        <v>1433</v>
      </c>
      <c r="E117" s="2150" t="s">
        <v>1434</v>
      </c>
      <c r="F117" s="2150" t="s">
        <v>1433</v>
      </c>
      <c r="G117" s="2150" t="s">
        <v>1435</v>
      </c>
      <c r="H117" s="2150" t="s">
        <v>1433</v>
      </c>
      <c r="I117" s="2150" t="s">
        <v>1435</v>
      </c>
    </row>
    <row r="118" spans="1:27" ht="24.75" customHeight="1">
      <c r="A118" s="2384" t="str">
        <f>项目基本情况!S2</f>
        <v>北京市房地产</v>
      </c>
      <c r="B118" s="2150">
        <f>M18</f>
        <v>66988.94</v>
      </c>
      <c r="C118" s="2150">
        <f>M19</f>
        <v>120628.8</v>
      </c>
      <c r="D118" s="2150">
        <f ca="1">ROUND(IF(D32="总价",C34,E118*B118/10000),0)</f>
        <v>16904</v>
      </c>
      <c r="E118" s="2150">
        <f ca="1">ROUND(IF(C33="自定义",IF(D32="楼面单价",C34,D118*10000/B118),I118-G118),0)</f>
        <v>2524</v>
      </c>
      <c r="F118" s="2150">
        <f ca="1">ROUND(IF(D32="总价",C35,G118*B118/10000),0)</f>
        <v>18986</v>
      </c>
      <c r="G118" s="2150">
        <f ca="1">ROUND(IF(D32="楼面单价",C35,F118*10000/B118),0)</f>
        <v>2834</v>
      </c>
      <c r="H118" s="2150">
        <f ca="1">ROUND(IF(D32="总价",C32,I118*B118/10000),0)</f>
        <v>35890</v>
      </c>
      <c r="I118" s="2150">
        <f ca="1">ROUND(IF(D32="楼面单价",C32,H118*10000/B118),0)</f>
        <v>5358</v>
      </c>
    </row>
    <row r="119" spans="1:27" ht="18.75" customHeight="1">
      <c r="A119" s="3313" t="s">
        <v>1436</v>
      </c>
      <c r="B119" s="3313"/>
      <c r="C119" s="3313"/>
      <c r="D119" s="3353" t="str">
        <f ca="1">NUMBERSTRING(INT(D118*10000),2)&amp;"元整"</f>
        <v>壹亿陆仟玖佰零肆万元整</v>
      </c>
      <c r="E119" s="3355"/>
      <c r="F119" s="3353" t="str">
        <f ca="1">NUMBERSTRING(INT(F118*10000),2)&amp;"元整"</f>
        <v>壹亿捌仟玖佰捌拾陆万元整</v>
      </c>
      <c r="G119" s="3355"/>
      <c r="H119" s="3353" t="str">
        <f ca="1">NUMBERSTRING(INT(H118*10000),2)&amp;"元整"</f>
        <v>叁亿伍仟捌佰玖拾万元整</v>
      </c>
      <c r="I119" s="3355"/>
    </row>
    <row r="120" spans="1:27" ht="18.75" customHeight="1">
      <c r="A120" s="3377" t="str">
        <f>IF(项目基本情况!B9="房地产市场价值","",MID(E103,3,LEN(E103)-2))</f>
        <v>估价师知悉的法定优先受偿款</v>
      </c>
      <c r="B120" s="3378"/>
      <c r="C120" s="3379"/>
      <c r="D120" s="3377">
        <f>H103</f>
        <v>0</v>
      </c>
      <c r="E120" s="3378"/>
      <c r="F120" s="3378"/>
      <c r="G120" s="3378"/>
      <c r="H120" s="3378"/>
      <c r="I120" s="3379"/>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53" t="s">
        <v>1436</v>
      </c>
      <c r="B121" s="3354"/>
      <c r="C121" s="3355"/>
      <c r="D121" s="3353" t="str">
        <f>IF(D120=0,"零元整",NUMBERSTRING(INT(D120*10000),2)&amp;"元整")</f>
        <v>零元整</v>
      </c>
      <c r="E121" s="3354"/>
      <c r="F121" s="3354"/>
      <c r="G121" s="3354"/>
      <c r="H121" s="3354"/>
      <c r="I121" s="3355"/>
      <c r="AA121" s="684"/>
    </row>
    <row r="122" spans="1:27" ht="18.75" customHeight="1">
      <c r="A122" s="3344" t="str">
        <f>IF(项目基本情况!B9="房地产市场价值","",MID(E107,3,LEN(E107)-2))</f>
        <v>房地产抵押价值</v>
      </c>
      <c r="B122" s="3344"/>
      <c r="C122" s="3344"/>
      <c r="D122" s="3377">
        <f ca="1">H107</f>
        <v>35890</v>
      </c>
      <c r="E122" s="3378"/>
      <c r="F122" s="3378"/>
      <c r="G122" s="3378"/>
      <c r="H122" s="3378"/>
      <c r="I122" s="3379"/>
      <c r="AA122" s="684"/>
    </row>
    <row r="123" spans="1:27" ht="18.75" customHeight="1">
      <c r="A123" s="3313" t="s">
        <v>1436</v>
      </c>
      <c r="B123" s="3313"/>
      <c r="C123" s="3313"/>
      <c r="D123" s="3353" t="str">
        <f ca="1">NUMBERSTRING(INT(D122*10000),2)&amp;"元整"</f>
        <v>叁亿伍仟捌佰玖拾万元整</v>
      </c>
      <c r="E123" s="3354"/>
      <c r="F123" s="3354"/>
      <c r="G123" s="3354"/>
      <c r="H123" s="3354"/>
      <c r="I123" s="3355"/>
      <c r="AA123" s="684"/>
    </row>
    <row r="124" spans="1:27" ht="18.75" customHeight="1">
      <c r="A124" s="3344" t="str">
        <f>IF(项目基本情况!B9="房地产市场价值","",MID(E109,3,LEN(E109)-2))</f>
        <v/>
      </c>
      <c r="B124" s="3344"/>
      <c r="C124" s="3344"/>
      <c r="D124" s="3377" t="str">
        <f>H109</f>
        <v>——</v>
      </c>
      <c r="E124" s="3378"/>
      <c r="F124" s="3378"/>
      <c r="G124" s="3378"/>
      <c r="H124" s="3378"/>
      <c r="I124" s="3379"/>
      <c r="AA124" s="684"/>
    </row>
    <row r="125" spans="1:27" ht="18.75" customHeight="1">
      <c r="A125" s="3313" t="s">
        <v>1436</v>
      </c>
      <c r="B125" s="3313"/>
      <c r="C125" s="3313"/>
      <c r="D125" s="3353" t="e">
        <f>NUMBERSTRING(INT(D124*10000),2)&amp;"元整"</f>
        <v>#VALUE!</v>
      </c>
      <c r="E125" s="3354"/>
      <c r="F125" s="3354"/>
      <c r="G125" s="3354"/>
      <c r="H125" s="3354"/>
      <c r="I125" s="3355"/>
      <c r="AA125" s="684"/>
    </row>
    <row r="126" spans="1:27" ht="18.75" customHeight="1">
      <c r="A126" s="3344" t="str">
        <f>IF(项目基本情况!B9="房地产市场价值","",MID(E111,3,LEN(E111)-2))</f>
        <v/>
      </c>
      <c r="B126" s="3344"/>
      <c r="C126" s="3344"/>
      <c r="D126" s="3377" t="str">
        <f>H111</f>
        <v>——</v>
      </c>
      <c r="E126" s="3378"/>
      <c r="F126" s="3378"/>
      <c r="G126" s="3378"/>
      <c r="H126" s="3378"/>
      <c r="I126" s="3379"/>
      <c r="AA126" s="684"/>
    </row>
    <row r="127" spans="1:27" ht="18.75" customHeight="1">
      <c r="A127" s="3313" t="s">
        <v>1436</v>
      </c>
      <c r="B127" s="3313"/>
      <c r="C127" s="3313"/>
      <c r="D127" s="3353" t="e">
        <f>NUMBERSTRING(INT(D126*10000),2)&amp;"元整"</f>
        <v>#VALUE!</v>
      </c>
      <c r="E127" s="3354"/>
      <c r="F127" s="3354"/>
      <c r="G127" s="3354"/>
      <c r="H127" s="3354"/>
      <c r="I127" s="3355"/>
      <c r="AA127" s="684"/>
    </row>
    <row r="128" spans="1:27" ht="21.75" customHeight="1">
      <c r="A128" s="3360" t="s">
        <v>1437</v>
      </c>
      <c r="B128" s="3360"/>
      <c r="C128" s="3360"/>
      <c r="D128" s="3360"/>
      <c r="E128" s="3360"/>
      <c r="F128" s="3360"/>
      <c r="G128" s="3360"/>
      <c r="H128" s="3360"/>
      <c r="I128" s="3360"/>
      <c r="AA128" s="684"/>
    </row>
    <row r="129" spans="1:35" ht="21.75" customHeight="1">
      <c r="A129" s="1691" t="s">
        <v>1438</v>
      </c>
      <c r="B129" s="1692"/>
      <c r="C129" s="1693" t="s">
        <v>1439</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1440</v>
      </c>
      <c r="G135" s="1706"/>
      <c r="H135" s="1706"/>
      <c r="I135" s="1707" t="s">
        <v>1441</v>
      </c>
    </row>
    <row r="136" spans="1:35" ht="21.75" customHeight="1">
      <c r="A136" s="684"/>
      <c r="B136" s="1708" t="s">
        <v>1442</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1443</v>
      </c>
    </row>
    <row r="139" spans="1:35" ht="21.75" customHeight="1">
      <c r="A139" s="684"/>
      <c r="B139" s="1708" t="s">
        <v>1444</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1443</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 zoomScale="85" zoomScaleNormal="70" zoomScaleSheetLayoutView="85" workbookViewId="0">
      <selection activeCell="C52" sqref="C52"/>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1445</v>
      </c>
      <c r="B1" s="1374"/>
      <c r="C1" s="190"/>
      <c r="D1" s="190"/>
      <c r="E1" s="190"/>
      <c r="F1" s="190"/>
      <c r="G1" s="1062">
        <f>MATCH(B1,'数据-取费表'!A6:A16,0)+5</f>
        <v>7</v>
      </c>
    </row>
    <row r="2" spans="1:9" s="192" customFormat="1" ht="18" customHeight="1">
      <c r="A2" s="193" t="s">
        <v>1446</v>
      </c>
      <c r="B2" s="194">
        <f ca="1">IF(D2="——",C52,C52-E2)</f>
        <v>33658</v>
      </c>
      <c r="C2" s="191" t="s">
        <v>1447</v>
      </c>
      <c r="D2" s="1711" t="s">
        <v>43</v>
      </c>
      <c r="E2" s="1089" t="e">
        <f ca="1">SUMIF(INDIRECT("'"&amp;G2&amp;"'"&amp;"!A:A"),"承租人权益价值",INDIRECT("'"&amp;G2&amp;"'"&amp;"!c:c"))</f>
        <v>#REF!</v>
      </c>
      <c r="F2" s="1712" t="s">
        <v>1447</v>
      </c>
      <c r="G2" s="1713"/>
    </row>
    <row r="3" spans="1:9" s="192" customFormat="1" ht="18" customHeight="1" thickBot="1">
      <c r="A3" s="195" t="s">
        <v>1448</v>
      </c>
      <c r="B3" s="196">
        <f ca="1">ROUND(B2*10000/(IF(B1="",'数据-汇总表'!E3,INDIRECT("'数据-取费表'!k"&amp;$G$1))),0)</f>
        <v>5024</v>
      </c>
      <c r="C3" s="191" t="s">
        <v>1449</v>
      </c>
      <c r="D3" s="191"/>
      <c r="E3" s="191"/>
      <c r="F3" s="191"/>
      <c r="G3" s="191"/>
    </row>
    <row r="4" spans="1:9" s="200" customFormat="1" ht="15.75">
      <c r="A4" s="197" t="s">
        <v>1450</v>
      </c>
      <c r="B4" s="198"/>
      <c r="C4" s="198"/>
      <c r="D4" s="198"/>
      <c r="E4" s="198"/>
      <c r="F4" s="198"/>
      <c r="G4" s="199"/>
    </row>
    <row r="5" spans="1:9" s="206" customFormat="1" ht="13.5" customHeight="1">
      <c r="A5" s="247" t="s">
        <v>1451</v>
      </c>
      <c r="B5" s="202" t="s">
        <v>1452</v>
      </c>
      <c r="C5" s="203">
        <f ca="1">C6+C7+C8</f>
        <v>12366</v>
      </c>
      <c r="D5" s="203" t="s">
        <v>1453</v>
      </c>
      <c r="E5" s="204" t="s">
        <v>1454</v>
      </c>
      <c r="F5" s="204" t="s">
        <v>1455</v>
      </c>
      <c r="G5" s="205"/>
    </row>
    <row r="6" spans="1:9" s="206" customFormat="1" ht="13.5" customHeight="1">
      <c r="A6" s="732" t="s">
        <v>1456</v>
      </c>
      <c r="B6" s="207" t="s">
        <v>1457</v>
      </c>
      <c r="C6" s="208">
        <f>基准地价修正!B2</f>
        <v>10700</v>
      </c>
      <c r="D6" s="209"/>
      <c r="E6" s="210"/>
      <c r="F6" s="210"/>
      <c r="G6" s="211"/>
    </row>
    <row r="7" spans="1:9" s="206" customFormat="1" ht="13.5" customHeight="1">
      <c r="A7" s="732" t="s">
        <v>1458</v>
      </c>
      <c r="B7" s="207" t="s">
        <v>1459</v>
      </c>
      <c r="C7" s="212">
        <f>ROUND(C6*F7,0)</f>
        <v>326</v>
      </c>
      <c r="D7" s="212"/>
      <c r="E7" s="210"/>
      <c r="F7" s="213">
        <f>IF(项目基本情况!B8="出让",0,'数据-取费表'!B48+'数据-取费表'!B49)</f>
        <v>3.0499999999999999E-2</v>
      </c>
      <c r="G7" s="211"/>
    </row>
    <row r="8" spans="1:9" s="215" customFormat="1">
      <c r="A8" s="732" t="s">
        <v>1460</v>
      </c>
      <c r="B8" s="207" t="s">
        <v>1461</v>
      </c>
      <c r="C8" s="212">
        <f ca="1">IF(G8="已包含在土地购买价格中","0",IF(B1="",'数据-取费表'!B29,IF(G9="全部缴纳",C9+C10,H9)))</f>
        <v>1340</v>
      </c>
      <c r="D8" s="214"/>
      <c r="E8" s="212"/>
      <c r="F8" s="213"/>
      <c r="G8" s="1714" t="s">
        <v>3392</v>
      </c>
    </row>
    <row r="9" spans="1:9" s="206" customFormat="1" ht="13.5" customHeight="1">
      <c r="A9" s="733" t="s">
        <v>355</v>
      </c>
      <c r="B9" s="216" t="s">
        <v>1462</v>
      </c>
      <c r="C9" s="217">
        <f ca="1">ROUND(D9*E9/10000,0)</f>
        <v>0</v>
      </c>
      <c r="D9" s="795">
        <f ca="1">IF(B1="",'数据-汇总表'!E5,IF(INDIRECT("'数据-取费表'!c"&amp;$G$1)="住宅",INDIRECT("'数据-取费表'!k"&amp;$G$1),0))</f>
        <v>0</v>
      </c>
      <c r="E9" s="217">
        <f>'数据-取费表'!B27</f>
        <v>160</v>
      </c>
      <c r="F9" s="213"/>
      <c r="G9" s="1715" t="s">
        <v>3393</v>
      </c>
      <c r="H9" s="1070"/>
      <c r="I9" s="1716" t="s">
        <v>1463</v>
      </c>
    </row>
    <row r="10" spans="1:9" s="206" customFormat="1" ht="13.5" customHeight="1">
      <c r="A10" s="733" t="s">
        <v>356</v>
      </c>
      <c r="B10" s="216" t="s">
        <v>1464</v>
      </c>
      <c r="C10" s="217">
        <f ca="1">ROUND(D10*E10/10000,0)</f>
        <v>1340</v>
      </c>
      <c r="D10" s="795">
        <f ca="1">IF(B1="",'数据-汇总表'!E6,IF(INDIRECT("'数据-取费表'!c"&amp;$G$1)="住宅",INDIRECT("'数据-取费表'!s"&amp;$G$1),INDIRECT("'数据-取费表'!k"&amp;$G$1)+INDIRECT("'数据-取费表'!s"&amp;$G$1)))</f>
        <v>66988.94</v>
      </c>
      <c r="E10" s="217">
        <f>'数据-取费表'!B28</f>
        <v>200</v>
      </c>
      <c r="F10" s="213"/>
      <c r="G10" s="218"/>
    </row>
    <row r="11" spans="1:9" s="206" customFormat="1" ht="13.5" hidden="1" customHeight="1">
      <c r="A11" s="219" t="s">
        <v>4</v>
      </c>
      <c r="B11" s="207" t="s">
        <v>1465</v>
      </c>
      <c r="C11" s="203"/>
      <c r="D11" s="210"/>
      <c r="E11" s="210"/>
      <c r="F11" s="210"/>
      <c r="G11" s="211"/>
    </row>
    <row r="12" spans="1:9" s="206" customFormat="1" ht="13.5" hidden="1" customHeight="1">
      <c r="A12" s="219" t="s">
        <v>5</v>
      </c>
      <c r="B12" s="207" t="s">
        <v>1466</v>
      </c>
      <c r="C12" s="203">
        <v>0</v>
      </c>
      <c r="D12" s="210"/>
      <c r="E12" s="220"/>
      <c r="F12" s="213">
        <v>3.0499999999999999E-2</v>
      </c>
      <c r="G12" s="211"/>
    </row>
    <row r="13" spans="1:9" s="206" customFormat="1" ht="13.5" hidden="1" customHeight="1">
      <c r="A13" s="219" t="s">
        <v>6</v>
      </c>
      <c r="B13" s="207" t="s">
        <v>1467</v>
      </c>
      <c r="C13" s="203"/>
      <c r="D13" s="210"/>
      <c r="E13" s="210"/>
      <c r="F13" s="210"/>
      <c r="G13" s="211"/>
    </row>
    <row r="14" spans="1:9" s="206" customFormat="1" ht="13.5" hidden="1" customHeight="1">
      <c r="A14" s="219" t="s">
        <v>7</v>
      </c>
      <c r="B14" s="207" t="s">
        <v>1468</v>
      </c>
      <c r="C14" s="203"/>
      <c r="D14" s="210"/>
      <c r="E14" s="210"/>
      <c r="F14" s="210"/>
      <c r="G14" s="211" t="s">
        <v>1469</v>
      </c>
    </row>
    <row r="15" spans="1:9" s="206" customFormat="1" ht="13.5" hidden="1" customHeight="1">
      <c r="A15" s="219" t="s">
        <v>8</v>
      </c>
      <c r="B15" s="207" t="s">
        <v>1470</v>
      </c>
      <c r="C15" s="212"/>
      <c r="D15" s="210"/>
      <c r="E15" s="210"/>
      <c r="F15" s="210"/>
      <c r="G15" s="211" t="s">
        <v>1471</v>
      </c>
    </row>
    <row r="16" spans="1:9" s="206" customFormat="1" ht="13.5" hidden="1" customHeight="1">
      <c r="A16" s="219" t="s">
        <v>9</v>
      </c>
      <c r="B16" s="207" t="s">
        <v>1468</v>
      </c>
      <c r="C16" s="212"/>
      <c r="D16" s="210"/>
      <c r="E16" s="210"/>
      <c r="F16" s="210"/>
      <c r="G16" s="211"/>
    </row>
    <row r="17" spans="1:7" s="206" customFormat="1" ht="13.5" hidden="1" customHeight="1">
      <c r="A17" s="219" t="s">
        <v>10</v>
      </c>
      <c r="B17" s="207" t="s">
        <v>1472</v>
      </c>
      <c r="C17" s="221"/>
      <c r="D17" s="221"/>
      <c r="E17" s="221"/>
      <c r="F17" s="221"/>
      <c r="G17" s="211" t="s">
        <v>1471</v>
      </c>
    </row>
    <row r="18" spans="1:7" s="206" customFormat="1" ht="13.5" hidden="1" customHeight="1">
      <c r="A18" s="219" t="s">
        <v>11</v>
      </c>
      <c r="B18" s="207" t="s">
        <v>1473</v>
      </c>
      <c r="C18" s="212">
        <v>0</v>
      </c>
      <c r="D18" s="210"/>
      <c r="E18" s="210"/>
      <c r="F18" s="213">
        <v>3.0499999999999999E-2</v>
      </c>
      <c r="G18" s="211" t="s">
        <v>1474</v>
      </c>
    </row>
    <row r="19" spans="1:7" s="215" customFormat="1" ht="13.5" customHeight="1">
      <c r="A19" s="247" t="s">
        <v>1475</v>
      </c>
      <c r="B19" s="202" t="s">
        <v>1476</v>
      </c>
      <c r="C19" s="203" t="str">
        <f>IF(G19="已包含在土地取得成本中","0",ROUND(D19*E19/10000,0))</f>
        <v>0</v>
      </c>
      <c r="D19" s="204">
        <f ca="1">D9+D10</f>
        <v>66988.94</v>
      </c>
      <c r="E19" s="203">
        <f>'数据-取费表'!B31</f>
        <v>200</v>
      </c>
      <c r="F19" s="223"/>
      <c r="G19" s="1714" t="s">
        <v>3394</v>
      </c>
    </row>
    <row r="20" spans="1:7" s="206" customFormat="1" ht="13.5" customHeight="1">
      <c r="A20" s="247" t="s">
        <v>1477</v>
      </c>
      <c r="B20" s="202" t="s">
        <v>1478</v>
      </c>
      <c r="C20" s="224">
        <f ca="1">ROUND((C5+C19)*F20,0)</f>
        <v>247</v>
      </c>
      <c r="D20" s="224"/>
      <c r="E20" s="224"/>
      <c r="F20" s="225">
        <f>'数据-取费表'!B37</f>
        <v>0.02</v>
      </c>
      <c r="G20" s="226" t="s">
        <v>1479</v>
      </c>
    </row>
    <row r="21" spans="1:7" s="206" customFormat="1" ht="13.5" customHeight="1">
      <c r="A21" s="247" t="s">
        <v>1480</v>
      </c>
      <c r="B21" s="202" t="s">
        <v>1481</v>
      </c>
      <c r="C21" s="227">
        <f>F21</f>
        <v>0.02</v>
      </c>
      <c r="D21" s="228" t="s">
        <v>1482</v>
      </c>
      <c r="E21" s="224"/>
      <c r="F21" s="225">
        <f>'数据-取费表'!B38</f>
        <v>0.02</v>
      </c>
      <c r="G21" s="226" t="s">
        <v>1483</v>
      </c>
    </row>
    <row r="22" spans="1:7" s="206" customFormat="1" ht="13.5" customHeight="1">
      <c r="A22" s="247" t="s">
        <v>1484</v>
      </c>
      <c r="B22" s="202" t="s">
        <v>1485</v>
      </c>
      <c r="C22" s="1041">
        <f ca="1">ROUND(SUM(C23:C25),0)</f>
        <v>787</v>
      </c>
      <c r="D22" s="227">
        <f ca="1">C26</f>
        <v>5.9999999999999995E-4</v>
      </c>
      <c r="E22" s="228" t="s">
        <v>1482</v>
      </c>
      <c r="F22" s="229">
        <f ca="1">'数据-取费表'!B40</f>
        <v>3.1E-2</v>
      </c>
      <c r="G22" s="226" t="str">
        <f>IF('数据-取费表'!B22&lt;=1,"单利计息","复利计息")</f>
        <v>复利计息</v>
      </c>
    </row>
    <row r="23" spans="1:7" s="206" customFormat="1" ht="13.5" customHeight="1">
      <c r="A23" s="734" t="s">
        <v>1486</v>
      </c>
      <c r="B23" s="207" t="s">
        <v>1487</v>
      </c>
      <c r="C23" s="1042">
        <f ca="1">ROUND(IF('数据-取费表'!B22&lt;=1,C5*F22*'数据-取费表'!B23,C5*(POWER((1+F22),'数据-取费表'!B23)-1)),0)</f>
        <v>779</v>
      </c>
      <c r="D23" s="230"/>
      <c r="E23" s="230"/>
      <c r="F23" s="231"/>
      <c r="G23" s="232" t="s">
        <v>1488</v>
      </c>
    </row>
    <row r="24" spans="1:7" s="206" customFormat="1" ht="13.5" customHeight="1">
      <c r="A24" s="734" t="s">
        <v>1489</v>
      </c>
      <c r="B24" s="207" t="s">
        <v>1490</v>
      </c>
      <c r="C24" s="1042">
        <f ca="1">ROUND(IF('数据-取费表'!B22&lt;=1,C19*F22*('数据-取费表'!B19/2+'数据-取费表'!B21),C19*(POWER((1+F22),('数据-取费表'!B19/2+'数据-取费表'!B21))-1)),0)</f>
        <v>0</v>
      </c>
      <c r="D24" s="230"/>
      <c r="E24" s="230"/>
      <c r="F24" s="231"/>
      <c r="G24" s="232" t="s">
        <v>1491</v>
      </c>
    </row>
    <row r="25" spans="1:7" s="206" customFormat="1" ht="24">
      <c r="A25" s="734" t="s">
        <v>1492</v>
      </c>
      <c r="B25" s="207" t="s">
        <v>1493</v>
      </c>
      <c r="C25" s="1042">
        <f ca="1">ROUND(IF('数据-取费表'!B22&lt;=1,C20*F22*'数据-取费表'!B23/2,C20*(POWER((1+F22),'数据-取费表'!B23/2)-1)),0)</f>
        <v>8</v>
      </c>
      <c r="D25" s="230"/>
      <c r="E25" s="233"/>
      <c r="F25" s="231"/>
      <c r="G25" s="234" t="s">
        <v>1494</v>
      </c>
    </row>
    <row r="26" spans="1:7" s="206" customFormat="1">
      <c r="A26" s="734" t="s">
        <v>350</v>
      </c>
      <c r="B26" s="207" t="s">
        <v>1495</v>
      </c>
      <c r="C26" s="230">
        <f ca="1">ROUND(IF('数据-取费表'!B22&lt;=1,F21*F22*'数据-取费表'!B23/2,F21*(POWER((1+F22),'数据-取费表'!B23/2)-1)),4)</f>
        <v>5.9999999999999995E-4</v>
      </c>
      <c r="D26" s="230"/>
      <c r="E26" s="233"/>
      <c r="F26" s="231"/>
      <c r="G26" s="235"/>
    </row>
    <row r="27" spans="1:7" s="206" customFormat="1" ht="24.75">
      <c r="A27" s="247" t="s">
        <v>1496</v>
      </c>
      <c r="B27" s="236" t="s">
        <v>1497</v>
      </c>
      <c r="C27" s="237">
        <f ca="1">C28</f>
        <v>1261</v>
      </c>
      <c r="D27" s="227">
        <f ca="1">C29</f>
        <v>2E-3</v>
      </c>
      <c r="E27" s="228" t="s">
        <v>1498</v>
      </c>
      <c r="F27" s="238">
        <f ca="1">IF(B1="",'数据-取费表'!Q16,INDIRECT("'数据-取费表'!q"&amp;$G$1))</f>
        <v>0.1</v>
      </c>
      <c r="G27" s="239" t="s">
        <v>1499</v>
      </c>
    </row>
    <row r="28" spans="1:7" s="206" customFormat="1" ht="13.5" customHeight="1">
      <c r="A28" s="734" t="s">
        <v>346</v>
      </c>
      <c r="B28" s="240" t="s">
        <v>1500</v>
      </c>
      <c r="C28" s="241">
        <f ca="1">ROUND((C5+C19+C20)*F27*'数据-取费表'!B21/'数据-取费表'!B20,0)</f>
        <v>1261</v>
      </c>
      <c r="D28" s="227"/>
      <c r="E28" s="228"/>
      <c r="F28" s="238"/>
      <c r="G28" s="239"/>
    </row>
    <row r="29" spans="1:7" s="206" customFormat="1" ht="13.5" customHeight="1">
      <c r="A29" s="734" t="s">
        <v>347</v>
      </c>
      <c r="B29" s="240" t="s">
        <v>1501</v>
      </c>
      <c r="C29" s="230">
        <f ca="1">ROUND(C21*F27*'数据-取费表'!B21/'数据-取费表'!B20,4)</f>
        <v>2E-3</v>
      </c>
      <c r="D29" s="227"/>
      <c r="E29" s="228"/>
      <c r="F29" s="238"/>
      <c r="G29" s="239"/>
    </row>
    <row r="30" spans="1:7" s="206" customFormat="1" ht="13.5" customHeight="1">
      <c r="A30" s="247" t="s">
        <v>1502</v>
      </c>
      <c r="B30" s="202" t="s">
        <v>1503</v>
      </c>
      <c r="C30" s="227">
        <f>ROUND(F30/(1+'数据-取费表'!C42),4)</f>
        <v>5.2400000000000002E-2</v>
      </c>
      <c r="D30" s="228" t="s">
        <v>1498</v>
      </c>
      <c r="E30" s="233"/>
      <c r="F30" s="229">
        <f>'数据-取费表'!B41</f>
        <v>5.5000000000000007E-2</v>
      </c>
      <c r="G30" s="226" t="s">
        <v>1504</v>
      </c>
    </row>
    <row r="31" spans="1:7" ht="16.5" customHeight="1">
      <c r="A31" s="201">
        <v>1</v>
      </c>
      <c r="B31" s="202" t="s">
        <v>1505</v>
      </c>
      <c r="C31" s="203">
        <f ca="1">ROUND((C5+C19+C20+C22+C27)/(1-C21-D22-D27-C30),0)</f>
        <v>15850</v>
      </c>
      <c r="D31" s="222"/>
      <c r="E31" s="203"/>
      <c r="F31" s="242"/>
      <c r="G31" s="226" t="s">
        <v>1506</v>
      </c>
    </row>
    <row r="32" spans="1:7" s="200" customFormat="1" ht="15.75">
      <c r="A32" s="244" t="s">
        <v>1507</v>
      </c>
      <c r="B32" s="245"/>
      <c r="C32" s="245"/>
      <c r="D32" s="245"/>
      <c r="E32" s="245"/>
      <c r="F32" s="245"/>
      <c r="G32" s="246"/>
    </row>
    <row r="33" spans="1:7" s="206" customFormat="1" ht="13.5" customHeight="1">
      <c r="A33" s="247" t="s">
        <v>337</v>
      </c>
      <c r="B33" s="202" t="s">
        <v>1508</v>
      </c>
      <c r="C33" s="248">
        <f ca="1">SUM(C34:C38)</f>
        <v>20693</v>
      </c>
      <c r="D33" s="224"/>
      <c r="E33" s="204"/>
      <c r="F33" s="233"/>
      <c r="G33" s="226"/>
    </row>
    <row r="34" spans="1:7" s="250" customFormat="1" ht="13.5" customHeight="1">
      <c r="A34" s="734" t="s">
        <v>346</v>
      </c>
      <c r="B34" s="207" t="s">
        <v>1509</v>
      </c>
      <c r="C34" s="212">
        <f ca="1">IF(B1="",IF(F34=100%,'数据-取费表'!M16,'数据-取费表'!O16),IF(F34=100%,INDIRECT("'数据-取费表'!m"&amp;$G$1)+INDIRECT("'数据-取费表'!t"&amp;$G$1),INDIRECT("'数据-取费表'!o"&amp;$G$1)+INDIRECT("'数据-取费表'!aq"&amp;$G$1)))</f>
        <v>18087</v>
      </c>
      <c r="D34" s="209"/>
      <c r="E34" s="212"/>
      <c r="F34" s="249">
        <f ca="1">IF('数据-取费表'!B24=0,1,IF(B1="",'数据-取费表'!N16,INDIRECT("'数据-取费表'!n"&amp;$G$1)))</f>
        <v>1</v>
      </c>
      <c r="G34" s="211" t="s">
        <v>1510</v>
      </c>
    </row>
    <row r="35" spans="1:7" ht="13.5" customHeight="1">
      <c r="A35" s="734" t="s">
        <v>351</v>
      </c>
      <c r="B35" s="207" t="s">
        <v>1511</v>
      </c>
      <c r="C35" s="212">
        <f ca="1">ROUND(C34*F35,0)</f>
        <v>904</v>
      </c>
      <c r="D35" s="212"/>
      <c r="E35" s="212"/>
      <c r="F35" s="251">
        <f>'数据-取费表'!B33</f>
        <v>0.05</v>
      </c>
      <c r="G35" s="211" t="s">
        <v>1512</v>
      </c>
    </row>
    <row r="36" spans="1:7" ht="24">
      <c r="A36" s="734" t="s">
        <v>352</v>
      </c>
      <c r="B36" s="207" t="s">
        <v>1513</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1514</v>
      </c>
    </row>
    <row r="37" spans="1:7" s="250" customFormat="1" ht="13.5" customHeight="1">
      <c r="A37" s="734" t="s">
        <v>353</v>
      </c>
      <c r="B37" s="207" t="s">
        <v>1515</v>
      </c>
      <c r="C37" s="241">
        <f ca="1">ROUND(E37*D37*F34/10000,0)</f>
        <v>1340</v>
      </c>
      <c r="D37" s="209">
        <f ca="1">D19</f>
        <v>66988.94</v>
      </c>
      <c r="E37" s="241">
        <f>'数据-取费表'!B35</f>
        <v>200</v>
      </c>
      <c r="F37" s="251"/>
      <c r="G37" s="253" t="s">
        <v>1516</v>
      </c>
    </row>
    <row r="38" spans="1:7" ht="13.5" customHeight="1">
      <c r="A38" s="734" t="s">
        <v>354</v>
      </c>
      <c r="B38" s="207" t="s">
        <v>1517</v>
      </c>
      <c r="C38" s="212">
        <f ca="1">ROUND(C34*F38,0)</f>
        <v>362</v>
      </c>
      <c r="D38" s="212"/>
      <c r="E38" s="212"/>
      <c r="F38" s="251">
        <f>'数据-取费表'!B36</f>
        <v>0.02</v>
      </c>
      <c r="G38" s="211" t="s">
        <v>1512</v>
      </c>
    </row>
    <row r="39" spans="1:7" s="206" customFormat="1" ht="13.5" customHeight="1">
      <c r="A39" s="247" t="s">
        <v>1518</v>
      </c>
      <c r="B39" s="202" t="s">
        <v>1519</v>
      </c>
      <c r="C39" s="224">
        <f ca="1">ROUND(C33*F20,0)</f>
        <v>414</v>
      </c>
      <c r="D39" s="224"/>
      <c r="E39" s="224"/>
      <c r="F39" s="225">
        <f>F20</f>
        <v>0.02</v>
      </c>
      <c r="G39" s="226" t="s">
        <v>1520</v>
      </c>
    </row>
    <row r="40" spans="1:7" s="206" customFormat="1" ht="13.5" customHeight="1">
      <c r="A40" s="247" t="s">
        <v>1521</v>
      </c>
      <c r="B40" s="202" t="s">
        <v>1522</v>
      </c>
      <c r="C40" s="227">
        <f>F21</f>
        <v>0.02</v>
      </c>
      <c r="D40" s="228" t="s">
        <v>1523</v>
      </c>
      <c r="E40" s="224"/>
      <c r="F40" s="225">
        <f>F21</f>
        <v>0.02</v>
      </c>
      <c r="G40" s="226" t="s">
        <v>1524</v>
      </c>
    </row>
    <row r="41" spans="1:7" s="206" customFormat="1" ht="13.5" customHeight="1">
      <c r="A41" s="247" t="s">
        <v>1525</v>
      </c>
      <c r="B41" s="202" t="s">
        <v>1526</v>
      </c>
      <c r="C41" s="224">
        <f ca="1">ROUND(SUM(C42:C43),0)</f>
        <v>654</v>
      </c>
      <c r="D41" s="227">
        <f ca="1">C44</f>
        <v>5.9999999999999995E-4</v>
      </c>
      <c r="E41" s="228" t="s">
        <v>1523</v>
      </c>
      <c r="F41" s="229">
        <f ca="1">F22</f>
        <v>3.1E-2</v>
      </c>
      <c r="G41" s="226" t="str">
        <f>IF('数据-取费表'!B22&lt;=1,"单利计息","复利计息")</f>
        <v>复利计息</v>
      </c>
    </row>
    <row r="42" spans="1:7" ht="13.5" customHeight="1">
      <c r="A42" s="734" t="s">
        <v>346</v>
      </c>
      <c r="B42" s="207" t="s">
        <v>1527</v>
      </c>
      <c r="C42" s="230">
        <f ca="1">ROUND(IF('数据-取费表'!B22&lt;=1,C33*F22*'数据-取费表'!B21/2,C33*(POWER((1+F22),'数据-取费表'!B21/2)-1)),0)</f>
        <v>641</v>
      </c>
      <c r="D42" s="230"/>
      <c r="E42" s="230"/>
      <c r="F42" s="231"/>
      <c r="G42" s="3393" t="s">
        <v>1528</v>
      </c>
    </row>
    <row r="43" spans="1:7" ht="13.5" customHeight="1">
      <c r="A43" s="734" t="s">
        <v>347</v>
      </c>
      <c r="B43" s="207" t="s">
        <v>1529</v>
      </c>
      <c r="C43" s="230">
        <f ca="1">ROUND(IF('数据-取费表'!B22&lt;=1,C39*F22*'数据-取费表'!B21/2,C39*(POWER((1+F22),'数据-取费表'!B21/2)-1)),0)</f>
        <v>13</v>
      </c>
      <c r="D43" s="230"/>
      <c r="E43" s="230"/>
      <c r="F43" s="231"/>
      <c r="G43" s="3394"/>
    </row>
    <row r="44" spans="1:7" ht="13.5" customHeight="1">
      <c r="A44" s="734" t="s">
        <v>348</v>
      </c>
      <c r="B44" s="207" t="s">
        <v>1530</v>
      </c>
      <c r="C44" s="230">
        <f ca="1">ROUND(IF('数据-取费表'!B22&lt;=1,C40*F22*'数据-取费表'!B21/2,C40*(POWER((1+F22),'数据-取费表'!B21/2)-1)),4)</f>
        <v>5.9999999999999995E-4</v>
      </c>
      <c r="D44" s="230"/>
      <c r="E44" s="230"/>
      <c r="F44" s="231"/>
      <c r="G44" s="3395"/>
    </row>
    <row r="45" spans="1:7" s="206" customFormat="1" ht="13.5" customHeight="1">
      <c r="A45" s="247" t="s">
        <v>1531</v>
      </c>
      <c r="B45" s="236" t="s">
        <v>1497</v>
      </c>
      <c r="C45" s="237">
        <f ca="1">C46</f>
        <v>2111</v>
      </c>
      <c r="D45" s="227">
        <f ca="1">C47</f>
        <v>2E-3</v>
      </c>
      <c r="E45" s="228" t="s">
        <v>1523</v>
      </c>
      <c r="F45" s="238">
        <f ca="1">F27</f>
        <v>0.1</v>
      </c>
      <c r="G45" s="239" t="s">
        <v>1532</v>
      </c>
    </row>
    <row r="46" spans="1:7" s="206" customFormat="1" ht="13.5" customHeight="1">
      <c r="A46" s="734" t="s">
        <v>346</v>
      </c>
      <c r="B46" s="240" t="s">
        <v>1533</v>
      </c>
      <c r="C46" s="241">
        <f ca="1">ROUND((C33+C39)*F27,0)</f>
        <v>2111</v>
      </c>
      <c r="D46" s="255"/>
      <c r="E46" s="228"/>
      <c r="F46" s="238"/>
      <c r="G46" s="239"/>
    </row>
    <row r="47" spans="1:7" s="206" customFormat="1" ht="13.5" customHeight="1">
      <c r="A47" s="734" t="s">
        <v>347</v>
      </c>
      <c r="B47" s="240" t="s">
        <v>1534</v>
      </c>
      <c r="C47" s="230">
        <f ca="1">ROUND(C40*F27,4)</f>
        <v>2E-3</v>
      </c>
      <c r="D47" s="255"/>
      <c r="E47" s="228"/>
      <c r="F47" s="238"/>
      <c r="G47" s="239"/>
    </row>
    <row r="48" spans="1:7" s="206" customFormat="1" ht="13.5" customHeight="1">
      <c r="A48" s="247" t="s">
        <v>1496</v>
      </c>
      <c r="B48" s="202" t="s">
        <v>1535</v>
      </c>
      <c r="C48" s="227">
        <f>ROUND(F30/(1+'数据-取费表'!C42),4)</f>
        <v>5.2400000000000002E-2</v>
      </c>
      <c r="D48" s="228" t="s">
        <v>1523</v>
      </c>
      <c r="E48" s="224"/>
      <c r="F48" s="229">
        <f>F30</f>
        <v>5.5000000000000007E-2</v>
      </c>
      <c r="G48" s="226" t="s">
        <v>1536</v>
      </c>
    </row>
    <row r="49" spans="1:7" ht="16.5" customHeight="1">
      <c r="A49" s="247" t="s">
        <v>1502</v>
      </c>
      <c r="B49" s="202" t="s">
        <v>1537</v>
      </c>
      <c r="C49" s="224">
        <f ca="1">ROUND((C33+C39+C41+C45)/(1-C40-D41-D45-C48),0)</f>
        <v>25808</v>
      </c>
      <c r="D49" s="224"/>
      <c r="E49" s="224"/>
      <c r="F49" s="256"/>
      <c r="G49" s="226" t="s">
        <v>1538</v>
      </c>
    </row>
    <row r="50" spans="1:7" s="250" customFormat="1" ht="24">
      <c r="A50" s="247" t="s">
        <v>1539</v>
      </c>
      <c r="B50" s="202" t="s">
        <v>1540</v>
      </c>
      <c r="C50" s="224"/>
      <c r="D50" s="224"/>
      <c r="E50" s="224"/>
      <c r="F50" s="256">
        <f>IF('数据-取费表'!B24=0,'数据-取费表'!N16,1)</f>
        <v>0.69</v>
      </c>
      <c r="G50" s="239" t="s">
        <v>1541</v>
      </c>
    </row>
    <row r="51" spans="1:7" ht="16.5" customHeight="1">
      <c r="A51" s="247" t="s">
        <v>1542</v>
      </c>
      <c r="B51" s="202" t="s">
        <v>1543</v>
      </c>
      <c r="C51" s="224">
        <f ca="1">ROUND(C49*F50,0)</f>
        <v>17808</v>
      </c>
      <c r="D51" s="224"/>
      <c r="E51" s="224"/>
      <c r="F51" s="256"/>
      <c r="G51" s="226" t="s">
        <v>1544</v>
      </c>
    </row>
    <row r="52" spans="1:7" s="200" customFormat="1" ht="16.5" thickBot="1">
      <c r="A52" s="257" t="s">
        <v>1545</v>
      </c>
      <c r="B52" s="258"/>
      <c r="C52" s="259">
        <f ca="1">C31+C51</f>
        <v>33658</v>
      </c>
      <c r="D52" s="258"/>
      <c r="E52" s="258"/>
      <c r="F52" s="258"/>
      <c r="G52" s="260"/>
    </row>
    <row r="55" spans="1:7" ht="15">
      <c r="B55" s="262" t="s">
        <v>1546</v>
      </c>
      <c r="C55" s="263"/>
    </row>
    <row r="56" spans="1:7">
      <c r="B56" s="265" t="s">
        <v>786</v>
      </c>
      <c r="C56" s="267">
        <f ca="1">1-C57</f>
        <v>0.47099999999999997</v>
      </c>
    </row>
    <row r="57" spans="1:7">
      <c r="B57" s="265" t="s">
        <v>787</v>
      </c>
      <c r="C57" s="266">
        <f ca="1">ROUND(C51/C52,3)</f>
        <v>0.52900000000000003</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1445</v>
      </c>
      <c r="B1" s="1374"/>
      <c r="C1" s="1717" t="s">
        <v>1547</v>
      </c>
      <c r="D1" s="190"/>
      <c r="E1" s="190"/>
      <c r="F1" s="190"/>
      <c r="G1" s="1062">
        <f>MATCH(B1,'数据-取费表'!A6:A16,0)+5</f>
        <v>7</v>
      </c>
      <c r="H1" s="998" t="str">
        <f>IF(ISERROR(FIND("住宅",B1)),"非住宅","住宅")</f>
        <v>非住宅</v>
      </c>
    </row>
    <row r="2" spans="1:8" s="192" customFormat="1" ht="18" customHeight="1">
      <c r="A2" s="193" t="s">
        <v>1446</v>
      </c>
      <c r="B2" s="3121">
        <f ca="1">ROUND(IF(D2="——",C52/10000,C52/10000-E2),4)</f>
        <v>21241.429599999999</v>
      </c>
      <c r="C2" s="191" t="s">
        <v>1447</v>
      </c>
      <c r="D2" s="1711" t="s">
        <v>43</v>
      </c>
      <c r="E2" s="1089" t="e">
        <f ca="1">SUMIF(INDIRECT("'"&amp;G2&amp;"'"&amp;"!A:A"),"承租人权益价值",INDIRECT("'"&amp;G2&amp;"'"&amp;"!c:c"))</f>
        <v>#REF!</v>
      </c>
      <c r="F2" s="1712" t="s">
        <v>1447</v>
      </c>
      <c r="G2" s="1713"/>
    </row>
    <row r="3" spans="1:8" s="192" customFormat="1" ht="18" customHeight="1" thickBot="1">
      <c r="A3" s="195" t="s">
        <v>1448</v>
      </c>
      <c r="B3" s="196">
        <f ca="1">ROUND(B2*10000/(IF(B1="",'数据-汇总表'!E3,INDIRECT("'数据-取费表'!k"&amp;$G$1))),0)</f>
        <v>3171</v>
      </c>
      <c r="C3" s="191" t="s">
        <v>1449</v>
      </c>
      <c r="D3" s="191"/>
      <c r="E3" s="191"/>
      <c r="F3" s="191"/>
      <c r="G3" s="191"/>
    </row>
    <row r="4" spans="1:8" s="200" customFormat="1" ht="15.75">
      <c r="A4" s="197" t="s">
        <v>1450</v>
      </c>
      <c r="B4" s="198"/>
      <c r="C4" s="198"/>
      <c r="D4" s="198"/>
      <c r="E4" s="198"/>
      <c r="F4" s="198"/>
      <c r="G4" s="199"/>
    </row>
    <row r="5" spans="1:8" s="206" customFormat="1" ht="13.5" customHeight="1">
      <c r="A5" s="247" t="s">
        <v>1451</v>
      </c>
      <c r="B5" s="202" t="s">
        <v>1452</v>
      </c>
      <c r="C5" s="203">
        <f ca="1">C6+C7+C8</f>
        <v>13397788</v>
      </c>
      <c r="D5" s="203" t="s">
        <v>1453</v>
      </c>
      <c r="E5" s="204" t="s">
        <v>1454</v>
      </c>
      <c r="F5" s="204" t="s">
        <v>1455</v>
      </c>
      <c r="G5" s="205"/>
    </row>
    <row r="6" spans="1:8" s="206" customFormat="1" ht="13.5" customHeight="1">
      <c r="A6" s="732" t="s">
        <v>1456</v>
      </c>
      <c r="B6" s="207" t="s">
        <v>1457</v>
      </c>
      <c r="C6" s="208"/>
      <c r="D6" s="209"/>
      <c r="E6" s="210"/>
      <c r="F6" s="210"/>
      <c r="G6" s="211"/>
    </row>
    <row r="7" spans="1:8" s="206" customFormat="1" ht="13.5" customHeight="1">
      <c r="A7" s="732" t="s">
        <v>1458</v>
      </c>
      <c r="B7" s="207" t="s">
        <v>1459</v>
      </c>
      <c r="C7" s="212">
        <f>ROUND(C6*F7,0)</f>
        <v>0</v>
      </c>
      <c r="D7" s="212"/>
      <c r="E7" s="210"/>
      <c r="F7" s="213">
        <f>IF(项目基本情况!B8="出让",0,'数据-取费表'!B48+'数据-取费表'!B49)</f>
        <v>3.0499999999999999E-2</v>
      </c>
      <c r="G7" s="211"/>
    </row>
    <row r="8" spans="1:8" s="215" customFormat="1">
      <c r="A8" s="732" t="s">
        <v>1460</v>
      </c>
      <c r="B8" s="207" t="s">
        <v>1461</v>
      </c>
      <c r="C8" s="212">
        <f ca="1">IF(G8="已包含在土地购买价格中",0,C9+C10)</f>
        <v>13397788</v>
      </c>
      <c r="D8" s="214"/>
      <c r="E8" s="212"/>
      <c r="F8" s="213"/>
      <c r="G8" s="1714"/>
    </row>
    <row r="9" spans="1:8" s="206" customFormat="1" ht="13.5" customHeight="1">
      <c r="A9" s="733" t="s">
        <v>355</v>
      </c>
      <c r="B9" s="216" t="s">
        <v>1462</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1464</v>
      </c>
      <c r="C10" s="217">
        <f ca="1">ROUND(D10*E10,0)</f>
        <v>13397788</v>
      </c>
      <c r="D10" s="795">
        <f ca="1">IF(B1="",'数据-汇总表'!E6,IF(INDIRECT("'数据-取费表'!c"&amp;$G$1)="住宅",INDIRECT("'数据-取费表'!s"&amp;$G$1),INDIRECT("'数据-取费表'!k"&amp;$G$1)+INDIRECT("'数据-取费表'!s"&amp;$G$1)))</f>
        <v>66988.94</v>
      </c>
      <c r="E10" s="217">
        <f>'数据-取费表'!B28</f>
        <v>200</v>
      </c>
      <c r="F10" s="213"/>
      <c r="G10" s="218"/>
    </row>
    <row r="11" spans="1:8" s="206" customFormat="1" ht="13.5" hidden="1" customHeight="1">
      <c r="A11" s="219" t="s">
        <v>4</v>
      </c>
      <c r="B11" s="207" t="s">
        <v>1465</v>
      </c>
      <c r="C11" s="203"/>
      <c r="D11" s="210"/>
      <c r="E11" s="210"/>
      <c r="F11" s="210"/>
      <c r="G11" s="211"/>
    </row>
    <row r="12" spans="1:8" s="206" customFormat="1" ht="13.5" hidden="1" customHeight="1">
      <c r="A12" s="219" t="s">
        <v>5</v>
      </c>
      <c r="B12" s="207" t="s">
        <v>1548</v>
      </c>
      <c r="C12" s="203">
        <v>0</v>
      </c>
      <c r="D12" s="210"/>
      <c r="E12" s="220"/>
      <c r="F12" s="213">
        <v>3.0499999999999999E-2</v>
      </c>
      <c r="G12" s="211"/>
    </row>
    <row r="13" spans="1:8" s="206" customFormat="1" ht="13.5" hidden="1" customHeight="1">
      <c r="A13" s="219" t="s">
        <v>6</v>
      </c>
      <c r="B13" s="207" t="s">
        <v>1549</v>
      </c>
      <c r="C13" s="203"/>
      <c r="D13" s="210"/>
      <c r="E13" s="210"/>
      <c r="F13" s="210"/>
      <c r="G13" s="211"/>
    </row>
    <row r="14" spans="1:8" s="206" customFormat="1" ht="13.5" hidden="1" customHeight="1">
      <c r="A14" s="219" t="s">
        <v>7</v>
      </c>
      <c r="B14" s="207" t="s">
        <v>1461</v>
      </c>
      <c r="C14" s="203"/>
      <c r="D14" s="210"/>
      <c r="E14" s="210"/>
      <c r="F14" s="210"/>
      <c r="G14" s="211" t="s">
        <v>1550</v>
      </c>
    </row>
    <row r="15" spans="1:8" s="206" customFormat="1" ht="13.5" hidden="1" customHeight="1">
      <c r="A15" s="219" t="s">
        <v>8</v>
      </c>
      <c r="B15" s="207" t="s">
        <v>1551</v>
      </c>
      <c r="C15" s="212"/>
      <c r="D15" s="210"/>
      <c r="E15" s="210"/>
      <c r="F15" s="210"/>
      <c r="G15" s="211" t="s">
        <v>1552</v>
      </c>
    </row>
    <row r="16" spans="1:8" s="206" customFormat="1" ht="13.5" hidden="1" customHeight="1">
      <c r="A16" s="219" t="s">
        <v>9</v>
      </c>
      <c r="B16" s="207" t="s">
        <v>1461</v>
      </c>
      <c r="C16" s="212"/>
      <c r="D16" s="210"/>
      <c r="E16" s="210"/>
      <c r="F16" s="210"/>
      <c r="G16" s="211"/>
    </row>
    <row r="17" spans="1:7" s="206" customFormat="1" ht="13.5" hidden="1" customHeight="1">
      <c r="A17" s="219" t="s">
        <v>10</v>
      </c>
      <c r="B17" s="207" t="s">
        <v>1553</v>
      </c>
      <c r="C17" s="221"/>
      <c r="D17" s="221"/>
      <c r="E17" s="221"/>
      <c r="F17" s="221"/>
      <c r="G17" s="211" t="s">
        <v>1552</v>
      </c>
    </row>
    <row r="18" spans="1:7" s="206" customFormat="1" ht="13.5" hidden="1" customHeight="1">
      <c r="A18" s="219" t="s">
        <v>11</v>
      </c>
      <c r="B18" s="207" t="s">
        <v>1554</v>
      </c>
      <c r="C18" s="212">
        <v>0</v>
      </c>
      <c r="D18" s="210"/>
      <c r="E18" s="210"/>
      <c r="F18" s="213">
        <v>3.0499999999999999E-2</v>
      </c>
      <c r="G18" s="211" t="s">
        <v>1555</v>
      </c>
    </row>
    <row r="19" spans="1:7" s="215" customFormat="1" ht="13.5" customHeight="1">
      <c r="A19" s="247" t="s">
        <v>1556</v>
      </c>
      <c r="B19" s="202" t="s">
        <v>1557</v>
      </c>
      <c r="C19" s="203">
        <f ca="1">IF(G19="已包含在土地取得成本中","0",ROUND(D19*E19,0))</f>
        <v>13397788</v>
      </c>
      <c r="D19" s="204">
        <f ca="1">D9+D10</f>
        <v>66988.94</v>
      </c>
      <c r="E19" s="203">
        <f>'数据-取费表'!B31</f>
        <v>200</v>
      </c>
      <c r="F19" s="223"/>
      <c r="G19" s="1714"/>
    </row>
    <row r="20" spans="1:7" s="206" customFormat="1" ht="13.5" customHeight="1">
      <c r="A20" s="247" t="s">
        <v>1558</v>
      </c>
      <c r="B20" s="202" t="s">
        <v>1559</v>
      </c>
      <c r="C20" s="224">
        <f ca="1">ROUND((C5+C19)*F20,0)</f>
        <v>535912</v>
      </c>
      <c r="D20" s="224"/>
      <c r="E20" s="224"/>
      <c r="F20" s="225">
        <f>'数据-取费表'!B37</f>
        <v>0.02</v>
      </c>
      <c r="G20" s="226" t="s">
        <v>1560</v>
      </c>
    </row>
    <row r="21" spans="1:7" s="206" customFormat="1" ht="13.5" customHeight="1">
      <c r="A21" s="247" t="s">
        <v>1561</v>
      </c>
      <c r="B21" s="202" t="s">
        <v>1562</v>
      </c>
      <c r="C21" s="227">
        <f>F21</f>
        <v>0.02</v>
      </c>
      <c r="D21" s="228" t="s">
        <v>1563</v>
      </c>
      <c r="E21" s="224"/>
      <c r="F21" s="225">
        <f>'数据-取费表'!B38</f>
        <v>0.02</v>
      </c>
      <c r="G21" s="226" t="s">
        <v>1564</v>
      </c>
    </row>
    <row r="22" spans="1:7" s="206" customFormat="1" ht="13.5" customHeight="1">
      <c r="A22" s="247" t="s">
        <v>1565</v>
      </c>
      <c r="B22" s="202" t="s">
        <v>1566</v>
      </c>
      <c r="C22" s="224">
        <f ca="1">ROUND(SUM(C23:C25),0)</f>
        <v>1703689</v>
      </c>
      <c r="D22" s="227">
        <f ca="1">C26</f>
        <v>5.9999999999999995E-4</v>
      </c>
      <c r="E22" s="228" t="s">
        <v>1563</v>
      </c>
      <c r="F22" s="229">
        <f ca="1">'数据-取费表'!B40</f>
        <v>3.1E-2</v>
      </c>
      <c r="G22" s="226" t="str">
        <f>IF('数据-取费表'!B22&lt;=1,"单利计息","复利计息")</f>
        <v>复利计息</v>
      </c>
    </row>
    <row r="23" spans="1:7" s="206" customFormat="1" ht="13.5" customHeight="1">
      <c r="A23" s="734" t="s">
        <v>1456</v>
      </c>
      <c r="B23" s="207" t="s">
        <v>1567</v>
      </c>
      <c r="C23" s="230">
        <f ca="1">ROUND(IF('数据-取费表'!B22&lt;=1,C5*F22*'数据-取费表'!B22,C5*(POWER((1+F22),'数据-取费表'!B22)-1)),0)</f>
        <v>843538</v>
      </c>
      <c r="D23" s="230"/>
      <c r="E23" s="230"/>
      <c r="F23" s="231"/>
      <c r="G23" s="232" t="s">
        <v>1568</v>
      </c>
    </row>
    <row r="24" spans="1:7" s="206" customFormat="1" ht="13.5" customHeight="1">
      <c r="A24" s="734" t="s">
        <v>1458</v>
      </c>
      <c r="B24" s="207" t="s">
        <v>1569</v>
      </c>
      <c r="C24" s="230">
        <f ca="1">ROUND(IF('数据-取费表'!B22&lt;=1,C19*F22*('数据-取费表'!B19/2+'数据-取费表'!B20),C19*(POWER((1+F22),('数据-取费表'!B19/2+'数据-取费表'!B20))-1)),0)</f>
        <v>843538</v>
      </c>
      <c r="D24" s="230"/>
      <c r="E24" s="230"/>
      <c r="F24" s="231"/>
      <c r="G24" s="232" t="s">
        <v>1570</v>
      </c>
    </row>
    <row r="25" spans="1:7" s="206" customFormat="1" ht="24">
      <c r="A25" s="734" t="s">
        <v>1460</v>
      </c>
      <c r="B25" s="207" t="s">
        <v>1571</v>
      </c>
      <c r="C25" s="230">
        <f ca="1">ROUND(IF('数据-取费表'!B22&lt;=1,C20*F22*'数据-取费表'!B22/2,C20*(POWER((1+F22),'数据-取费表'!B22/2)-1)),0)</f>
        <v>16613</v>
      </c>
      <c r="D25" s="230"/>
      <c r="E25" s="233"/>
      <c r="F25" s="231"/>
      <c r="G25" s="234" t="s">
        <v>1572</v>
      </c>
    </row>
    <row r="26" spans="1:7" s="206" customFormat="1">
      <c r="A26" s="734" t="s">
        <v>350</v>
      </c>
      <c r="B26" s="207" t="s">
        <v>1495</v>
      </c>
      <c r="C26" s="230">
        <f ca="1">ROUND(IF('数据-取费表'!B22&lt;=1,F21*F22*'数据-取费表'!B22/2,F21*(POWER((1+F22),'数据-取费表'!B22/2)-1)),4)</f>
        <v>5.9999999999999995E-4</v>
      </c>
      <c r="D26" s="230"/>
      <c r="E26" s="233"/>
      <c r="F26" s="231"/>
      <c r="G26" s="235"/>
    </row>
    <row r="27" spans="1:7" s="206" customFormat="1" ht="24.75">
      <c r="A27" s="247" t="s">
        <v>1496</v>
      </c>
      <c r="B27" s="236" t="s">
        <v>1497</v>
      </c>
      <c r="C27" s="237">
        <f ca="1">C28</f>
        <v>2733149</v>
      </c>
      <c r="D27" s="227">
        <f ca="1">C29</f>
        <v>2E-3</v>
      </c>
      <c r="E27" s="228" t="s">
        <v>1498</v>
      </c>
      <c r="F27" s="238">
        <f ca="1">IF(B1="",'数据-取费表'!Q16,INDIRECT("'数据-取费表'!q"&amp;$G$1))</f>
        <v>0.1</v>
      </c>
      <c r="G27" s="239" t="s">
        <v>1499</v>
      </c>
    </row>
    <row r="28" spans="1:7" s="206" customFormat="1" ht="13.5" customHeight="1">
      <c r="A28" s="734" t="s">
        <v>346</v>
      </c>
      <c r="B28" s="240" t="s">
        <v>1500</v>
      </c>
      <c r="C28" s="241">
        <f ca="1">ROUND((C5+C19+C20)*F27,0)</f>
        <v>2733149</v>
      </c>
      <c r="D28" s="227"/>
      <c r="E28" s="228"/>
      <c r="F28" s="238"/>
      <c r="G28" s="239"/>
    </row>
    <row r="29" spans="1:7" s="206" customFormat="1" ht="13.5" customHeight="1">
      <c r="A29" s="734" t="s">
        <v>347</v>
      </c>
      <c r="B29" s="240" t="s">
        <v>1501</v>
      </c>
      <c r="C29" s="230">
        <f ca="1">ROUND(C21*F27,4)</f>
        <v>2E-3</v>
      </c>
      <c r="D29" s="227"/>
      <c r="E29" s="228"/>
      <c r="F29" s="238"/>
      <c r="G29" s="239"/>
    </row>
    <row r="30" spans="1:7" s="206" customFormat="1" ht="13.5" customHeight="1">
      <c r="A30" s="247" t="s">
        <v>1502</v>
      </c>
      <c r="B30" s="202" t="s">
        <v>1503</v>
      </c>
      <c r="C30" s="227">
        <f>ROUND(F30/(1+'数据-取费表'!C42),4)</f>
        <v>5.2400000000000002E-2</v>
      </c>
      <c r="D30" s="228" t="s">
        <v>1498</v>
      </c>
      <c r="E30" s="233"/>
      <c r="F30" s="229">
        <f>'数据-取费表'!B41</f>
        <v>5.5000000000000007E-2</v>
      </c>
      <c r="G30" s="226" t="s">
        <v>1504</v>
      </c>
    </row>
    <row r="31" spans="1:7" ht="16.5" customHeight="1">
      <c r="A31" s="201">
        <v>1</v>
      </c>
      <c r="B31" s="202" t="s">
        <v>1505</v>
      </c>
      <c r="C31" s="203">
        <f ca="1">ROUND((C5+C19+C20+C22+C27)/(1-C21-D22-D27-C30),0)</f>
        <v>34344136</v>
      </c>
      <c r="D31" s="222"/>
      <c r="E31" s="203"/>
      <c r="F31" s="242"/>
      <c r="G31" s="226" t="s">
        <v>1506</v>
      </c>
    </row>
    <row r="32" spans="1:7" s="200" customFormat="1" ht="15.75">
      <c r="A32" s="244" t="s">
        <v>1573</v>
      </c>
      <c r="B32" s="245"/>
      <c r="C32" s="245"/>
      <c r="D32" s="245"/>
      <c r="E32" s="245"/>
      <c r="F32" s="245"/>
      <c r="G32" s="246"/>
    </row>
    <row r="33" spans="1:7" s="206" customFormat="1" ht="13.5" customHeight="1">
      <c r="A33" s="247" t="s">
        <v>337</v>
      </c>
      <c r="B33" s="202" t="s">
        <v>1574</v>
      </c>
      <c r="C33" s="248">
        <f ca="1">SUM(C34:C38)</f>
        <v>206928836</v>
      </c>
      <c r="D33" s="224"/>
      <c r="E33" s="204"/>
      <c r="F33" s="233"/>
      <c r="G33" s="226"/>
    </row>
    <row r="34" spans="1:7" s="250" customFormat="1" ht="13.5" customHeight="1">
      <c r="A34" s="734" t="s">
        <v>346</v>
      </c>
      <c r="B34" s="207" t="s">
        <v>1509</v>
      </c>
      <c r="C34" s="212">
        <f ca="1">ROUND(IF(B1="",SUMPRODUCT('数据-取费表'!K6:K14,'数据-取费表'!L6:L14),INDIRECT("'数据-取费表'!l"&amp;$G$1)*INDIRECT("'数据-取费表'!k"&amp;$G$1)+'数据-取费表'!L14*INDIRECT("'数据-取费表'!S"&amp;$G$1)),0)</f>
        <v>180870138</v>
      </c>
      <c r="D34" s="209"/>
      <c r="E34" s="212"/>
      <c r="F34" s="249"/>
      <c r="G34" s="211"/>
    </row>
    <row r="35" spans="1:7" ht="13.5" customHeight="1">
      <c r="A35" s="734" t="s">
        <v>351</v>
      </c>
      <c r="B35" s="207" t="s">
        <v>1511</v>
      </c>
      <c r="C35" s="212">
        <f ca="1">ROUND(C34*F35,0)</f>
        <v>9043507</v>
      </c>
      <c r="D35" s="212"/>
      <c r="E35" s="212"/>
      <c r="F35" s="251">
        <f>'数据-取费表'!B33</f>
        <v>0.05</v>
      </c>
      <c r="G35" s="211" t="s">
        <v>1512</v>
      </c>
    </row>
    <row r="36" spans="1:7" ht="24">
      <c r="A36" s="734" t="s">
        <v>352</v>
      </c>
      <c r="B36" s="207" t="s">
        <v>1513</v>
      </c>
      <c r="C36" s="212">
        <f ca="1">ROUND(IF(B1="",SUM('数据-取费表'!AP6:AP13)*F36,IF(INDIRECT("'数据-取费表'!c"&amp;$G$1)="住宅",INDIRECT("'数据-取费表'!k"&amp;$G$1)*INDIRECT("'数据-取费表'!l"&amp;$G$1)*F36,0)),0)</f>
        <v>0</v>
      </c>
      <c r="D36" s="212"/>
      <c r="E36" s="212"/>
      <c r="F36" s="251">
        <f>'数据-取费表'!B34</f>
        <v>0</v>
      </c>
      <c r="G36" s="252" t="s">
        <v>1514</v>
      </c>
    </row>
    <row r="37" spans="1:7" s="250" customFormat="1" ht="13.5" customHeight="1">
      <c r="A37" s="734" t="s">
        <v>353</v>
      </c>
      <c r="B37" s="207" t="s">
        <v>1515</v>
      </c>
      <c r="C37" s="241">
        <f ca="1">ROUND(E37*D37,0)</f>
        <v>13397788</v>
      </c>
      <c r="D37" s="209">
        <f ca="1">D19</f>
        <v>66988.94</v>
      </c>
      <c r="E37" s="241">
        <f>'数据-取费表'!B35</f>
        <v>200</v>
      </c>
      <c r="F37" s="251"/>
      <c r="G37" s="253"/>
    </row>
    <row r="38" spans="1:7" ht="13.5" customHeight="1">
      <c r="A38" s="734" t="s">
        <v>354</v>
      </c>
      <c r="B38" s="207" t="s">
        <v>1517</v>
      </c>
      <c r="C38" s="212">
        <f ca="1">ROUND(C34*F38,0)</f>
        <v>3617403</v>
      </c>
      <c r="D38" s="212"/>
      <c r="E38" s="212"/>
      <c r="F38" s="251">
        <f>'数据-取费表'!B36</f>
        <v>0.02</v>
      </c>
      <c r="G38" s="211" t="s">
        <v>1512</v>
      </c>
    </row>
    <row r="39" spans="1:7" s="206" customFormat="1" ht="13.5" customHeight="1">
      <c r="A39" s="247" t="s">
        <v>1518</v>
      </c>
      <c r="B39" s="202" t="s">
        <v>1519</v>
      </c>
      <c r="C39" s="224">
        <f ca="1">ROUND(C33*F20,0)</f>
        <v>4138577</v>
      </c>
      <c r="D39" s="224"/>
      <c r="E39" s="224"/>
      <c r="F39" s="225">
        <f>F20</f>
        <v>0.02</v>
      </c>
      <c r="G39" s="226" t="s">
        <v>1520</v>
      </c>
    </row>
    <row r="40" spans="1:7" s="206" customFormat="1" ht="13.5" customHeight="1">
      <c r="A40" s="247" t="s">
        <v>1521</v>
      </c>
      <c r="B40" s="202" t="s">
        <v>1522</v>
      </c>
      <c r="C40" s="227">
        <f>F21</f>
        <v>0.02</v>
      </c>
      <c r="D40" s="228" t="s">
        <v>1523</v>
      </c>
      <c r="E40" s="224"/>
      <c r="F40" s="225">
        <f>F21</f>
        <v>0.02</v>
      </c>
      <c r="G40" s="226" t="s">
        <v>1524</v>
      </c>
    </row>
    <row r="41" spans="1:7" s="206" customFormat="1" ht="13.5" customHeight="1">
      <c r="A41" s="247" t="s">
        <v>1525</v>
      </c>
      <c r="B41" s="202" t="s">
        <v>1526</v>
      </c>
      <c r="C41" s="224">
        <f ca="1">ROUND(SUM(C42:C43),0)</f>
        <v>6543090</v>
      </c>
      <c r="D41" s="227">
        <f ca="1">C44</f>
        <v>5.9999999999999995E-4</v>
      </c>
      <c r="E41" s="228" t="s">
        <v>1523</v>
      </c>
      <c r="F41" s="229">
        <f ca="1">F22</f>
        <v>3.1E-2</v>
      </c>
      <c r="G41" s="226" t="str">
        <f>IF('数据-取费表'!B22&lt;=1,"单利计息","复利计息")</f>
        <v>复利计息</v>
      </c>
    </row>
    <row r="42" spans="1:7" ht="13.5" customHeight="1">
      <c r="A42" s="734" t="s">
        <v>346</v>
      </c>
      <c r="B42" s="207" t="s">
        <v>1527</v>
      </c>
      <c r="C42" s="230">
        <f ca="1">ROUND(IF('数据-取费表'!B22&lt;=1,C33*F22*'数据-取费表'!B20/2,C33*(POWER((1+F22),'数据-取费表'!B20/2)-1)),0)</f>
        <v>6414794</v>
      </c>
      <c r="D42" s="230"/>
      <c r="E42" s="230"/>
      <c r="F42" s="231"/>
      <c r="G42" s="3393" t="s">
        <v>1575</v>
      </c>
    </row>
    <row r="43" spans="1:7" ht="13.5" customHeight="1">
      <c r="A43" s="734" t="s">
        <v>347</v>
      </c>
      <c r="B43" s="207" t="s">
        <v>1529</v>
      </c>
      <c r="C43" s="230">
        <f ca="1">ROUND(IF('数据-取费表'!B22&lt;=1,C39*F22*'数据-取费表'!B20/2,C39*(POWER((1+F22),'数据-取费表'!B20/2)-1)),0)</f>
        <v>128296</v>
      </c>
      <c r="D43" s="230"/>
      <c r="E43" s="230"/>
      <c r="F43" s="231"/>
      <c r="G43" s="3394"/>
    </row>
    <row r="44" spans="1:7" ht="13.5" customHeight="1">
      <c r="A44" s="734" t="s">
        <v>348</v>
      </c>
      <c r="B44" s="207" t="s">
        <v>1530</v>
      </c>
      <c r="C44" s="230">
        <f ca="1">ROUND(IF('数据-取费表'!B22&lt;=1,C40*F22*'数据-取费表'!B20/2,C40*(POWER((1+F22),'数据-取费表'!B20/2)-1)),4)</f>
        <v>5.9999999999999995E-4</v>
      </c>
      <c r="D44" s="230"/>
      <c r="E44" s="230"/>
      <c r="F44" s="231"/>
      <c r="G44" s="3395"/>
    </row>
    <row r="45" spans="1:7" s="206" customFormat="1" ht="13.5" customHeight="1">
      <c r="A45" s="247" t="s">
        <v>1531</v>
      </c>
      <c r="B45" s="236" t="s">
        <v>1497</v>
      </c>
      <c r="C45" s="237">
        <f ca="1">C46</f>
        <v>21106741</v>
      </c>
      <c r="D45" s="227">
        <f ca="1">C47</f>
        <v>2E-3</v>
      </c>
      <c r="E45" s="228" t="s">
        <v>1523</v>
      </c>
      <c r="F45" s="238">
        <f ca="1">F27</f>
        <v>0.1</v>
      </c>
      <c r="G45" s="239" t="s">
        <v>1532</v>
      </c>
    </row>
    <row r="46" spans="1:7" s="206" customFormat="1" ht="13.5" customHeight="1">
      <c r="A46" s="734" t="s">
        <v>346</v>
      </c>
      <c r="B46" s="240" t="s">
        <v>1533</v>
      </c>
      <c r="C46" s="241">
        <f ca="1">ROUND((C33+C39)*F27,0)</f>
        <v>21106741</v>
      </c>
      <c r="D46" s="255"/>
      <c r="E46" s="228"/>
      <c r="F46" s="238"/>
      <c r="G46" s="239"/>
    </row>
    <row r="47" spans="1:7" s="206" customFormat="1" ht="13.5" customHeight="1">
      <c r="A47" s="734" t="s">
        <v>347</v>
      </c>
      <c r="B47" s="240" t="s">
        <v>1534</v>
      </c>
      <c r="C47" s="230">
        <f ca="1">ROUND(C40*F27,4)</f>
        <v>2E-3</v>
      </c>
      <c r="D47" s="255"/>
      <c r="E47" s="228"/>
      <c r="F47" s="238"/>
      <c r="G47" s="239"/>
    </row>
    <row r="48" spans="1:7" s="206" customFormat="1" ht="13.5" customHeight="1">
      <c r="A48" s="247" t="s">
        <v>1496</v>
      </c>
      <c r="B48" s="202" t="s">
        <v>1535</v>
      </c>
      <c r="C48" s="254">
        <f>ROUND(F30/(1+'数据-取费表'!C42),4)</f>
        <v>5.2400000000000002E-2</v>
      </c>
      <c r="D48" s="228" t="s">
        <v>1523</v>
      </c>
      <c r="E48" s="224"/>
      <c r="F48" s="229">
        <f>F30</f>
        <v>5.5000000000000007E-2</v>
      </c>
      <c r="G48" s="226" t="s">
        <v>1536</v>
      </c>
    </row>
    <row r="49" spans="1:7" ht="16.5" customHeight="1">
      <c r="A49" s="247" t="s">
        <v>1502</v>
      </c>
      <c r="B49" s="202" t="s">
        <v>1576</v>
      </c>
      <c r="C49" s="224">
        <f ca="1">ROUND((C33+C39+C41+C45)/(1-C40-D41-D45-C48),0)</f>
        <v>258072696</v>
      </c>
      <c r="D49" s="224"/>
      <c r="E49" s="224"/>
      <c r="F49" s="256"/>
      <c r="G49" s="226" t="s">
        <v>1538</v>
      </c>
    </row>
    <row r="50" spans="1:7" s="250" customFormat="1">
      <c r="A50" s="247" t="s">
        <v>1539</v>
      </c>
      <c r="B50" s="202" t="s">
        <v>1540</v>
      </c>
      <c r="C50" s="224"/>
      <c r="D50" s="224"/>
      <c r="E50" s="224"/>
      <c r="F50" s="256">
        <f>IF('数据-取费表'!B24=0,'数据-取费表'!N16,1)</f>
        <v>0.69</v>
      </c>
      <c r="G50" s="239"/>
    </row>
    <row r="51" spans="1:7" ht="16.5" customHeight="1">
      <c r="A51" s="247" t="s">
        <v>1542</v>
      </c>
      <c r="B51" s="202" t="s">
        <v>1577</v>
      </c>
      <c r="C51" s="224">
        <f ca="1">ROUND(C49*F50,0)</f>
        <v>178070160</v>
      </c>
      <c r="D51" s="224"/>
      <c r="E51" s="224"/>
      <c r="F51" s="256"/>
      <c r="G51" s="226" t="s">
        <v>1544</v>
      </c>
    </row>
    <row r="52" spans="1:7" s="200" customFormat="1" ht="16.5" thickBot="1">
      <c r="A52" s="257" t="s">
        <v>1545</v>
      </c>
      <c r="B52" s="258"/>
      <c r="C52" s="259">
        <f ca="1">C31+C51</f>
        <v>212414296</v>
      </c>
      <c r="D52" s="258"/>
      <c r="E52" s="258"/>
      <c r="F52" s="258"/>
      <c r="G52" s="260"/>
    </row>
    <row r="55" spans="1:7" ht="15">
      <c r="B55" s="262" t="s">
        <v>1546</v>
      </c>
      <c r="C55" s="263"/>
    </row>
    <row r="56" spans="1:7">
      <c r="B56" s="265" t="s">
        <v>786</v>
      </c>
      <c r="C56" s="267">
        <f ca="1">1-C57</f>
        <v>0.16200000000000003</v>
      </c>
    </row>
    <row r="57" spans="1:7">
      <c r="B57" s="265" t="s">
        <v>787</v>
      </c>
      <c r="C57" s="266">
        <f ca="1">ROUND(C51/C52,3)</f>
        <v>0.83799999999999997</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1578</v>
      </c>
      <c r="B1" s="121"/>
      <c r="C1" s="1110"/>
      <c r="D1" s="1109"/>
      <c r="E1" s="2566"/>
      <c r="F1" s="2566"/>
      <c r="G1" s="2447"/>
      <c r="H1" s="2566"/>
      <c r="I1" s="2566"/>
      <c r="J1" s="2566"/>
      <c r="K1" s="2567">
        <f>MATCH(C1,'数据-取费表'!A6:A16,0)+5</f>
        <v>7</v>
      </c>
    </row>
    <row r="2" spans="1:33" ht="18" customHeight="1">
      <c r="A2" s="193" t="s">
        <v>1446</v>
      </c>
      <c r="B2" s="196">
        <f ca="1">C32</f>
        <v>0</v>
      </c>
      <c r="C2" s="268" t="s">
        <v>1579</v>
      </c>
      <c r="D2" s="268"/>
      <c r="E2" s="2566"/>
      <c r="F2" s="2566"/>
      <c r="G2" s="2566"/>
      <c r="H2" s="2566"/>
      <c r="I2" s="2566"/>
      <c r="J2" s="2566"/>
      <c r="K2" s="2566"/>
    </row>
    <row r="3" spans="1:33" ht="18" customHeight="1" thickBot="1">
      <c r="A3" s="195" t="s">
        <v>1448</v>
      </c>
      <c r="B3" s="196">
        <f ca="1">ROUND(B2*10000/IF(C1="",'数据-汇总表'!E3,INDIRECT("'数据-取费表'!K"&amp;$K$1)),0)</f>
        <v>0</v>
      </c>
      <c r="C3" s="268" t="s">
        <v>1580</v>
      </c>
      <c r="D3" s="268"/>
      <c r="E3" s="2566"/>
      <c r="F3" s="2566"/>
      <c r="G3" s="2566"/>
      <c r="H3" s="2566"/>
      <c r="I3" s="2566"/>
      <c r="J3" s="2566"/>
      <c r="K3" s="2566"/>
    </row>
    <row r="4" spans="1:33" s="739" customFormat="1" ht="16.5" customHeight="1">
      <c r="A4" s="736" t="s">
        <v>1581</v>
      </c>
      <c r="B4" s="737"/>
      <c r="C4" s="775">
        <f>SUM(C8:K8)</f>
        <v>0</v>
      </c>
      <c r="D4" s="737"/>
      <c r="E4" s="737"/>
      <c r="F4" s="737"/>
      <c r="G4" s="737"/>
      <c r="H4" s="737"/>
      <c r="I4" s="737"/>
      <c r="J4" s="737"/>
      <c r="K4" s="738"/>
    </row>
    <row r="5" spans="1:33" s="743" customFormat="1" ht="15">
      <c r="A5" s="740" t="s">
        <v>1582</v>
      </c>
      <c r="B5" s="741" t="s">
        <v>1583</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1584</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1585</v>
      </c>
      <c r="B7" s="123" t="s">
        <v>1586</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1587</v>
      </c>
      <c r="B8" s="156" t="s">
        <v>1588</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1589</v>
      </c>
      <c r="B9" s="737"/>
      <c r="C9" s="737"/>
      <c r="D9" s="737"/>
      <c r="E9" s="737"/>
      <c r="F9" s="737"/>
      <c r="G9" s="737"/>
      <c r="H9" s="737"/>
      <c r="I9" s="737"/>
      <c r="J9" s="737"/>
      <c r="K9" s="738"/>
    </row>
    <row r="10" spans="1:33" s="751" customFormat="1" ht="13.5" customHeight="1">
      <c r="A10" s="740" t="s">
        <v>1590</v>
      </c>
      <c r="B10" s="5" t="s">
        <v>1591</v>
      </c>
      <c r="C10" s="747" t="s">
        <v>1592</v>
      </c>
      <c r="D10" s="748" t="s">
        <v>1593</v>
      </c>
      <c r="E10" s="748" t="s">
        <v>1594</v>
      </c>
      <c r="F10" s="748" t="s">
        <v>1595</v>
      </c>
      <c r="G10" s="5"/>
      <c r="H10" s="749"/>
      <c r="I10" s="749"/>
      <c r="J10" s="749"/>
      <c r="K10" s="750"/>
    </row>
    <row r="11" spans="1:33" s="755" customFormat="1" ht="13.5" customHeight="1">
      <c r="A11" s="752" t="s">
        <v>635</v>
      </c>
      <c r="B11" s="753" t="s">
        <v>1596</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1597</v>
      </c>
      <c r="C12" s="21">
        <f ca="1">ROUND(C11*F12,0)</f>
        <v>0</v>
      </c>
      <c r="D12" s="754"/>
      <c r="E12" s="138"/>
      <c r="F12" s="764">
        <f>'数据-取费表'!B33</f>
        <v>0.05</v>
      </c>
      <c r="G12" s="5" t="s">
        <v>1598</v>
      </c>
      <c r="H12" s="749"/>
      <c r="I12" s="749"/>
      <c r="J12" s="749"/>
      <c r="K12" s="750"/>
    </row>
    <row r="13" spans="1:33" s="755" customFormat="1" ht="13.5" customHeight="1">
      <c r="A13" s="752" t="s">
        <v>637</v>
      </c>
      <c r="B13" s="753" t="s">
        <v>1599</v>
      </c>
      <c r="C13" s="21">
        <f ca="1">ROUND(IF(C1="",SUMIF('数据-取费表'!C:C,"住宅",'数据-取费表'!P:P)*F13,IF(INDIRECT("'数据-取费表'!c"&amp;$K$1)="住宅",INDIRECT("'数据-取费表'!P"&amp;$K$1)*F13,0)),0)</f>
        <v>0</v>
      </c>
      <c r="D13" s="796"/>
      <c r="E13" s="138"/>
      <c r="F13" s="764">
        <f>'数据-取费表'!B34</f>
        <v>0</v>
      </c>
      <c r="G13" s="5" t="s">
        <v>1600</v>
      </c>
      <c r="H13" s="749"/>
      <c r="I13" s="749"/>
      <c r="J13" s="749"/>
      <c r="K13" s="750"/>
    </row>
    <row r="14" spans="1:33" s="757" customFormat="1" ht="13.5" customHeight="1">
      <c r="A14" s="752" t="s">
        <v>638</v>
      </c>
      <c r="B14" s="753" t="s">
        <v>1601</v>
      </c>
      <c r="C14" s="21">
        <f ca="1">ROUND(D14*E14*F11/10000,0)</f>
        <v>0</v>
      </c>
      <c r="D14" s="796">
        <f ca="1">IF(C1="",'数据-汇总表'!E3,INDIRECT("'数据-取费表'!K"&amp;$K$1)+INDIRECT("'数据-取费表'!S"&amp;$K$1))</f>
        <v>66988.94</v>
      </c>
      <c r="E14" s="21">
        <f>'数据-取费表'!B35</f>
        <v>200</v>
      </c>
      <c r="F14" s="756"/>
      <c r="G14" s="5" t="s">
        <v>1602</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1603</v>
      </c>
      <c r="C15" s="763">
        <f ca="1">ROUND(C11*F15,0)</f>
        <v>0</v>
      </c>
      <c r="D15" s="758"/>
      <c r="E15" s="763"/>
      <c r="F15" s="764">
        <f>'数据-取费表'!B36</f>
        <v>0.02</v>
      </c>
      <c r="G15" s="123" t="s">
        <v>1604</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1605</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1606</v>
      </c>
      <c r="C17" s="21">
        <f ca="1">ROUND(D17*E17/10000,0)</f>
        <v>0</v>
      </c>
      <c r="D17" s="796">
        <f ca="1">D14</f>
        <v>66988.94</v>
      </c>
      <c r="E17" s="21">
        <f>'数据-取费表'!B32</f>
        <v>0</v>
      </c>
      <c r="F17" s="758"/>
      <c r="G17" s="123" t="s">
        <v>1607</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1608</v>
      </c>
      <c r="C18" s="21">
        <f ca="1">C19+C20-IF(C1="",'数据-取费表'!B29,IF(G18="已全部缴纳",C19+C20,H18))</f>
        <v>0</v>
      </c>
      <c r="D18" s="796"/>
      <c r="E18" s="21"/>
      <c r="F18" s="756"/>
      <c r="G18" s="1720"/>
      <c r="H18" s="1106"/>
      <c r="I18" s="1721" t="s">
        <v>1609</v>
      </c>
      <c r="J18" s="759"/>
      <c r="K18" s="760"/>
    </row>
    <row r="19" spans="1:33" s="755" customFormat="1" ht="13.5" customHeight="1">
      <c r="A19" s="752" t="s">
        <v>360</v>
      </c>
      <c r="B19" s="753" t="s">
        <v>1610</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1611</v>
      </c>
      <c r="C20" s="21">
        <f ca="1">ROUND(D20*E20/10000,0)</f>
        <v>1340</v>
      </c>
      <c r="D20" s="796">
        <f ca="1">IF(C1="",'数据-汇总表'!E6,IF(INDIRECT("'数据-取费表'!c"&amp;$K$1)="住宅",INDIRECT("'数据-取费表'!s"&amp;$K$1),INDIRECT("'数据-取费表'!k"&amp;$K$1)+INDIRECT("'数据-取费表'!s"&amp;$K$1)))</f>
        <v>66988.94</v>
      </c>
      <c r="E20" s="21">
        <f>'数据-取费表'!B28</f>
        <v>200</v>
      </c>
      <c r="F20" s="756"/>
      <c r="G20" s="12"/>
      <c r="H20" s="761"/>
      <c r="I20" s="761"/>
      <c r="J20" s="761"/>
      <c r="K20" s="762"/>
    </row>
    <row r="21" spans="1:33" s="755" customFormat="1" ht="13.5" customHeight="1">
      <c r="A21" s="744" t="s">
        <v>357</v>
      </c>
      <c r="B21" s="765" t="s">
        <v>1612</v>
      </c>
      <c r="C21" s="766">
        <f ca="1">C16+C17+C18</f>
        <v>0</v>
      </c>
      <c r="D21" s="767"/>
      <c r="E21" s="273"/>
      <c r="F21" s="273"/>
      <c r="G21" s="123" t="s">
        <v>1613</v>
      </c>
      <c r="H21" s="759"/>
      <c r="I21" s="759"/>
      <c r="J21" s="759"/>
      <c r="K21" s="760"/>
    </row>
    <row r="22" spans="1:33" s="755" customFormat="1" ht="13.5" customHeight="1">
      <c r="A22" s="744" t="s">
        <v>1585</v>
      </c>
      <c r="B22" s="765" t="s">
        <v>1614</v>
      </c>
      <c r="C22" s="766">
        <f ca="1">ROUND(C21*F22,0)</f>
        <v>0</v>
      </c>
      <c r="D22" s="273"/>
      <c r="E22" s="273"/>
      <c r="F22" s="768">
        <f>'数据-取费表'!B37</f>
        <v>0.02</v>
      </c>
      <c r="G22" s="5" t="s">
        <v>1615</v>
      </c>
      <c r="H22" s="749"/>
      <c r="I22" s="749"/>
      <c r="J22" s="749"/>
      <c r="K22" s="750"/>
    </row>
    <row r="23" spans="1:33" s="755" customFormat="1" ht="13.5" customHeight="1">
      <c r="A23" s="744" t="s">
        <v>1587</v>
      </c>
      <c r="B23" s="765" t="s">
        <v>1616</v>
      </c>
      <c r="C23" s="766">
        <f ca="1">ROUND(C4*F23*F11,0)</f>
        <v>0</v>
      </c>
      <c r="D23" s="273"/>
      <c r="E23" s="273"/>
      <c r="F23" s="768">
        <f>'数据-取费表'!B38</f>
        <v>0.02</v>
      </c>
      <c r="G23" s="5" t="s">
        <v>1617</v>
      </c>
      <c r="H23" s="749"/>
      <c r="I23" s="749"/>
      <c r="J23" s="749"/>
      <c r="K23" s="750"/>
    </row>
    <row r="24" spans="1:33" s="755" customFormat="1" ht="13.5" customHeight="1">
      <c r="A24" s="744" t="s">
        <v>1618</v>
      </c>
      <c r="B24" s="765" t="s">
        <v>1619</v>
      </c>
      <c r="C24" s="272">
        <f>ROUND(F24/(1+'数据-取费表'!C42),4)</f>
        <v>2.9000000000000001E-2</v>
      </c>
      <c r="D24" s="273" t="s">
        <v>12</v>
      </c>
      <c r="E24" s="273"/>
      <c r="F24" s="768">
        <f>IF(项目基本情况!B8="出让",0,'数据-取费表'!B48+'数据-取费表'!B49)</f>
        <v>3.0499999999999999E-2</v>
      </c>
      <c r="G24" s="5" t="s">
        <v>1620</v>
      </c>
      <c r="H24" s="770"/>
      <c r="I24" s="770"/>
      <c r="J24" s="770"/>
      <c r="K24" s="55"/>
    </row>
    <row r="25" spans="1:33" s="755" customFormat="1" ht="13.5" customHeight="1">
      <c r="A25" s="744" t="s">
        <v>1621</v>
      </c>
      <c r="B25" s="767" t="s">
        <v>1622</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1623</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1624</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1625</v>
      </c>
      <c r="B28" s="1723" t="s">
        <v>1626</v>
      </c>
      <c r="C28" s="279">
        <f ca="1">C30</f>
        <v>0</v>
      </c>
      <c r="D28" s="272">
        <f ca="1">C29</f>
        <v>0</v>
      </c>
      <c r="E28" s="274" t="s">
        <v>12</v>
      </c>
      <c r="F28" s="280">
        <f ca="1">IF(C1="",'数据-取费表'!Q16,INDIRECT("'数据-取费表'!q"&amp;$K$1))</f>
        <v>0.1</v>
      </c>
      <c r="G28" s="769"/>
      <c r="H28" s="770"/>
      <c r="I28" s="770"/>
      <c r="J28" s="770"/>
      <c r="K28" s="55"/>
    </row>
    <row r="29" spans="1:33" s="283" customFormat="1" ht="13.5" customHeight="1">
      <c r="A29" s="752" t="s">
        <v>358</v>
      </c>
      <c r="B29" s="773" t="s">
        <v>1627</v>
      </c>
      <c r="C29" s="276">
        <f ca="1">ROUND((1+C24)*F28*'数据-取费表'!B24/'数据-取费表'!B20,4)</f>
        <v>0</v>
      </c>
      <c r="D29" s="276"/>
      <c r="E29" s="277"/>
      <c r="F29" s="282"/>
      <c r="G29" s="123" t="s">
        <v>1628</v>
      </c>
      <c r="H29" s="759"/>
      <c r="I29" s="759"/>
      <c r="J29" s="759"/>
      <c r="K29" s="760"/>
    </row>
    <row r="30" spans="1:33" s="283" customFormat="1" ht="13.5" customHeight="1">
      <c r="A30" s="752" t="s">
        <v>359</v>
      </c>
      <c r="B30" s="773" t="s">
        <v>1629</v>
      </c>
      <c r="C30" s="284">
        <f ca="1">ROUND((C21+C22+C23)*F28,0)</f>
        <v>0</v>
      </c>
      <c r="D30" s="276"/>
      <c r="E30" s="277"/>
      <c r="F30" s="282"/>
      <c r="G30" s="123"/>
      <c r="H30" s="759"/>
      <c r="I30" s="759"/>
      <c r="J30" s="759"/>
      <c r="K30" s="760"/>
    </row>
    <row r="31" spans="1:33" s="755" customFormat="1" ht="13.5" customHeight="1" thickBot="1">
      <c r="A31" s="1724" t="s">
        <v>1630</v>
      </c>
      <c r="B31" s="783" t="s">
        <v>1631</v>
      </c>
      <c r="C31" s="784">
        <f>ROUND(C4*F31/(1+'数据-取费表'!C42),0)</f>
        <v>0</v>
      </c>
      <c r="D31" s="785"/>
      <c r="E31" s="786"/>
      <c r="F31" s="787">
        <f>'数据-取费表'!B41</f>
        <v>5.5000000000000007E-2</v>
      </c>
      <c r="G31" s="788" t="s">
        <v>1632</v>
      </c>
      <c r="H31" s="789"/>
      <c r="I31" s="789"/>
      <c r="J31" s="789"/>
      <c r="K31" s="790"/>
    </row>
    <row r="32" spans="1:33" s="751" customFormat="1" ht="13.5" customHeight="1" thickBot="1">
      <c r="A32" s="449" t="s">
        <v>1633</v>
      </c>
      <c r="B32" s="779"/>
      <c r="C32" s="780">
        <f ca="1">ROUND((C4-C21-C22-C23-C25-C28-C31)/(1+C24+D25+D28),0)</f>
        <v>0</v>
      </c>
      <c r="D32" s="779"/>
      <c r="E32" s="779"/>
      <c r="F32" s="779"/>
      <c r="G32" s="781" t="s">
        <v>1634</v>
      </c>
      <c r="H32" s="779"/>
      <c r="I32" s="779"/>
      <c r="J32" s="779"/>
      <c r="K32" s="78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15" sqref="J15"/>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861</v>
      </c>
      <c r="B1" s="663"/>
      <c r="C1" s="1287" t="s">
        <v>3</v>
      </c>
      <c r="D1" s="1271" t="s">
        <v>43</v>
      </c>
      <c r="E1" s="1272" t="s">
        <v>662</v>
      </c>
      <c r="F1" s="999">
        <f ca="1">J53</f>
        <v>28.47</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788</v>
      </c>
      <c r="B2" s="1294">
        <f ca="1">C40+J29+L46</f>
        <v>38122</v>
      </c>
      <c r="C2" s="1289" t="s">
        <v>789</v>
      </c>
      <c r="D2" s="1289"/>
      <c r="E2" s="1295"/>
      <c r="F2" s="1296"/>
      <c r="G2" s="2477"/>
      <c r="H2" s="2467"/>
      <c r="I2" s="2467"/>
      <c r="J2" s="2467"/>
      <c r="K2" s="2468"/>
      <c r="L2" s="2467"/>
      <c r="M2" s="2467"/>
    </row>
    <row r="3" spans="1:37" ht="18" customHeight="1" thickBot="1">
      <c r="A3" s="1297" t="s">
        <v>790</v>
      </c>
      <c r="B3" s="1298">
        <f ca="1">IF(ISERROR(B2*10000/F43),0,ROUND(B2*10000/F43,0))</f>
        <v>5691</v>
      </c>
      <c r="C3" s="1289" t="s">
        <v>791</v>
      </c>
      <c r="D3" s="1289"/>
      <c r="E3" s="1295"/>
      <c r="F3" s="1296"/>
      <c r="G3" s="2477"/>
      <c r="H3" s="649" t="s">
        <v>860</v>
      </c>
      <c r="I3" s="1290"/>
      <c r="J3" s="1290"/>
      <c r="K3" s="1291"/>
      <c r="L3" s="1290"/>
      <c r="M3" s="1290"/>
    </row>
    <row r="4" spans="1:37" ht="18" customHeight="1">
      <c r="A4" s="287" t="s">
        <v>671</v>
      </c>
      <c r="B4" s="288" t="s">
        <v>672</v>
      </c>
      <c r="C4" s="288" t="s">
        <v>673</v>
      </c>
      <c r="D4" s="288" t="s">
        <v>674</v>
      </c>
      <c r="E4" s="289" t="s">
        <v>675</v>
      </c>
      <c r="F4" s="290"/>
      <c r="G4" s="1292"/>
      <c r="H4" s="287" t="s">
        <v>671</v>
      </c>
      <c r="I4" s="288" t="s">
        <v>672</v>
      </c>
      <c r="J4" s="288" t="s">
        <v>673</v>
      </c>
      <c r="K4" s="288" t="s">
        <v>674</v>
      </c>
      <c r="L4" s="289" t="s">
        <v>675</v>
      </c>
      <c r="M4" s="290"/>
    </row>
    <row r="5" spans="1:37" ht="18" customHeight="1">
      <c r="A5" s="291">
        <v>1</v>
      </c>
      <c r="B5" s="292" t="s">
        <v>676</v>
      </c>
      <c r="C5" s="1007">
        <f ca="1">C6+C10+C12</f>
        <v>2644</v>
      </c>
      <c r="D5" s="1273" t="s">
        <v>677</v>
      </c>
      <c r="E5" s="1008"/>
      <c r="F5" s="1009"/>
      <c r="G5" s="1292"/>
      <c r="H5" s="291">
        <v>1</v>
      </c>
      <c r="I5" s="292" t="s">
        <v>676</v>
      </c>
      <c r="J5" s="1007">
        <f ca="1">J6+J10+J12</f>
        <v>0</v>
      </c>
      <c r="K5" s="1273" t="s">
        <v>677</v>
      </c>
      <c r="L5" s="1008"/>
      <c r="M5" s="1009"/>
    </row>
    <row r="6" spans="1:37" ht="18" customHeight="1">
      <c r="A6" s="1006" t="s">
        <v>398</v>
      </c>
      <c r="B6" s="3398" t="s">
        <v>678</v>
      </c>
      <c r="C6" s="1011">
        <f ca="1">ROUND(F6*F8*F7*(1-F9)/10000,0)</f>
        <v>2641</v>
      </c>
      <c r="D6" s="147" t="s">
        <v>2093</v>
      </c>
      <c r="E6" s="294" t="s">
        <v>680</v>
      </c>
      <c r="F6" s="295">
        <f ca="1">INDIRECT("'数据-取费表'!u"&amp;$G$1)</f>
        <v>1.2</v>
      </c>
      <c r="G6" s="1292"/>
      <c r="H6" s="1006" t="s">
        <v>398</v>
      </c>
      <c r="I6" s="3398" t="s">
        <v>678</v>
      </c>
      <c r="J6" s="293">
        <f ca="1">ROUND(M6*M8*M7*(1-M9)/10000,0)</f>
        <v>0</v>
      </c>
      <c r="K6" s="147" t="s">
        <v>2092</v>
      </c>
      <c r="L6" s="294" t="s">
        <v>680</v>
      </c>
      <c r="M6" s="295">
        <f ca="1">INDIRECT("'数据-取费表'!z"&amp;$G$1)</f>
        <v>0</v>
      </c>
    </row>
    <row r="7" spans="1:37" ht="18" customHeight="1">
      <c r="A7" s="1010"/>
      <c r="B7" s="3399"/>
      <c r="C7" s="1012"/>
      <c r="D7" s="299"/>
      <c r="E7" s="1013" t="s">
        <v>681</v>
      </c>
      <c r="F7" s="295">
        <f ca="1">IF(INDIRECT("'数据-取费表'!ah"&amp;$G$1)="",INDIRECT("'数据-取费表'!k"&amp;$G$1),INDIRECT("'数据-取费表'!ah"&amp;$G$1))</f>
        <v>66988.94</v>
      </c>
      <c r="G7" s="1292"/>
      <c r="H7" s="296"/>
      <c r="I7" s="3399"/>
      <c r="J7" s="298"/>
      <c r="K7" s="299"/>
      <c r="L7" s="294" t="s">
        <v>681</v>
      </c>
      <c r="M7" s="295">
        <f ca="1">F7</f>
        <v>66988.94</v>
      </c>
    </row>
    <row r="8" spans="1:37" ht="18" customHeight="1">
      <c r="A8" s="296"/>
      <c r="B8" s="3399"/>
      <c r="C8" s="298"/>
      <c r="D8" s="299"/>
      <c r="E8" s="294" t="s">
        <v>682</v>
      </c>
      <c r="F8" s="295">
        <f ca="1">INDIRECT("'数据-取费表'!ai"&amp;$G$1)</f>
        <v>365</v>
      </c>
      <c r="G8" s="1292"/>
      <c r="H8" s="296"/>
      <c r="I8" s="3399"/>
      <c r="J8" s="298"/>
      <c r="K8" s="299"/>
      <c r="L8" s="294" t="s">
        <v>682</v>
      </c>
      <c r="M8" s="295">
        <f ca="1">INDIRECT("'数据-取费表'!ai"&amp;$G$1)</f>
        <v>365</v>
      </c>
    </row>
    <row r="9" spans="1:37" ht="18" customHeight="1">
      <c r="A9" s="296"/>
      <c r="B9" s="3400"/>
      <c r="C9" s="298"/>
      <c r="D9" s="299"/>
      <c r="E9" s="294" t="s">
        <v>683</v>
      </c>
      <c r="F9" s="304">
        <f ca="1">INDIRECT("'数据-取费表'!w"&amp;$G$1)</f>
        <v>0.1</v>
      </c>
      <c r="G9" s="1292"/>
      <c r="H9" s="296"/>
      <c r="I9" s="3400"/>
      <c r="J9" s="298"/>
      <c r="K9" s="299"/>
      <c r="L9" s="305" t="s">
        <v>683</v>
      </c>
      <c r="M9" s="306">
        <f ca="1">INDIRECT("'数据-取费表'!ab"&amp;$G$1)</f>
        <v>0</v>
      </c>
    </row>
    <row r="10" spans="1:37" ht="18" customHeight="1">
      <c r="A10" s="1006" t="s">
        <v>402</v>
      </c>
      <c r="B10" s="1274" t="s">
        <v>684</v>
      </c>
      <c r="C10" s="308">
        <f ca="1">ROUND(IF(F10="押一",C6/12*F11,IF(F10="押二",C6/12*2*F11,IF(F10="押三",C6/12*3*F11,C11*F11))),0)</f>
        <v>3</v>
      </c>
      <c r="D10" s="150" t="s">
        <v>2101</v>
      </c>
      <c r="E10" s="305" t="s">
        <v>685</v>
      </c>
      <c r="F10" s="1053" t="s">
        <v>3396</v>
      </c>
      <c r="G10" s="1292"/>
      <c r="H10" s="1006" t="s">
        <v>402</v>
      </c>
      <c r="I10" s="1274" t="s">
        <v>684</v>
      </c>
      <c r="J10" s="293">
        <f ca="1">ROUND(IF(M10="押一",J6/12*M11,IF(M10="押二",J6/12*2*M11,IF(M10="押三",J6/12*3*M11,J11*M11))),0)</f>
        <v>0</v>
      </c>
      <c r="K10" s="150" t="s">
        <v>2100</v>
      </c>
      <c r="L10" s="305" t="s">
        <v>685</v>
      </c>
      <c r="M10" s="1053" t="s">
        <v>3396</v>
      </c>
    </row>
    <row r="11" spans="1:37" ht="18" customHeight="1">
      <c r="A11" s="300"/>
      <c r="B11" s="1275" t="s">
        <v>663</v>
      </c>
      <c r="C11" s="905"/>
      <c r="D11" s="1276"/>
      <c r="E11" s="305" t="s">
        <v>686</v>
      </c>
      <c r="F11" s="306">
        <f ca="1">'数据-取费表'!B39</f>
        <v>1.4999999999999999E-2</v>
      </c>
      <c r="G11" s="1292"/>
      <c r="H11" s="1014"/>
      <c r="I11" s="1275" t="s">
        <v>663</v>
      </c>
      <c r="J11" s="905"/>
      <c r="K11" s="646"/>
      <c r="L11" s="305" t="s">
        <v>686</v>
      </c>
      <c r="M11" s="809">
        <f ca="1">'数据-取费表'!B39</f>
        <v>1.4999999999999999E-2</v>
      </c>
    </row>
    <row r="12" spans="1:37" ht="18" customHeight="1" thickBot="1">
      <c r="A12" s="1020" t="s">
        <v>437</v>
      </c>
      <c r="B12" s="1277" t="s">
        <v>687</v>
      </c>
      <c r="C12" s="1021"/>
      <c r="D12" s="1022"/>
      <c r="E12" s="1027"/>
      <c r="F12" s="1023"/>
      <c r="G12" s="1292"/>
      <c r="H12" s="1020" t="s">
        <v>437</v>
      </c>
      <c r="I12" s="1277" t="s">
        <v>687</v>
      </c>
      <c r="J12" s="1021"/>
      <c r="K12" s="1035"/>
      <c r="L12" s="1027"/>
      <c r="M12" s="1036"/>
    </row>
    <row r="13" spans="1:37" ht="18" customHeight="1" thickTop="1">
      <c r="A13" s="1016">
        <v>2</v>
      </c>
      <c r="B13" s="1017" t="s">
        <v>688</v>
      </c>
      <c r="C13" s="302">
        <f ca="1">ROUND(C29*F13,0)</f>
        <v>17808</v>
      </c>
      <c r="D13" s="1018" t="s">
        <v>689</v>
      </c>
      <c r="E13" s="1018" t="s">
        <v>690</v>
      </c>
      <c r="F13" s="1019">
        <f ca="1">INDIRECT("'数据-取费表'!y"&amp;$G$1)</f>
        <v>0.69</v>
      </c>
      <c r="G13" s="1292"/>
      <c r="H13" s="1016">
        <v>2</v>
      </c>
      <c r="I13" s="1017" t="s">
        <v>688</v>
      </c>
      <c r="J13" s="1005">
        <f ca="1">ROUND(J14*J15,0)</f>
        <v>0</v>
      </c>
      <c r="K13" s="1024" t="s">
        <v>689</v>
      </c>
      <c r="L13" s="1299"/>
      <c r="M13" s="1300"/>
    </row>
    <row r="14" spans="1:37" ht="18" customHeight="1">
      <c r="A14" s="928" t="s">
        <v>397</v>
      </c>
      <c r="B14" s="294" t="s">
        <v>691</v>
      </c>
      <c r="C14" s="310">
        <f ca="1">INDIRECT("'数据-取费表'!m"&amp;$G$1)+INDIRECT("'数据-取费表'!t"&amp;$G$1)</f>
        <v>18087</v>
      </c>
      <c r="D14" s="1257" t="s">
        <v>692</v>
      </c>
      <c r="E14" s="1255"/>
      <c r="F14" s="311"/>
      <c r="G14" s="1292"/>
      <c r="H14" s="928" t="s">
        <v>398</v>
      </c>
      <c r="I14" s="294" t="s">
        <v>693</v>
      </c>
      <c r="J14" s="21">
        <f ca="1">C29</f>
        <v>25808</v>
      </c>
      <c r="K14" s="12"/>
      <c r="L14" s="759"/>
      <c r="M14" s="760"/>
    </row>
    <row r="15" spans="1:37" s="1304" customFormat="1" ht="18" customHeight="1" thickBot="1">
      <c r="A15" s="928" t="s">
        <v>399</v>
      </c>
      <c r="B15" s="294" t="s">
        <v>694</v>
      </c>
      <c r="C15" s="21">
        <f ca="1">ROUND(C14*F15,0)</f>
        <v>904</v>
      </c>
      <c r="D15" s="312" t="s">
        <v>695</v>
      </c>
      <c r="E15" s="312" t="s">
        <v>696</v>
      </c>
      <c r="F15" s="313">
        <f>'数据-取费表'!B33</f>
        <v>0.05</v>
      </c>
      <c r="G15" s="1303"/>
      <c r="H15" s="1026" t="s">
        <v>402</v>
      </c>
      <c r="I15" s="1027" t="s">
        <v>690</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664</v>
      </c>
      <c r="B16" s="294" t="s">
        <v>697</v>
      </c>
      <c r="C16" s="21">
        <f ca="1">ROUND(INDIRECT("'数据-取费表'!m"&amp;$G$1)*F16,0)</f>
        <v>0</v>
      </c>
      <c r="D16" s="294" t="s">
        <v>695</v>
      </c>
      <c r="E16" s="294" t="s">
        <v>696</v>
      </c>
      <c r="F16" s="314">
        <f ca="1">IF(INDIRECT("'数据-取费表'!c"&amp;$G$1)="住宅",'数据-取费表'!B34,0)</f>
        <v>0</v>
      </c>
      <c r="G16" s="1292"/>
      <c r="H16" s="1016" t="s">
        <v>393</v>
      </c>
      <c r="I16" s="1017" t="s">
        <v>698</v>
      </c>
      <c r="J16" s="302">
        <f ca="1">ROUND(J17+J22+J23+J24,0)</f>
        <v>70</v>
      </c>
      <c r="K16" s="1024" t="s">
        <v>699</v>
      </c>
      <c r="L16" s="1025"/>
      <c r="M16" s="1009"/>
    </row>
    <row r="17" spans="1:37" s="1304" customFormat="1" ht="18" customHeight="1">
      <c r="A17" s="928" t="s">
        <v>665</v>
      </c>
      <c r="B17" s="294" t="s">
        <v>700</v>
      </c>
      <c r="C17" s="21">
        <f ca="1">ROUND(F17*(F43+INDIRECT("'数据-取费表'!S"&amp;$G$1))/10000,0)</f>
        <v>1340</v>
      </c>
      <c r="D17" s="294" t="s">
        <v>701</v>
      </c>
      <c r="E17" s="294" t="s">
        <v>702</v>
      </c>
      <c r="F17" s="23">
        <f>'数据-取费表'!B35</f>
        <v>200</v>
      </c>
      <c r="G17" s="1303"/>
      <c r="H17" s="928" t="s">
        <v>398</v>
      </c>
      <c r="I17" s="294" t="s">
        <v>703</v>
      </c>
      <c r="J17" s="2140">
        <f ca="1">ROUND(IF(AND(项目基本情况!B11="自然人",项目基本情况!B10="北京市"),J6*M17/(1+'数据-取费表'!C42),J18+J19+J20),2)</f>
        <v>18.09</v>
      </c>
      <c r="K17" s="1257" t="s">
        <v>704</v>
      </c>
      <c r="L17" s="1256" t="s">
        <v>705</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666</v>
      </c>
      <c r="B18" s="294" t="s">
        <v>706</v>
      </c>
      <c r="C18" s="21">
        <f ca="1">ROUND(C14*F18,0)</f>
        <v>362</v>
      </c>
      <c r="D18" s="294" t="s">
        <v>695</v>
      </c>
      <c r="E18" s="294" t="s">
        <v>696</v>
      </c>
      <c r="F18" s="314">
        <f>'数据-取费表'!B36</f>
        <v>0.02</v>
      </c>
      <c r="G18" s="1303"/>
      <c r="H18" s="928" t="s">
        <v>397</v>
      </c>
      <c r="I18" s="294" t="s">
        <v>707</v>
      </c>
      <c r="J18" s="21">
        <f ca="1">ROUND(J6*M18/(1+'数据-取费表'!C42),2)</f>
        <v>0</v>
      </c>
      <c r="K18" s="1256" t="s">
        <v>708</v>
      </c>
      <c r="L18" s="294" t="s">
        <v>696</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709</v>
      </c>
      <c r="C19" s="21">
        <f ca="1">SUM(C14:C18)</f>
        <v>20693</v>
      </c>
      <c r="D19" s="123" t="s">
        <v>710</v>
      </c>
      <c r="E19" s="1269"/>
      <c r="F19" s="23"/>
      <c r="G19" s="1292"/>
      <c r="H19" s="928" t="s">
        <v>399</v>
      </c>
      <c r="I19" s="294" t="s">
        <v>711</v>
      </c>
      <c r="J19" s="21">
        <f ca="1">IF(K19="按租金收入计税",ROUND(J6*M19/(1+'数据-取费表'!C42),2),ROUND(C29*M19*0.7,2))</f>
        <v>0</v>
      </c>
      <c r="K19" s="1278" t="s">
        <v>3311</v>
      </c>
      <c r="L19" s="294" t="s">
        <v>696</v>
      </c>
      <c r="M19" s="314">
        <f>IF(K19="按租金收入计税",'数据-取费表'!B51,'数据-取费表'!B50)</f>
        <v>0.12</v>
      </c>
    </row>
    <row r="20" spans="1:37" s="1304" customFormat="1" ht="18" customHeight="1">
      <c r="A20" s="928" t="s">
        <v>402</v>
      </c>
      <c r="B20" s="294" t="s">
        <v>712</v>
      </c>
      <c r="C20" s="21">
        <f ca="1">ROUND(C19*F20,0)</f>
        <v>414</v>
      </c>
      <c r="D20" s="315" t="s">
        <v>713</v>
      </c>
      <c r="E20" s="294" t="s">
        <v>696</v>
      </c>
      <c r="F20" s="314">
        <f>'数据-取费表'!B37</f>
        <v>0.02</v>
      </c>
      <c r="G20" s="1303"/>
      <c r="H20" s="928" t="s">
        <v>664</v>
      </c>
      <c r="I20" s="147" t="s">
        <v>714</v>
      </c>
      <c r="J20" s="22">
        <f ca="1">ROUND(M20*M21/10000,2)</f>
        <v>18.09</v>
      </c>
      <c r="K20" s="316" t="s">
        <v>715</v>
      </c>
      <c r="L20" s="294" t="s">
        <v>716</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717</v>
      </c>
      <c r="C21" s="21" t="s">
        <v>15</v>
      </c>
      <c r="D21" s="315" t="s">
        <v>718</v>
      </c>
      <c r="E21" s="294" t="s">
        <v>719</v>
      </c>
      <c r="F21" s="314">
        <f>'数据-取费表'!B38</f>
        <v>0.02</v>
      </c>
      <c r="G21" s="1303"/>
      <c r="H21" s="318"/>
      <c r="I21" s="303"/>
      <c r="J21" s="26"/>
      <c r="K21" s="319"/>
      <c r="L21" s="294" t="s">
        <v>720</v>
      </c>
      <c r="M21" s="295">
        <f ca="1">INDIRECT("'数据-取费表'!r"&amp;$G$1)</f>
        <v>120628.8</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667</v>
      </c>
      <c r="B22" s="294" t="s">
        <v>721</v>
      </c>
      <c r="C22" s="21"/>
      <c r="D22" s="123" t="str">
        <f>IF(F23&lt;=1,"单利计息。","复利计息。")&amp;"建造成本、管理费用、销售费用产生的利息。"</f>
        <v>复利计息。建造成本、管理费用、销售费用产生的利息。</v>
      </c>
      <c r="E22" s="1269"/>
      <c r="F22" s="23"/>
      <c r="G22" s="1292"/>
      <c r="H22" s="928" t="s">
        <v>402</v>
      </c>
      <c r="I22" s="294" t="s">
        <v>722</v>
      </c>
      <c r="J22" s="21">
        <f ca="1">ROUND(J14*M22,2)</f>
        <v>51.62</v>
      </c>
      <c r="K22" s="1256" t="s">
        <v>723</v>
      </c>
      <c r="L22" s="294" t="s">
        <v>696</v>
      </c>
      <c r="M22" s="320">
        <f ca="1">INDIRECT("'数据-取费表'!Ak"&amp;$G$1)</f>
        <v>2E-3</v>
      </c>
    </row>
    <row r="23" spans="1:37" s="1304" customFormat="1" ht="18" customHeight="1">
      <c r="A23" s="928" t="s">
        <v>397</v>
      </c>
      <c r="B23" s="294" t="s">
        <v>724</v>
      </c>
      <c r="C23" s="21">
        <f ca="1">IF('数据-取费表'!B22&lt;=1,ROUND(C19*F24*F23/2,0)+ROUND(C20*F24*F23/2,0),ROUND(C19*(POWER((1+F24),F23/2)-1),0)+ROUND(C20*(POWER((1+F24),F23/2)-1),0))</f>
        <v>654</v>
      </c>
      <c r="D23" s="138" t="str">
        <f>IF(F23&lt;=1,"(建造成本+管理费用)×利率×(建设周期÷2)","(建造成本+管理费用)×((1+利率)^(建设周期÷2)-1)")</f>
        <v>(建造成本+管理费用)×((1+利率)^(建设周期÷2)-1)</v>
      </c>
      <c r="E23" s="294" t="s">
        <v>725</v>
      </c>
      <c r="F23" s="317">
        <f>'数据-取费表'!B20</f>
        <v>2</v>
      </c>
      <c r="G23" s="1303"/>
      <c r="H23" s="928" t="s">
        <v>437</v>
      </c>
      <c r="I23" s="294" t="s">
        <v>726</v>
      </c>
      <c r="J23" s="21">
        <f ca="1">ROUND(J13*M23,2)</f>
        <v>0</v>
      </c>
      <c r="K23" s="1256" t="s">
        <v>727</v>
      </c>
      <c r="L23" s="294" t="s">
        <v>728</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729</v>
      </c>
      <c r="B24" s="294" t="s">
        <v>730</v>
      </c>
      <c r="C24" s="21">
        <f ca="1">ROUND(IF('数据-取费表'!B22&lt;=1,F21*F24*F23/2,F21*(POWER((1+F24),F23/2)-1)),4)</f>
        <v>5.9999999999999995E-4</v>
      </c>
      <c r="D24" s="138" t="str">
        <f>IF(F23&lt;=1,"销售费用×利率×(建设周期÷2)","销售费用×((1+利率)^(建设周期÷2)-1)")</f>
        <v>销售费用×((1+利率)^(建设周期÷2)-1)</v>
      </c>
      <c r="E24" s="294" t="s">
        <v>731</v>
      </c>
      <c r="F24" s="322">
        <f ca="1">'数据-取费表'!B40</f>
        <v>3.1E-2</v>
      </c>
      <c r="G24" s="1303"/>
      <c r="H24" s="1026" t="s">
        <v>668</v>
      </c>
      <c r="I24" s="1027" t="s">
        <v>712</v>
      </c>
      <c r="J24" s="1028">
        <f ca="1">ROUND(J5*M24,2)</f>
        <v>0</v>
      </c>
      <c r="K24" s="1029" t="s">
        <v>732</v>
      </c>
      <c r="L24" s="1027" t="s">
        <v>728</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733</v>
      </c>
      <c r="B25" s="294" t="s">
        <v>734</v>
      </c>
      <c r="C25" s="21"/>
      <c r="D25" s="123" t="s">
        <v>735</v>
      </c>
      <c r="E25" s="1269"/>
      <c r="F25" s="23"/>
      <c r="G25" s="1292"/>
      <c r="H25" s="1016" t="s">
        <v>394</v>
      </c>
      <c r="I25" s="1031" t="s">
        <v>736</v>
      </c>
      <c r="J25" s="302">
        <f ca="1">J5-J16</f>
        <v>-70</v>
      </c>
      <c r="K25" s="1032" t="s">
        <v>737</v>
      </c>
      <c r="L25" s="1033"/>
      <c r="M25" s="1034"/>
    </row>
    <row r="26" spans="1:37">
      <c r="A26" s="928" t="s">
        <v>397</v>
      </c>
      <c r="B26" s="294" t="s">
        <v>738</v>
      </c>
      <c r="C26" s="21">
        <f ca="1">ROUND((C19+C20)*F26,0)</f>
        <v>2111</v>
      </c>
      <c r="D26" s="315" t="s">
        <v>739</v>
      </c>
      <c r="E26" s="305" t="s">
        <v>740</v>
      </c>
      <c r="F26" s="304">
        <f ca="1">INDIRECT("'数据-取费表'!q"&amp;$G$1)</f>
        <v>0.1</v>
      </c>
      <c r="G26" s="1292"/>
      <c r="H26" s="291" t="s">
        <v>395</v>
      </c>
      <c r="I26" s="292" t="s">
        <v>741</v>
      </c>
      <c r="J26" s="293">
        <f ca="1">IF(J5&lt;&gt;0,ROUND(J25*(1-((1+M28)/(1+M26))^M27)/(M26-M28),0),0)</f>
        <v>0</v>
      </c>
      <c r="K26" s="316" t="s">
        <v>742</v>
      </c>
      <c r="L26" s="294" t="s">
        <v>743</v>
      </c>
      <c r="M26" s="304">
        <f ca="1">INDIRECT("'数据-取费表'!I"&amp;$G$1)</f>
        <v>0.05</v>
      </c>
    </row>
    <row r="27" spans="1:37" ht="18" customHeight="1">
      <c r="A27" s="928" t="s">
        <v>399</v>
      </c>
      <c r="B27" s="294" t="s">
        <v>744</v>
      </c>
      <c r="C27" s="21">
        <f ca="1">ROUND(F21*F26,4)</f>
        <v>2E-3</v>
      </c>
      <c r="D27" s="315" t="s">
        <v>745</v>
      </c>
      <c r="E27" s="312"/>
      <c r="F27" s="313"/>
      <c r="G27" s="1292"/>
      <c r="H27" s="296"/>
      <c r="I27" s="297"/>
      <c r="J27" s="298"/>
      <c r="K27" s="323" t="s">
        <v>746</v>
      </c>
      <c r="L27" s="294" t="s">
        <v>747</v>
      </c>
      <c r="M27" s="324">
        <f ca="1">INDIRECT("'数据-取费表'!ag"&amp;$G$1)</f>
        <v>0</v>
      </c>
    </row>
    <row r="28" spans="1:37" s="1304" customFormat="1" ht="18" customHeight="1">
      <c r="A28" s="928" t="s">
        <v>400</v>
      </c>
      <c r="B28" s="294" t="s">
        <v>748</v>
      </c>
      <c r="C28" s="21">
        <f>ROUND(F28/(1+'数据-取费表'!C42),4)</f>
        <v>5.2400000000000002E-2</v>
      </c>
      <c r="D28" s="315" t="s">
        <v>749</v>
      </c>
      <c r="E28" s="294" t="s">
        <v>696</v>
      </c>
      <c r="F28" s="314">
        <f>'数据-取费表'!B41</f>
        <v>5.5000000000000007E-2</v>
      </c>
      <c r="G28" s="1303"/>
      <c r="H28" s="300"/>
      <c r="I28" s="301"/>
      <c r="J28" s="302"/>
      <c r="K28" s="319"/>
      <c r="L28" s="294" t="s">
        <v>750</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751</v>
      </c>
      <c r="C29" s="1028">
        <f ca="1">ROUND((C19+C20+C23+C26)/(1-F21-C24-C27-C28),0)</f>
        <v>25808</v>
      </c>
      <c r="D29" s="1029"/>
      <c r="E29" s="1027"/>
      <c r="F29" s="1030"/>
      <c r="G29" s="1303"/>
      <c r="H29" s="325" t="s">
        <v>396</v>
      </c>
      <c r="I29" s="326" t="s">
        <v>752</v>
      </c>
      <c r="J29" s="327">
        <f ca="1">ROUND(J26/(1+F40)^F41,0)</f>
        <v>0</v>
      </c>
      <c r="K29" s="328" t="s">
        <v>753</v>
      </c>
      <c r="L29" s="329"/>
      <c r="M29" s="330">
        <f ca="1">INDIRECT("'数据-取费表'!k"&amp;$G$1)</f>
        <v>66988.94</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698</v>
      </c>
      <c r="C30" s="302">
        <f ca="1">ROUND(C31+C36+C37+C38,0)</f>
        <v>554</v>
      </c>
      <c r="D30" s="1024" t="s">
        <v>699</v>
      </c>
      <c r="E30" s="1025"/>
      <c r="F30" s="1009"/>
      <c r="G30" s="1292"/>
      <c r="H30" s="2469"/>
      <c r="I30" s="1305"/>
      <c r="J30" s="1306"/>
      <c r="K30" s="121"/>
      <c r="L30" s="2470"/>
      <c r="M30" s="2471"/>
    </row>
    <row r="31" spans="1:37" ht="18" customHeight="1">
      <c r="A31" s="928" t="s">
        <v>398</v>
      </c>
      <c r="B31" s="294" t="s">
        <v>703</v>
      </c>
      <c r="C31" s="2140">
        <f ca="1">ROUND(IF(AND(项目基本情况!B11="自然人",项目基本情况!B10="北京市"),C6*F31/(1+'数据-取费表'!C42),C32+C33+C34),2)</f>
        <v>458.26</v>
      </c>
      <c r="D31" s="1257" t="s">
        <v>704</v>
      </c>
      <c r="E31" s="1256" t="s">
        <v>754</v>
      </c>
      <c r="F31" s="2139" t="str">
        <f>IF(项目基本情况!B11="企业","——",IF(M47="住宅",IF(F6*F7*F8/12/(1+'数据-取费表'!F30)&gt;100000,4%,2.5%),IF(F6*F7*F8/12/(1+'数据-取费表'!F30)&gt;100000,12%,7%)))</f>
        <v>——</v>
      </c>
      <c r="G31" s="1292"/>
      <c r="H31" s="2568" t="s">
        <v>2281</v>
      </c>
      <c r="I31" s="1305"/>
      <c r="J31" s="1306"/>
      <c r="K31" s="121"/>
      <c r="L31" s="2470"/>
      <c r="M31" s="2471"/>
    </row>
    <row r="32" spans="1:37" ht="18" customHeight="1">
      <c r="A32" s="928" t="s">
        <v>397</v>
      </c>
      <c r="B32" s="294" t="s">
        <v>707</v>
      </c>
      <c r="C32" s="21">
        <f ca="1">IF(项目基本情况!B11="自然人","——",ROUND(C6*F32/(1+'数据-取费表'!C42),2))</f>
        <v>138.34</v>
      </c>
      <c r="D32" s="1256" t="s">
        <v>708</v>
      </c>
      <c r="E32" s="294" t="s">
        <v>696</v>
      </c>
      <c r="F32" s="322">
        <f>'数据-取费表'!B41</f>
        <v>5.5000000000000007E-2</v>
      </c>
      <c r="G32" s="1292"/>
      <c r="H32" s="2469"/>
      <c r="I32" s="1305"/>
      <c r="J32" s="1306"/>
      <c r="K32" s="121"/>
      <c r="L32" s="2470"/>
      <c r="M32" s="2471"/>
    </row>
    <row r="33" spans="1:18" ht="18" customHeight="1">
      <c r="A33" s="928" t="s">
        <v>399</v>
      </c>
      <c r="B33" s="294" t="s">
        <v>711</v>
      </c>
      <c r="C33" s="21">
        <f ca="1">IF(项目基本情况!B11="自然人","——",IF(D33="按租金收入计税",ROUND(C6*F33/(1+'数据-取费表'!C42),2),IF(D33="按房产原值计税",ROUND(C29*F33*0.7,2),INDIRECT("'数据-取费表'!Aj"&amp;$G$1))))</f>
        <v>301.83</v>
      </c>
      <c r="D33" s="1278" t="s">
        <v>3311</v>
      </c>
      <c r="E33" s="294" t="s">
        <v>696</v>
      </c>
      <c r="F33" s="314">
        <f>IF(D33="按票据","——",IF(D33="按租金收入计税",'数据-取费表'!B51,'数据-取费表'!B50))</f>
        <v>0.12</v>
      </c>
      <c r="G33" s="1292"/>
      <c r="H33" s="2472"/>
      <c r="I33" s="1305"/>
      <c r="J33" s="1306"/>
      <c r="K33" s="2473"/>
      <c r="L33" s="2472"/>
      <c r="M33" s="2472"/>
    </row>
    <row r="34" spans="1:18" ht="18" customHeight="1">
      <c r="A34" s="1006" t="s">
        <v>664</v>
      </c>
      <c r="B34" s="147" t="s">
        <v>714</v>
      </c>
      <c r="C34" s="22">
        <f ca="1">IF(项目基本情况!B11="自然人","——",ROUND(F34*F35/10000,2))</f>
        <v>18.09</v>
      </c>
      <c r="D34" s="316" t="s">
        <v>715</v>
      </c>
      <c r="E34" s="294" t="s">
        <v>716</v>
      </c>
      <c r="F34" s="317">
        <f>'数据-取费表'!B52</f>
        <v>1.5</v>
      </c>
      <c r="G34" s="1292"/>
      <c r="H34" s="2469"/>
      <c r="I34" s="1305"/>
      <c r="J34" s="1306"/>
      <c r="K34" s="2474"/>
      <c r="L34" s="2475"/>
      <c r="M34" s="2475"/>
    </row>
    <row r="35" spans="1:18" ht="18" customHeight="1">
      <c r="A35" s="1040"/>
      <c r="B35" s="1038"/>
      <c r="C35" s="26"/>
      <c r="D35" s="319"/>
      <c r="E35" s="294" t="s">
        <v>720</v>
      </c>
      <c r="F35" s="295">
        <f ca="1">INDIRECT("'数据-取费表'!r"&amp;$G$1)</f>
        <v>120628.8</v>
      </c>
      <c r="G35" s="1292"/>
      <c r="H35" s="2469"/>
      <c r="I35" s="1305"/>
      <c r="J35" s="1306"/>
      <c r="K35" s="2473"/>
      <c r="L35" s="2472"/>
      <c r="M35" s="2472"/>
    </row>
    <row r="36" spans="1:18" ht="18" customHeight="1">
      <c r="A36" s="1039" t="s">
        <v>402</v>
      </c>
      <c r="B36" s="294" t="s">
        <v>722</v>
      </c>
      <c r="C36" s="21">
        <f ca="1">ROUND(C29*F36,2)</f>
        <v>51.62</v>
      </c>
      <c r="D36" s="1256" t="s">
        <v>755</v>
      </c>
      <c r="E36" s="294" t="s">
        <v>696</v>
      </c>
      <c r="F36" s="320">
        <f ca="1">INDIRECT("'数据-取费表'!Ak"&amp;$G$1)</f>
        <v>2E-3</v>
      </c>
      <c r="G36" s="1292"/>
      <c r="H36" s="2472"/>
      <c r="I36" s="1305"/>
      <c r="J36" s="1306"/>
      <c r="K36" s="2329"/>
      <c r="L36" s="2472"/>
      <c r="M36" s="2472"/>
    </row>
    <row r="37" spans="1:18" ht="18" customHeight="1">
      <c r="A37" s="928" t="s">
        <v>437</v>
      </c>
      <c r="B37" s="294" t="s">
        <v>726</v>
      </c>
      <c r="C37" s="21">
        <f ca="1">ROUND(C13*F37,2)</f>
        <v>17.809999999999999</v>
      </c>
      <c r="D37" s="1256" t="s">
        <v>727</v>
      </c>
      <c r="E37" s="294" t="s">
        <v>728</v>
      </c>
      <c r="F37" s="321">
        <f ca="1">INDIRECT("'数据-取费表'!Al"&amp;$G$1)</f>
        <v>1E-3</v>
      </c>
      <c r="G37" s="1292"/>
      <c r="H37" s="2472"/>
      <c r="I37" s="1305"/>
      <c r="J37" s="1306"/>
      <c r="K37" s="2329"/>
      <c r="L37" s="2472"/>
      <c r="M37" s="2472"/>
    </row>
    <row r="38" spans="1:18" ht="18" customHeight="1" thickBot="1">
      <c r="A38" s="1026" t="s">
        <v>668</v>
      </c>
      <c r="B38" s="1027" t="s">
        <v>712</v>
      </c>
      <c r="C38" s="1028">
        <f ca="1">ROUND(C5*F38,2)</f>
        <v>26.44</v>
      </c>
      <c r="D38" s="1029" t="s">
        <v>732</v>
      </c>
      <c r="E38" s="1027" t="s">
        <v>728</v>
      </c>
      <c r="F38" s="1023">
        <f ca="1">INDIRECT("'数据-取费表'!Am"&amp;$G$1)</f>
        <v>0.01</v>
      </c>
      <c r="G38" s="1292"/>
      <c r="H38" s="2472"/>
      <c r="I38" s="1305"/>
      <c r="J38" s="1306"/>
      <c r="K38" s="2470"/>
      <c r="L38" s="2472"/>
      <c r="M38" s="2472"/>
    </row>
    <row r="39" spans="1:18" ht="24.6" customHeight="1" thickTop="1">
      <c r="A39" s="1016" t="s">
        <v>394</v>
      </c>
      <c r="B39" s="1031" t="s">
        <v>756</v>
      </c>
      <c r="C39" s="302">
        <f ca="1">C5-C30</f>
        <v>2090</v>
      </c>
      <c r="D39" s="1032" t="s">
        <v>757</v>
      </c>
      <c r="E39" s="1033"/>
      <c r="F39" s="1034"/>
      <c r="G39" s="1292"/>
      <c r="H39" s="2472"/>
      <c r="I39" s="1305"/>
      <c r="J39" s="1306"/>
      <c r="K39" s="2470"/>
      <c r="L39" s="2472"/>
      <c r="M39" s="2472"/>
    </row>
    <row r="40" spans="1:18" ht="18" customHeight="1">
      <c r="A40" s="291" t="s">
        <v>395</v>
      </c>
      <c r="B40" s="292" t="s">
        <v>758</v>
      </c>
      <c r="C40" s="293">
        <f ca="1">ROUND(C39*(1-((1+F42)/(1+F40))^F41)/(F40-F42),0)</f>
        <v>36968</v>
      </c>
      <c r="D40" s="316" t="s">
        <v>742</v>
      </c>
      <c r="E40" s="294" t="s">
        <v>743</v>
      </c>
      <c r="F40" s="304">
        <f ca="1">INDIRECT("'数据-取费表'!I"&amp;$G$1)</f>
        <v>0.05</v>
      </c>
      <c r="G40" s="1292"/>
      <c r="H40" s="1366"/>
      <c r="I40" s="1305"/>
      <c r="J40" s="1306"/>
      <c r="K40" s="2470"/>
      <c r="L40" s="1366"/>
      <c r="M40" s="1366"/>
    </row>
    <row r="41" spans="1:18" ht="18" customHeight="1">
      <c r="A41" s="296"/>
      <c r="B41" s="297"/>
      <c r="C41" s="298"/>
      <c r="D41" s="323" t="s">
        <v>759</v>
      </c>
      <c r="E41" s="294" t="s">
        <v>747</v>
      </c>
      <c r="F41" s="324">
        <f ca="1">IF(INDIRECT("'数据-取费表'!af"&amp;$G$1)=0,INDIRECT("'数据-取费表'!ae"&amp;$G$1),INDIRECT("'数据-取费表'!af"&amp;$G$1))</f>
        <v>28.47</v>
      </c>
      <c r="G41" s="1292"/>
      <c r="H41" s="121"/>
      <c r="I41" s="1305"/>
      <c r="J41" s="1306"/>
      <c r="K41" s="2329"/>
      <c r="L41" s="121"/>
      <c r="M41" s="121"/>
    </row>
    <row r="42" spans="1:18" ht="18" customHeight="1">
      <c r="A42" s="300"/>
      <c r="B42" s="301"/>
      <c r="C42" s="302"/>
      <c r="D42" s="319"/>
      <c r="E42" s="294" t="s">
        <v>750</v>
      </c>
      <c r="F42" s="304">
        <f ca="1">INDIRECT("'数据-取费表'!v"&amp;$G$1)</f>
        <v>1.4999999999999999E-2</v>
      </c>
      <c r="G42" s="1292"/>
      <c r="H42" s="121"/>
      <c r="I42" s="1305"/>
      <c r="J42" s="1306"/>
      <c r="K42" s="2329"/>
      <c r="L42" s="121"/>
      <c r="M42" s="121"/>
    </row>
    <row r="43" spans="1:18" ht="18" customHeight="1" thickBot="1">
      <c r="A43" s="325" t="s">
        <v>396</v>
      </c>
      <c r="B43" s="326" t="s">
        <v>760</v>
      </c>
      <c r="C43" s="327">
        <f ca="1">ROUND(C40*10000/F43,0)</f>
        <v>5519</v>
      </c>
      <c r="D43" s="328" t="s">
        <v>761</v>
      </c>
      <c r="E43" s="329" t="s">
        <v>762</v>
      </c>
      <c r="F43" s="330">
        <f ca="1">INDIRECT("'数据-取费表'!k"&amp;$G$1)</f>
        <v>66988.94</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792</v>
      </c>
      <c r="P45" s="1366"/>
      <c r="Q45" s="1366"/>
      <c r="R45" s="1366"/>
    </row>
    <row r="46" spans="1:18" s="1292" customFormat="1" ht="13.5" thickBot="1">
      <c r="A46" s="1311" t="s">
        <v>793</v>
      </c>
      <c r="C46" s="1312">
        <f ca="1">C68-C40</f>
        <v>-38274</v>
      </c>
      <c r="D46" s="1313" t="str">
        <f>C2</f>
        <v>万元</v>
      </c>
      <c r="E46" s="1307"/>
      <c r="F46" s="1307"/>
      <c r="I46" s="1314" t="s">
        <v>794</v>
      </c>
      <c r="J46" s="1315"/>
      <c r="K46" s="1316"/>
      <c r="L46" s="1317">
        <f ca="1">IF(M47="住宅",0,IF(L48&gt;J51,L60,J60))</f>
        <v>1154</v>
      </c>
      <c r="O46" s="1318" t="s">
        <v>795</v>
      </c>
      <c r="P46" s="1319" t="s">
        <v>796</v>
      </c>
      <c r="Q46" s="1320" t="s">
        <v>797</v>
      </c>
      <c r="R46" s="1320" t="s">
        <v>798</v>
      </c>
    </row>
    <row r="47" spans="1:18" s="1292" customFormat="1" ht="13.5" thickBot="1">
      <c r="A47" s="892" t="s">
        <v>671</v>
      </c>
      <c r="B47" s="924" t="s">
        <v>672</v>
      </c>
      <c r="C47" s="1054" t="s">
        <v>673</v>
      </c>
      <c r="D47" s="924" t="s">
        <v>674</v>
      </c>
      <c r="E47" s="995" t="s">
        <v>675</v>
      </c>
      <c r="F47" s="996"/>
      <c r="G47" s="681"/>
      <c r="I47" s="1321" t="s">
        <v>799</v>
      </c>
      <c r="J47" s="1322" t="s">
        <v>3397</v>
      </c>
      <c r="K47" s="1323" t="s">
        <v>800</v>
      </c>
      <c r="L47" s="1324">
        <f ca="1">INDIRECT("'数据-取费表'!d"&amp;$G$1)</f>
        <v>50</v>
      </c>
      <c r="M47" s="1288" t="str">
        <f>IF(ISNUMBER(FIND("住宅",C1)),"住宅","非住宅")</f>
        <v>非住宅</v>
      </c>
      <c r="O47" s="1325" t="s">
        <v>403</v>
      </c>
      <c r="P47" s="1326" t="s">
        <v>801</v>
      </c>
      <c r="Q47" s="1327">
        <f ca="1">C40+J29</f>
        <v>36968</v>
      </c>
      <c r="R47" s="1327" t="s">
        <v>802</v>
      </c>
    </row>
    <row r="48" spans="1:18" s="1292" customFormat="1" ht="28.5" thickBot="1">
      <c r="A48" s="1047" t="s">
        <v>438</v>
      </c>
      <c r="B48" s="292" t="s">
        <v>676</v>
      </c>
      <c r="C48" s="1268">
        <f ca="1">C49+C53+C55</f>
        <v>0</v>
      </c>
      <c r="D48" s="1049"/>
      <c r="E48" s="1050"/>
      <c r="F48" s="908"/>
      <c r="G48" s="681"/>
      <c r="H48" s="682"/>
      <c r="I48" s="1328" t="s">
        <v>803</v>
      </c>
      <c r="J48" s="1329" t="s">
        <v>3398</v>
      </c>
      <c r="K48" s="1330" t="s">
        <v>804</v>
      </c>
      <c r="L48" s="1331">
        <f ca="1">INDIRECT("'数据-取费表'!f"&amp;$G$1)</f>
        <v>28.47</v>
      </c>
      <c r="O48" s="1325" t="s">
        <v>404</v>
      </c>
      <c r="P48" s="1326" t="s">
        <v>805</v>
      </c>
      <c r="Q48" s="1327">
        <f ca="1">J60</f>
        <v>1154</v>
      </c>
      <c r="R48" s="1327" t="s">
        <v>806</v>
      </c>
    </row>
    <row r="49" spans="1:18" s="1292" customFormat="1" ht="13.5" thickBot="1">
      <c r="A49" s="921" t="s">
        <v>439</v>
      </c>
      <c r="B49" s="1279" t="s">
        <v>763</v>
      </c>
      <c r="C49" s="1051">
        <f ca="1">ROUND(F49*F51*F50*(1-F52)/10000,0)</f>
        <v>0</v>
      </c>
      <c r="D49" s="992" t="s">
        <v>2094</v>
      </c>
      <c r="E49" s="1280" t="s">
        <v>764</v>
      </c>
      <c r="F49" s="997"/>
      <c r="H49" s="682"/>
      <c r="I49" s="1328" t="s">
        <v>807</v>
      </c>
      <c r="J49" s="1332">
        <v>2006</v>
      </c>
      <c r="K49" s="1330" t="s">
        <v>808</v>
      </c>
      <c r="L49" s="1333"/>
      <c r="O49" s="1334" t="s">
        <v>405</v>
      </c>
      <c r="P49" s="1326" t="s">
        <v>809</v>
      </c>
      <c r="Q49" s="1327">
        <f ca="1">C29</f>
        <v>25808</v>
      </c>
      <c r="R49" s="1327" t="s">
        <v>802</v>
      </c>
    </row>
    <row r="50" spans="1:18" s="1292" customFormat="1" ht="13.5" thickBot="1">
      <c r="A50" s="922"/>
      <c r="B50" s="925"/>
      <c r="C50" s="1055"/>
      <c r="D50" s="899"/>
      <c r="E50" s="993" t="s">
        <v>681</v>
      </c>
      <c r="F50" s="994">
        <f ca="1">F7</f>
        <v>66988.94</v>
      </c>
      <c r="H50" s="682"/>
      <c r="I50" s="1328" t="s">
        <v>810</v>
      </c>
      <c r="J50" s="1335">
        <f>SUMPRODUCT((I63:I65=J47)*(J62:L62=J48)*(J63:L65))</f>
        <v>70</v>
      </c>
      <c r="K50" s="1330" t="s">
        <v>811</v>
      </c>
      <c r="L50" s="1333"/>
      <c r="M50" s="1336"/>
      <c r="O50" s="1334" t="s">
        <v>406</v>
      </c>
      <c r="P50" s="1326" t="s">
        <v>812</v>
      </c>
      <c r="Q50" s="1337">
        <f ca="1">J58</f>
        <v>0.4</v>
      </c>
      <c r="R50" s="1327"/>
    </row>
    <row r="51" spans="1:18" s="1292" customFormat="1" ht="13.5" thickBot="1">
      <c r="A51" s="923"/>
      <c r="B51" s="925"/>
      <c r="C51" s="926"/>
      <c r="D51" s="899"/>
      <c r="E51" s="927" t="s">
        <v>682</v>
      </c>
      <c r="F51" s="295">
        <f ca="1">F8</f>
        <v>365</v>
      </c>
      <c r="I51" s="1338" t="s">
        <v>813</v>
      </c>
      <c r="J51" s="1331">
        <f>IF(J49="",J50,J49+J50-YEAR('数据-取费表'!B2))</f>
        <v>51</v>
      </c>
      <c r="K51" s="1339" t="s">
        <v>814</v>
      </c>
      <c r="L51" s="1340">
        <f ca="1">ROUND(-PV(INDIRECT("'数据-取费表'!h"&amp;$G$1),J51,(C39-C13*C76),0),0)</f>
        <v>14988</v>
      </c>
      <c r="M51" s="1341"/>
      <c r="O51" s="1334" t="s">
        <v>407</v>
      </c>
      <c r="P51" s="1326" t="s">
        <v>815</v>
      </c>
      <c r="Q51" s="1337">
        <f>J52</f>
        <v>0.08</v>
      </c>
      <c r="R51" s="1327"/>
    </row>
    <row r="52" spans="1:18" s="1292" customFormat="1" ht="13.5" thickBot="1">
      <c r="A52" s="923"/>
      <c r="B52" s="925"/>
      <c r="C52" s="926"/>
      <c r="D52" s="899"/>
      <c r="E52" s="927" t="s">
        <v>683</v>
      </c>
      <c r="F52" s="991"/>
      <c r="I52" s="1342" t="s">
        <v>816</v>
      </c>
      <c r="J52" s="1343">
        <v>0.08</v>
      </c>
      <c r="K52" s="1342" t="s">
        <v>817</v>
      </c>
      <c r="L52" s="1343"/>
      <c r="O52" s="1334" t="s">
        <v>408</v>
      </c>
      <c r="P52" s="1326" t="s">
        <v>818</v>
      </c>
      <c r="Q52" s="1327">
        <f ca="1">J53</f>
        <v>28.47</v>
      </c>
      <c r="R52" s="1327" t="s">
        <v>819</v>
      </c>
    </row>
    <row r="53" spans="1:18" s="1292" customFormat="1" ht="24.75" thickBot="1">
      <c r="A53" s="1079" t="s">
        <v>440</v>
      </c>
      <c r="B53" s="1281" t="s">
        <v>684</v>
      </c>
      <c r="C53" s="308">
        <f ca="1">ROUND(IF(F53="押一",C49/12*F11,IF(F53="押二",C49/12*2*F11,IF(F53="押三",C49/12*3*F11,C54*F11))),0)</f>
        <v>0</v>
      </c>
      <c r="D53" s="150" t="s">
        <v>2100</v>
      </c>
      <c r="E53" s="305" t="s">
        <v>685</v>
      </c>
      <c r="F53" s="1053"/>
      <c r="I53" s="1344" t="s">
        <v>820</v>
      </c>
      <c r="J53" s="2006">
        <f ca="1">IF(M47="住宅",IF(D1="——",MAX(J51,L48),MAX(J51,L48-'数据-取费表'!B24)),IF(D1="——",MIN(J51,L48),MIN(J51,L48-'数据-取费表'!B24)))</f>
        <v>28.47</v>
      </c>
      <c r="K53" s="3396" t="s">
        <v>821</v>
      </c>
      <c r="L53" s="3397"/>
      <c r="O53" s="1325" t="s">
        <v>409</v>
      </c>
      <c r="P53" s="1326" t="s">
        <v>822</v>
      </c>
      <c r="Q53" s="1327">
        <f ca="1">Q47+Q48</f>
        <v>38122</v>
      </c>
      <c r="R53" s="1327" t="s">
        <v>410</v>
      </c>
    </row>
    <row r="54" spans="1:18" s="1292" customFormat="1" ht="13.5" thickBot="1">
      <c r="A54" s="1080"/>
      <c r="B54" s="1275" t="s">
        <v>663</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823</v>
      </c>
      <c r="P54" s="1289"/>
      <c r="Q54" s="1289"/>
      <c r="R54" s="1289"/>
    </row>
    <row r="55" spans="1:18" s="1292" customFormat="1" ht="13.5" thickBot="1">
      <c r="A55" s="1020" t="s">
        <v>437</v>
      </c>
      <c r="B55" s="1277" t="s">
        <v>687</v>
      </c>
      <c r="C55" s="1021"/>
      <c r="D55" s="150"/>
      <c r="E55" s="1282"/>
      <c r="F55" s="1345"/>
      <c r="I55" s="1348" t="s">
        <v>824</v>
      </c>
      <c r="J55" s="1349">
        <f ca="1">ROUND(IF(J47="钢混",J57/J50,1-(1-2%)*(J50-J57)/J50),3)</f>
        <v>0.33500000000000002</v>
      </c>
      <c r="K55" s="1350" t="s">
        <v>825</v>
      </c>
      <c r="L55" s="1351"/>
      <c r="O55" s="1318" t="s">
        <v>795</v>
      </c>
      <c r="P55" s="1319" t="s">
        <v>796</v>
      </c>
      <c r="Q55" s="1320" t="s">
        <v>797</v>
      </c>
      <c r="R55" s="1320" t="s">
        <v>798</v>
      </c>
    </row>
    <row r="56" spans="1:18" s="1292" customFormat="1" ht="25.5" thickTop="1" thickBot="1">
      <c r="A56" s="903">
        <v>2</v>
      </c>
      <c r="B56" s="904" t="s">
        <v>688</v>
      </c>
      <c r="C56" s="224">
        <f ca="1">C13</f>
        <v>17808</v>
      </c>
      <c r="D56" s="1352"/>
      <c r="E56" s="1353"/>
      <c r="F56" s="1345"/>
      <c r="I56" s="1354" t="s">
        <v>826</v>
      </c>
      <c r="J56" s="1355" t="s">
        <v>3399</v>
      </c>
      <c r="K56" s="1328" t="s">
        <v>827</v>
      </c>
      <c r="L56" s="1331" t="str">
        <f ca="1">IF(L48&lt;J51,"——",L48-J53)</f>
        <v>——</v>
      </c>
      <c r="O56" s="1325" t="s">
        <v>403</v>
      </c>
      <c r="P56" s="1326" t="s">
        <v>801</v>
      </c>
      <c r="Q56" s="1327">
        <f ca="1">C40+J29</f>
        <v>36968</v>
      </c>
      <c r="R56" s="1327" t="s">
        <v>802</v>
      </c>
    </row>
    <row r="57" spans="1:18" s="1292" customFormat="1" ht="24.75" thickBot="1">
      <c r="A57" s="1356"/>
      <c r="B57" s="896" t="s">
        <v>751</v>
      </c>
      <c r="C57" s="230">
        <f ca="1">C29</f>
        <v>25808</v>
      </c>
      <c r="D57" s="1357"/>
      <c r="E57" s="1358"/>
      <c r="F57" s="1359"/>
      <c r="I57" s="1360" t="s">
        <v>828</v>
      </c>
      <c r="J57" s="1361">
        <f ca="1">IF(OR(M47="住宅",J51&lt;L48,J56="是"),"——",J51-L48)</f>
        <v>22.53</v>
      </c>
      <c r="K57" s="1328" t="s">
        <v>829</v>
      </c>
      <c r="L57" s="1331" t="str">
        <f ca="1">IF(L48&lt;J51,"——",IF(L55="比较法",L49,IF(L55="基准地价",L50,L51)))</f>
        <v>——</v>
      </c>
      <c r="O57" s="1325" t="s">
        <v>404</v>
      </c>
      <c r="P57" s="1326" t="s">
        <v>830</v>
      </c>
      <c r="Q57" s="1327">
        <f ca="1">L60</f>
        <v>0</v>
      </c>
      <c r="R57" s="1327" t="s">
        <v>831</v>
      </c>
    </row>
    <row r="58" spans="1:18" s="1292" customFormat="1" ht="24.75" thickBot="1">
      <c r="A58" s="307" t="s">
        <v>393</v>
      </c>
      <c r="B58" s="904" t="s">
        <v>698</v>
      </c>
      <c r="C58" s="308">
        <f ca="1">ROUND(C59+C64+C65+C66,0)</f>
        <v>87</v>
      </c>
      <c r="D58" s="906" t="s">
        <v>699</v>
      </c>
      <c r="E58" s="907"/>
      <c r="F58" s="908"/>
      <c r="I58" s="1360" t="s">
        <v>832</v>
      </c>
      <c r="J58" s="1362">
        <f ca="1">IF(J55&lt;0.4,0.4,J55)</f>
        <v>0.4</v>
      </c>
      <c r="K58" s="1339" t="s">
        <v>833</v>
      </c>
      <c r="L58" s="1331" t="e">
        <f ca="1">ROUND(POWER(1+L52,L47-L48)*(POWER(1+L52,L48)-1)/(POWER(1+L52,L47)-1),4)</f>
        <v>#DIV/0!</v>
      </c>
      <c r="O58" s="1334" t="s">
        <v>405</v>
      </c>
      <c r="P58" s="1326" t="s">
        <v>834</v>
      </c>
      <c r="Q58" s="1327">
        <f>IF(L55="比较法",L49,IF(L55="基准地价",L50,0))</f>
        <v>0</v>
      </c>
      <c r="R58" s="1327" t="s">
        <v>802</v>
      </c>
    </row>
    <row r="59" spans="1:18" s="1292" customFormat="1" ht="24.75" thickBot="1">
      <c r="A59" s="928" t="s">
        <v>398</v>
      </c>
      <c r="B59" s="896" t="s">
        <v>703</v>
      </c>
      <c r="C59" s="2140">
        <f ca="1">ROUND(IF(AND(项目基本情况!B11="自然人",项目基本情况!B10="北京市"),C49*F59/(1+'数据-取费表'!C42),C60+C61+C62),0)</f>
        <v>18</v>
      </c>
      <c r="D59" s="909" t="s">
        <v>704</v>
      </c>
      <c r="E59" s="910" t="s">
        <v>705</v>
      </c>
      <c r="F59" s="2139" t="str">
        <f>IF(项目基本情况!B11="企业","——",IF('数据-取费表'!B10="住宅",IF(F49*F50*F51/12/(1+'数据-取费表'!F30)&gt;100000,4%,2.5%),IF(F49*F50*F51/12/(1+'数据-取费表'!F30)&gt;100000,12%,7%)))</f>
        <v>——</v>
      </c>
      <c r="I59" s="1360" t="s">
        <v>835</v>
      </c>
      <c r="J59" s="1361">
        <f ca="1">IF(OR(M47="住宅",J51&lt;L48,J56="是"),"——",ROUND(C29*J58,0))</f>
        <v>10323</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836</v>
      </c>
      <c r="Q59" s="1337">
        <f>L52</f>
        <v>0</v>
      </c>
      <c r="R59" s="1327"/>
    </row>
    <row r="60" spans="1:18" s="1292" customFormat="1" ht="16.5" thickBot="1">
      <c r="A60" s="928" t="s">
        <v>397</v>
      </c>
      <c r="B60" s="896" t="s">
        <v>707</v>
      </c>
      <c r="C60" s="21">
        <f ca="1">IF(项目基本情况!B11="自然人","——",ROUND(C48*F60/(1+'数据-取费表'!C42),2))</f>
        <v>0</v>
      </c>
      <c r="D60" s="910" t="s">
        <v>708</v>
      </c>
      <c r="E60" s="896" t="s">
        <v>696</v>
      </c>
      <c r="F60" s="322">
        <f t="shared" ref="F60:F66" si="0">F32</f>
        <v>5.5000000000000007E-2</v>
      </c>
      <c r="I60" s="1363" t="s">
        <v>837</v>
      </c>
      <c r="J60" s="1364">
        <f ca="1">IF(OR(M47="住宅",J51&lt;L48,J56="是"),"0",ROUND(J59/(1+J52)^J53,0))</f>
        <v>1154</v>
      </c>
      <c r="K60" s="1365" t="s">
        <v>838</v>
      </c>
      <c r="L60" s="1364">
        <f ca="1">IF(OR(M47="住宅",L48&lt;J51),0,ROUND(L57*(L58/L59-1),0))</f>
        <v>0</v>
      </c>
      <c r="O60" s="1334" t="s">
        <v>407</v>
      </c>
      <c r="P60" s="1326" t="s">
        <v>839</v>
      </c>
      <c r="Q60" s="1327" t="e">
        <f ca="1">L58</f>
        <v>#DIV/0!</v>
      </c>
      <c r="R60" s="1327" t="s">
        <v>840</v>
      </c>
    </row>
    <row r="61" spans="1:18" s="1292" customFormat="1" ht="13.5" thickBot="1">
      <c r="A61" s="928" t="s">
        <v>765</v>
      </c>
      <c r="B61" s="896" t="s">
        <v>766</v>
      </c>
      <c r="C61" s="21">
        <f ca="1">IF(项目基本情况!B11="自然人","——",IF(D61="按租金收入计税",ROUND(C49*F61/(1+'数据-取费表'!C42),2),IF(D61="按房产原值计税",ROUND(C57*F61*0.7,2),INDIRECT("'数据-取费表'!Aj"&amp;$G$1))))</f>
        <v>0</v>
      </c>
      <c r="D61" s="1278" t="s">
        <v>3311</v>
      </c>
      <c r="E61" s="896" t="s">
        <v>767</v>
      </c>
      <c r="F61" s="314">
        <f t="shared" si="0"/>
        <v>0.12</v>
      </c>
      <c r="I61" s="1366"/>
      <c r="J61" s="1366"/>
      <c r="K61" s="1366"/>
      <c r="L61" s="1366"/>
      <c r="O61" s="1334" t="s">
        <v>408</v>
      </c>
      <c r="P61" s="1326" t="str">
        <f>K59</f>
        <v>建筑物剩余耐用年限下的土地年期修正系数Kn</v>
      </c>
      <c r="Q61" s="1327" t="e">
        <f ca="1">L59</f>
        <v>#DIV/0!</v>
      </c>
      <c r="R61" s="1327" t="s">
        <v>841</v>
      </c>
    </row>
    <row r="62" spans="1:18" s="1292" customFormat="1" ht="13.5" thickBot="1">
      <c r="A62" s="928" t="s">
        <v>768</v>
      </c>
      <c r="B62" s="895" t="s">
        <v>769</v>
      </c>
      <c r="C62" s="22">
        <f ca="1">IF(项目基本情况!B11="自然人","——",ROUND(F62*F63/10000,2))</f>
        <v>18.09</v>
      </c>
      <c r="D62" s="911" t="s">
        <v>770</v>
      </c>
      <c r="E62" s="896" t="s">
        <v>771</v>
      </c>
      <c r="F62" s="317">
        <f t="shared" si="0"/>
        <v>1.5</v>
      </c>
      <c r="I62" s="1367" t="s">
        <v>842</v>
      </c>
      <c r="J62" s="610" t="s">
        <v>843</v>
      </c>
      <c r="K62" s="610" t="s">
        <v>844</v>
      </c>
      <c r="L62" s="610" t="s">
        <v>845</v>
      </c>
      <c r="M62" s="1368" t="s">
        <v>846</v>
      </c>
      <c r="O62" s="1325" t="s">
        <v>409</v>
      </c>
      <c r="P62" s="1326" t="s">
        <v>847</v>
      </c>
      <c r="Q62" s="1327">
        <f ca="1">Q56+Q57</f>
        <v>36968</v>
      </c>
      <c r="R62" s="1327" t="s">
        <v>410</v>
      </c>
    </row>
    <row r="63" spans="1:18" s="1292" customFormat="1" ht="13.5" thickBot="1">
      <c r="A63" s="318"/>
      <c r="B63" s="902"/>
      <c r="C63" s="26"/>
      <c r="D63" s="912"/>
      <c r="E63" s="896" t="s">
        <v>772</v>
      </c>
      <c r="F63" s="295">
        <f t="shared" ca="1" si="0"/>
        <v>120628.8</v>
      </c>
      <c r="I63" s="1367" t="s">
        <v>848</v>
      </c>
      <c r="J63" s="610">
        <v>70</v>
      </c>
      <c r="K63" s="610">
        <v>50</v>
      </c>
      <c r="L63" s="610">
        <v>80</v>
      </c>
      <c r="M63" s="1369">
        <v>0.02</v>
      </c>
      <c r="O63" s="1310" t="s">
        <v>849</v>
      </c>
      <c r="P63" s="1289"/>
      <c r="Q63" s="1289"/>
      <c r="R63" s="1289"/>
    </row>
    <row r="64" spans="1:18" s="1292" customFormat="1" ht="13.5" thickBot="1">
      <c r="A64" s="928" t="s">
        <v>773</v>
      </c>
      <c r="B64" s="896" t="s">
        <v>774</v>
      </c>
      <c r="C64" s="21">
        <f ca="1">ROUND(C57*F64,2)</f>
        <v>51.62</v>
      </c>
      <c r="D64" s="910" t="s">
        <v>775</v>
      </c>
      <c r="E64" s="896" t="s">
        <v>767</v>
      </c>
      <c r="F64" s="320">
        <f t="shared" ca="1" si="0"/>
        <v>2E-3</v>
      </c>
      <c r="I64" s="1367" t="s">
        <v>850</v>
      </c>
      <c r="J64" s="610">
        <v>50</v>
      </c>
      <c r="K64" s="610">
        <v>35</v>
      </c>
      <c r="L64" s="610">
        <v>60</v>
      </c>
      <c r="M64" s="1368">
        <v>0</v>
      </c>
      <c r="O64" s="1318" t="s">
        <v>795</v>
      </c>
      <c r="P64" s="1319" t="s">
        <v>796</v>
      </c>
      <c r="Q64" s="1320" t="s">
        <v>797</v>
      </c>
      <c r="R64" s="1320" t="s">
        <v>798</v>
      </c>
    </row>
    <row r="65" spans="1:18" s="1292" customFormat="1" ht="13.5" thickBot="1">
      <c r="A65" s="928" t="s">
        <v>776</v>
      </c>
      <c r="B65" s="896" t="s">
        <v>726</v>
      </c>
      <c r="C65" s="21">
        <f ca="1">ROUND(C56*F65,2)</f>
        <v>17.809999999999999</v>
      </c>
      <c r="D65" s="910" t="s">
        <v>727</v>
      </c>
      <c r="E65" s="896" t="s">
        <v>728</v>
      </c>
      <c r="F65" s="321">
        <f t="shared" ca="1" si="0"/>
        <v>1E-3</v>
      </c>
      <c r="I65" s="1367" t="s">
        <v>851</v>
      </c>
      <c r="J65" s="610">
        <v>40</v>
      </c>
      <c r="K65" s="610">
        <v>30</v>
      </c>
      <c r="L65" s="610">
        <v>50</v>
      </c>
      <c r="M65" s="1369">
        <v>0.02</v>
      </c>
      <c r="O65" s="1325" t="s">
        <v>403</v>
      </c>
      <c r="P65" s="1326" t="s">
        <v>852</v>
      </c>
      <c r="Q65" s="1327">
        <f ca="1">C40+J29</f>
        <v>36968</v>
      </c>
      <c r="R65" s="1327" t="s">
        <v>802</v>
      </c>
    </row>
    <row r="66" spans="1:18" s="1292" customFormat="1" ht="16.5" thickBot="1">
      <c r="A66" s="928" t="s">
        <v>777</v>
      </c>
      <c r="B66" s="896" t="s">
        <v>712</v>
      </c>
      <c r="C66" s="21">
        <f ca="1">ROUND(C48*F66,2)</f>
        <v>0</v>
      </c>
      <c r="D66" s="910" t="s">
        <v>778</v>
      </c>
      <c r="E66" s="896" t="s">
        <v>696</v>
      </c>
      <c r="F66" s="304">
        <f t="shared" ca="1" si="0"/>
        <v>0.01</v>
      </c>
      <c r="O66" s="1325" t="s">
        <v>404</v>
      </c>
      <c r="P66" s="1326" t="s">
        <v>830</v>
      </c>
      <c r="Q66" s="1327">
        <f ca="1">L60</f>
        <v>0</v>
      </c>
      <c r="R66" s="1327" t="s">
        <v>853</v>
      </c>
    </row>
    <row r="67" spans="1:18" s="1292" customFormat="1" ht="16.5" thickBot="1">
      <c r="A67" s="903" t="s">
        <v>394</v>
      </c>
      <c r="B67" s="913" t="s">
        <v>736</v>
      </c>
      <c r="C67" s="308">
        <f ca="1">C48-C58</f>
        <v>-87</v>
      </c>
      <c r="D67" s="909" t="s">
        <v>737</v>
      </c>
      <c r="E67" s="914"/>
      <c r="F67" s="915"/>
      <c r="O67" s="1334" t="s">
        <v>405</v>
      </c>
      <c r="P67" s="1326" t="s">
        <v>834</v>
      </c>
      <c r="Q67" s="1370">
        <f ca="1">L51</f>
        <v>14988</v>
      </c>
      <c r="R67" s="1327" t="s">
        <v>854</v>
      </c>
    </row>
    <row r="68" spans="1:18" s="1292" customFormat="1" ht="16.5" thickBot="1">
      <c r="A68" s="893" t="s">
        <v>395</v>
      </c>
      <c r="B68" s="894" t="s">
        <v>758</v>
      </c>
      <c r="C68" s="293">
        <f ca="1">ROUND(C67*(1-((1+F70)/(1+F68))^F69)/(F68-F70),0)</f>
        <v>-1306</v>
      </c>
      <c r="D68" s="911" t="s">
        <v>742</v>
      </c>
      <c r="E68" s="896" t="s">
        <v>743</v>
      </c>
      <c r="F68" s="304">
        <f ca="1">F40</f>
        <v>0.05</v>
      </c>
      <c r="O68" s="1334" t="s">
        <v>406</v>
      </c>
      <c r="P68" s="1371" t="s">
        <v>855</v>
      </c>
      <c r="Q68" s="1327">
        <f ca="1">ROUND(Q69-Q70*Q71,0)</f>
        <v>754</v>
      </c>
      <c r="R68" s="1327" t="s">
        <v>414</v>
      </c>
    </row>
    <row r="69" spans="1:18" s="1292" customFormat="1" ht="13.5" thickBot="1">
      <c r="A69" s="897"/>
      <c r="B69" s="898"/>
      <c r="C69" s="298"/>
      <c r="D69" s="916" t="s">
        <v>746</v>
      </c>
      <c r="E69" s="896" t="s">
        <v>747</v>
      </c>
      <c r="F69" s="324">
        <f ca="1">F41</f>
        <v>28.47</v>
      </c>
      <c r="O69" s="1334" t="s">
        <v>411</v>
      </c>
      <c r="P69" s="1371" t="s">
        <v>856</v>
      </c>
      <c r="Q69" s="1327">
        <f ca="1">C39</f>
        <v>2090</v>
      </c>
      <c r="R69" s="1327" t="s">
        <v>802</v>
      </c>
    </row>
    <row r="70" spans="1:18" s="1292" customFormat="1" ht="13.5" thickBot="1">
      <c r="A70" s="900"/>
      <c r="B70" s="901"/>
      <c r="C70" s="302"/>
      <c r="D70" s="912"/>
      <c r="E70" s="896" t="s">
        <v>750</v>
      </c>
      <c r="F70" s="991"/>
      <c r="O70" s="1334" t="s">
        <v>412</v>
      </c>
      <c r="P70" s="1371" t="s">
        <v>857</v>
      </c>
      <c r="Q70" s="1327">
        <f ca="1">C13</f>
        <v>17808</v>
      </c>
      <c r="R70" s="1327" t="s">
        <v>802</v>
      </c>
    </row>
    <row r="71" spans="1:18" s="1292" customFormat="1" ht="13.5" thickBot="1">
      <c r="A71" s="917" t="s">
        <v>396</v>
      </c>
      <c r="B71" s="918" t="s">
        <v>760</v>
      </c>
      <c r="C71" s="327">
        <f ca="1">ROUND(C68*10000/F71,0)</f>
        <v>-195</v>
      </c>
      <c r="D71" s="919" t="s">
        <v>761</v>
      </c>
      <c r="E71" s="920" t="s">
        <v>762</v>
      </c>
      <c r="F71" s="330">
        <f ca="1">F43</f>
        <v>66988.94</v>
      </c>
      <c r="O71" s="1334" t="s">
        <v>413</v>
      </c>
      <c r="P71" s="1371" t="s">
        <v>858</v>
      </c>
      <c r="Q71" s="1337">
        <f ca="1">C76</f>
        <v>7.4999999999999997E-2</v>
      </c>
      <c r="R71" s="1327"/>
    </row>
    <row r="72" spans="1:18" s="1292" customFormat="1" ht="13.5" thickBot="1">
      <c r="B72" s="685"/>
      <c r="C72" s="685"/>
      <c r="O72" s="1334" t="s">
        <v>407</v>
      </c>
      <c r="P72" s="1326" t="s">
        <v>836</v>
      </c>
      <c r="Q72" s="1337">
        <f>L52</f>
        <v>0</v>
      </c>
      <c r="R72" s="1327"/>
    </row>
    <row r="73" spans="1:18" ht="16.5" thickBot="1">
      <c r="A73" s="1292"/>
      <c r="B73" s="685"/>
      <c r="C73" s="685"/>
      <c r="D73" s="1292"/>
      <c r="E73" s="1292"/>
      <c r="F73" s="1292"/>
      <c r="O73" s="1334" t="s">
        <v>408</v>
      </c>
      <c r="P73" s="1326" t="s">
        <v>839</v>
      </c>
      <c r="Q73" s="1327" t="e">
        <f ca="1">L58</f>
        <v>#DIV/0!</v>
      </c>
      <c r="R73" s="1327" t="s">
        <v>840</v>
      </c>
    </row>
    <row r="74" spans="1:18" ht="13.5" thickBot="1">
      <c r="A74" s="1292"/>
      <c r="B74" s="265" t="s">
        <v>859</v>
      </c>
      <c r="C74" s="1373"/>
      <c r="D74" s="1292"/>
      <c r="E74" s="1292"/>
      <c r="F74" s="1292"/>
      <c r="O74" s="1334" t="s">
        <v>415</v>
      </c>
      <c r="P74" s="1326" t="str">
        <f>K59</f>
        <v>建筑物剩余耐用年限下的土地年期修正系数Kn</v>
      </c>
      <c r="Q74" s="1327" t="e">
        <f ca="1">L59</f>
        <v>#DIV/0!</v>
      </c>
      <c r="R74" s="1327" t="s">
        <v>841</v>
      </c>
    </row>
    <row r="75" spans="1:18" ht="13.5" thickBot="1">
      <c r="A75" s="1292"/>
      <c r="B75" s="331" t="s">
        <v>779</v>
      </c>
      <c r="C75" s="332">
        <f ca="1">ROUND(C13*C76,0)</f>
        <v>1336</v>
      </c>
      <c r="D75" s="1292"/>
      <c r="E75" s="1292"/>
      <c r="F75" s="1292"/>
      <c r="K75" s="1309"/>
      <c r="L75" s="1292"/>
      <c r="O75" s="1325" t="s">
        <v>409</v>
      </c>
      <c r="P75" s="1326" t="s">
        <v>822</v>
      </c>
      <c r="Q75" s="1327">
        <f ca="1">Q65+Q66</f>
        <v>36968</v>
      </c>
      <c r="R75" s="1327" t="s">
        <v>410</v>
      </c>
    </row>
    <row r="76" spans="1:18">
      <c r="B76" s="333" t="s">
        <v>780</v>
      </c>
      <c r="C76" s="334">
        <f ca="1">INDIRECT("'数据-取费表'!j"&amp;$G$1)</f>
        <v>7.4999999999999997E-2</v>
      </c>
      <c r="I76" s="1292"/>
      <c r="J76" s="1292"/>
      <c r="K76" s="1309"/>
      <c r="L76" s="1292"/>
    </row>
    <row r="77" spans="1:18">
      <c r="B77" s="335" t="s">
        <v>781</v>
      </c>
      <c r="C77" s="336"/>
      <c r="I77" s="1292"/>
      <c r="J77" s="1292"/>
      <c r="K77" s="1309"/>
      <c r="L77" s="1292"/>
    </row>
    <row r="78" spans="1:18">
      <c r="B78" s="262" t="s">
        <v>782</v>
      </c>
      <c r="C78" s="337"/>
    </row>
    <row r="79" spans="1:18">
      <c r="B79" s="331" t="s">
        <v>783</v>
      </c>
      <c r="C79" s="266">
        <f ca="1">1-C80</f>
        <v>0.36099999999999999</v>
      </c>
    </row>
    <row r="80" spans="1:18">
      <c r="B80" s="331" t="s">
        <v>784</v>
      </c>
      <c r="C80" s="266">
        <f ca="1">ROUND(C75/C39,3)</f>
        <v>0.63900000000000001</v>
      </c>
    </row>
    <row r="81" spans="2:3">
      <c r="B81" s="262" t="s">
        <v>785</v>
      </c>
      <c r="C81" s="230"/>
    </row>
    <row r="82" spans="2:3">
      <c r="B82" s="265" t="s">
        <v>786</v>
      </c>
      <c r="C82" s="267">
        <f ca="1">1-C83</f>
        <v>0.51800000000000002</v>
      </c>
    </row>
    <row r="83" spans="2:3">
      <c r="B83" s="265" t="s">
        <v>787</v>
      </c>
      <c r="C83" s="266">
        <f ca="1">ROUND(C13/C40,3)</f>
        <v>0.48199999999999998</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861</v>
      </c>
      <c r="B1" s="663"/>
      <c r="C1" s="1287"/>
      <c r="D1" s="1271" t="s">
        <v>43</v>
      </c>
      <c r="E1" s="1272" t="s">
        <v>662</v>
      </c>
      <c r="F1" s="999">
        <f ca="1">J53</f>
        <v>0</v>
      </c>
      <c r="G1" s="1286">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862</v>
      </c>
      <c r="B2" s="3122" t="e">
        <f ca="1">ROUND(D2/10000,4)</f>
        <v>#DIV/0!</v>
      </c>
      <c r="C2" s="1289" t="s">
        <v>863</v>
      </c>
      <c r="D2" s="1375" t="e">
        <f ca="1">C40+J29+L46</f>
        <v>#DIV/0!</v>
      </c>
      <c r="E2" s="1295" t="s">
        <v>864</v>
      </c>
      <c r="F2" s="1296"/>
      <c r="G2" s="2477"/>
      <c r="H2" s="2467"/>
      <c r="I2" s="2467"/>
      <c r="J2" s="2467"/>
      <c r="K2" s="2468"/>
      <c r="L2" s="2467"/>
      <c r="M2" s="2467"/>
    </row>
    <row r="3" spans="1:37" ht="18" customHeight="1" thickBot="1">
      <c r="A3" s="1297" t="s">
        <v>865</v>
      </c>
      <c r="B3" s="1298">
        <f ca="1">IF(ISERROR(D2/F43),0,ROUND(D2/F43,0))</f>
        <v>0</v>
      </c>
      <c r="C3" s="1289" t="s">
        <v>866</v>
      </c>
      <c r="D3" s="1289"/>
      <c r="E3" s="1295"/>
      <c r="F3" s="1296"/>
      <c r="G3" s="2477"/>
      <c r="H3" s="649" t="s">
        <v>860</v>
      </c>
      <c r="I3" s="1290"/>
      <c r="J3" s="1290"/>
      <c r="K3" s="1291"/>
      <c r="L3" s="1290"/>
      <c r="M3" s="1290"/>
    </row>
    <row r="4" spans="1:37" ht="18" customHeight="1">
      <c r="A4" s="287" t="s">
        <v>867</v>
      </c>
      <c r="B4" s="288" t="s">
        <v>868</v>
      </c>
      <c r="C4" s="288" t="s">
        <v>869</v>
      </c>
      <c r="D4" s="288" t="s">
        <v>870</v>
      </c>
      <c r="E4" s="289" t="s">
        <v>871</v>
      </c>
      <c r="F4" s="290"/>
      <c r="G4" s="1292"/>
      <c r="H4" s="287" t="s">
        <v>867</v>
      </c>
      <c r="I4" s="288" t="s">
        <v>868</v>
      </c>
      <c r="J4" s="288" t="s">
        <v>869</v>
      </c>
      <c r="K4" s="288" t="s">
        <v>870</v>
      </c>
      <c r="L4" s="289" t="s">
        <v>871</v>
      </c>
      <c r="M4" s="290"/>
    </row>
    <row r="5" spans="1:37" ht="18" customHeight="1">
      <c r="A5" s="291">
        <v>1</v>
      </c>
      <c r="B5" s="292" t="s">
        <v>872</v>
      </c>
      <c r="C5" s="1007">
        <f ca="1">C6+C10+C12</f>
        <v>0</v>
      </c>
      <c r="D5" s="1273" t="s">
        <v>873</v>
      </c>
      <c r="E5" s="1008"/>
      <c r="F5" s="1009"/>
      <c r="G5" s="1292"/>
      <c r="H5" s="291">
        <v>1</v>
      </c>
      <c r="I5" s="292" t="s">
        <v>872</v>
      </c>
      <c r="J5" s="1007">
        <f ca="1">J6+J10+J12</f>
        <v>0</v>
      </c>
      <c r="K5" s="1273" t="s">
        <v>873</v>
      </c>
      <c r="L5" s="1008"/>
      <c r="M5" s="1009"/>
    </row>
    <row r="6" spans="1:37" ht="18" customHeight="1">
      <c r="A6" s="1006" t="s">
        <v>398</v>
      </c>
      <c r="B6" s="3398" t="s">
        <v>678</v>
      </c>
      <c r="C6" s="1011">
        <f ca="1">ROUND(F6*F8*F7*(1-F9),0)</f>
        <v>0</v>
      </c>
      <c r="D6" s="147" t="s">
        <v>2090</v>
      </c>
      <c r="E6" s="294" t="s">
        <v>680</v>
      </c>
      <c r="F6" s="295">
        <f ca="1">INDIRECT("'数据-取费表'!u"&amp;$G$1)</f>
        <v>0</v>
      </c>
      <c r="G6" s="1292"/>
      <c r="H6" s="1006" t="s">
        <v>398</v>
      </c>
      <c r="I6" s="3398" t="s">
        <v>678</v>
      </c>
      <c r="J6" s="293">
        <f ca="1">ROUND(M6*M8*M7*(1-M9),0)</f>
        <v>0</v>
      </c>
      <c r="K6" s="1284" t="s">
        <v>2091</v>
      </c>
      <c r="L6" s="294" t="s">
        <v>680</v>
      </c>
      <c r="M6" s="295">
        <f ca="1">INDIRECT("'数据-取费表'!z"&amp;$G$1)</f>
        <v>0</v>
      </c>
    </row>
    <row r="7" spans="1:37" ht="18" customHeight="1">
      <c r="A7" s="1010"/>
      <c r="B7" s="3399"/>
      <c r="C7" s="1012"/>
      <c r="D7" s="299"/>
      <c r="E7" s="1013" t="s">
        <v>681</v>
      </c>
      <c r="F7" s="295">
        <f ca="1">IF(INDIRECT("'数据-取费表'!ah"&amp;$G$1)="",INDIRECT("'数据-取费表'!k"&amp;$G$1),INDIRECT("'数据-取费表'!ah"&amp;$G$1))</f>
        <v>0</v>
      </c>
      <c r="G7" s="1292"/>
      <c r="H7" s="296"/>
      <c r="I7" s="3399"/>
      <c r="J7" s="298"/>
      <c r="K7" s="299"/>
      <c r="L7" s="294" t="s">
        <v>681</v>
      </c>
      <c r="M7" s="295">
        <f ca="1">F7</f>
        <v>0</v>
      </c>
    </row>
    <row r="8" spans="1:37" ht="18" customHeight="1">
      <c r="A8" s="296"/>
      <c r="B8" s="3399"/>
      <c r="C8" s="298"/>
      <c r="D8" s="299"/>
      <c r="E8" s="294" t="s">
        <v>682</v>
      </c>
      <c r="F8" s="295">
        <f ca="1">INDIRECT("'数据-取费表'!ai"&amp;$G$1)</f>
        <v>0</v>
      </c>
      <c r="G8" s="1292"/>
      <c r="H8" s="296"/>
      <c r="I8" s="3399"/>
      <c r="J8" s="298"/>
      <c r="K8" s="299"/>
      <c r="L8" s="294" t="s">
        <v>682</v>
      </c>
      <c r="M8" s="295">
        <f ca="1">INDIRECT("'数据-取费表'!ai"&amp;$G$1)</f>
        <v>0</v>
      </c>
    </row>
    <row r="9" spans="1:37" ht="18" customHeight="1">
      <c r="A9" s="296"/>
      <c r="B9" s="3400"/>
      <c r="C9" s="298"/>
      <c r="D9" s="299"/>
      <c r="E9" s="294" t="s">
        <v>683</v>
      </c>
      <c r="F9" s="304">
        <f ca="1">INDIRECT("'数据-取费表'!w"&amp;$G$1)</f>
        <v>0</v>
      </c>
      <c r="G9" s="1292"/>
      <c r="H9" s="296"/>
      <c r="I9" s="3400"/>
      <c r="J9" s="298"/>
      <c r="K9" s="299"/>
      <c r="L9" s="305" t="s">
        <v>683</v>
      </c>
      <c r="M9" s="306">
        <f ca="1">INDIRECT("'数据-取费表'!ab"&amp;$G$1)</f>
        <v>0</v>
      </c>
    </row>
    <row r="10" spans="1:37" ht="18" customHeight="1">
      <c r="A10" s="1006" t="s">
        <v>402</v>
      </c>
      <c r="B10" s="1274" t="s">
        <v>684</v>
      </c>
      <c r="C10" s="308">
        <f ca="1">ROUND(IF(F10="押一",C6/12*F11,IF(F10="押二",C6/12*2*F11,IF(F10="押三",C6/12*3*F11,C11*F11))),0)</f>
        <v>0</v>
      </c>
      <c r="D10" s="150" t="s">
        <v>2100</v>
      </c>
      <c r="E10" s="305" t="s">
        <v>685</v>
      </c>
      <c r="F10" s="1053"/>
      <c r="G10" s="1292"/>
      <c r="H10" s="1006" t="s">
        <v>402</v>
      </c>
      <c r="I10" s="1274" t="s">
        <v>684</v>
      </c>
      <c r="J10" s="293">
        <f ca="1">ROUND(IF(M10="押一",J6/12*M11,IF(M10="押二",J6/12*2*M11,IF(M10="押三",J6/12*3*M11,J11*M11))),0)</f>
        <v>0</v>
      </c>
      <c r="K10" s="1285" t="s">
        <v>2102</v>
      </c>
      <c r="L10" s="305" t="s">
        <v>685</v>
      </c>
      <c r="M10" s="1053"/>
    </row>
    <row r="11" spans="1:37" ht="18" customHeight="1">
      <c r="A11" s="300"/>
      <c r="B11" s="1275" t="s">
        <v>874</v>
      </c>
      <c r="C11" s="905"/>
      <c r="D11" s="299"/>
      <c r="E11" s="305" t="s">
        <v>686</v>
      </c>
      <c r="F11" s="306">
        <f ca="1">'数据-取费表'!B39</f>
        <v>1.4999999999999999E-2</v>
      </c>
      <c r="G11" s="1292"/>
      <c r="H11" s="1014"/>
      <c r="I11" s="1275" t="s">
        <v>875</v>
      </c>
      <c r="J11" s="905"/>
      <c r="K11" s="646"/>
      <c r="L11" s="305" t="s">
        <v>686</v>
      </c>
      <c r="M11" s="809">
        <f ca="1">'数据-取费表'!B39</f>
        <v>1.4999999999999999E-2</v>
      </c>
    </row>
    <row r="12" spans="1:37" ht="18" customHeight="1" thickBot="1">
      <c r="A12" s="1020" t="s">
        <v>437</v>
      </c>
      <c r="B12" s="1277" t="s">
        <v>687</v>
      </c>
      <c r="C12" s="1021"/>
      <c r="D12" s="1022"/>
      <c r="E12" s="1027"/>
      <c r="F12" s="1023"/>
      <c r="G12" s="1292"/>
      <c r="H12" s="1020" t="s">
        <v>437</v>
      </c>
      <c r="I12" s="1277" t="s">
        <v>687</v>
      </c>
      <c r="J12" s="1021"/>
      <c r="K12" s="1035"/>
      <c r="L12" s="1027"/>
      <c r="M12" s="1036"/>
    </row>
    <row r="13" spans="1:37" ht="18" customHeight="1" thickTop="1">
      <c r="A13" s="1016">
        <v>2</v>
      </c>
      <c r="B13" s="1017" t="s">
        <v>688</v>
      </c>
      <c r="C13" s="302">
        <f ca="1">ROUND(C29*F13,0)</f>
        <v>0</v>
      </c>
      <c r="D13" s="1018" t="s">
        <v>689</v>
      </c>
      <c r="E13" s="1018" t="s">
        <v>690</v>
      </c>
      <c r="F13" s="1019">
        <f ca="1">INDIRECT("'数据-取费表'!y"&amp;$G$1)</f>
        <v>0</v>
      </c>
      <c r="G13" s="1292"/>
      <c r="H13" s="1016">
        <v>2</v>
      </c>
      <c r="I13" s="1017" t="s">
        <v>688</v>
      </c>
      <c r="J13" s="1005">
        <f ca="1">ROUND(J14*J15,0)</f>
        <v>0</v>
      </c>
      <c r="K13" s="1024" t="s">
        <v>689</v>
      </c>
      <c r="L13" s="1299"/>
      <c r="M13" s="1300"/>
    </row>
    <row r="14" spans="1:37" ht="18" customHeight="1">
      <c r="A14" s="928" t="s">
        <v>397</v>
      </c>
      <c r="B14" s="294" t="s">
        <v>691</v>
      </c>
      <c r="C14" s="310">
        <f ca="1">ROUND(INDIRECT("'数据-取费表'!l"&amp;$G$1)*F43+'数据-取费表'!L14*INDIRECT("'数据-取费表'!S"&amp;$G$1),0)</f>
        <v>0</v>
      </c>
      <c r="D14" s="1257" t="s">
        <v>692</v>
      </c>
      <c r="E14" s="1255"/>
      <c r="F14" s="311"/>
      <c r="G14" s="1292"/>
      <c r="H14" s="928" t="s">
        <v>398</v>
      </c>
      <c r="I14" s="294" t="s">
        <v>693</v>
      </c>
      <c r="J14" s="21">
        <f ca="1">C29</f>
        <v>0</v>
      </c>
      <c r="K14" s="12"/>
      <c r="L14" s="759"/>
      <c r="M14" s="760"/>
    </row>
    <row r="15" spans="1:37" s="1304" customFormat="1" ht="18" customHeight="1" thickBot="1">
      <c r="A15" s="928" t="s">
        <v>399</v>
      </c>
      <c r="B15" s="294" t="s">
        <v>694</v>
      </c>
      <c r="C15" s="21">
        <f ca="1">ROUND(C14*F15,0)</f>
        <v>0</v>
      </c>
      <c r="D15" s="312" t="s">
        <v>695</v>
      </c>
      <c r="E15" s="312" t="s">
        <v>696</v>
      </c>
      <c r="F15" s="313">
        <f>'数据-取费表'!B33</f>
        <v>0.05</v>
      </c>
      <c r="G15" s="1303"/>
      <c r="H15" s="1026" t="s">
        <v>402</v>
      </c>
      <c r="I15" s="1027" t="s">
        <v>690</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664</v>
      </c>
      <c r="B16" s="294" t="s">
        <v>697</v>
      </c>
      <c r="C16" s="21">
        <f ca="1">ROUND(INDIRECT("'数据-取费表'!l"&amp;$G$1)*F43*F16,0)</f>
        <v>0</v>
      </c>
      <c r="D16" s="294" t="s">
        <v>695</v>
      </c>
      <c r="E16" s="294" t="s">
        <v>696</v>
      </c>
      <c r="F16" s="314">
        <f ca="1">IF(INDIRECT("'数据-取费表'!c"&amp;$G$1)="住宅",'数据-取费表'!B34,0)</f>
        <v>0</v>
      </c>
      <c r="G16" s="1292"/>
      <c r="H16" s="1016" t="s">
        <v>393</v>
      </c>
      <c r="I16" s="1017" t="s">
        <v>698</v>
      </c>
      <c r="J16" s="302">
        <f ca="1">ROUND(J17+J22+J23+J24,0)</f>
        <v>0</v>
      </c>
      <c r="K16" s="1024" t="s">
        <v>699</v>
      </c>
      <c r="L16" s="1025"/>
      <c r="M16" s="1009"/>
    </row>
    <row r="17" spans="1:37" s="1304" customFormat="1" ht="18" customHeight="1">
      <c r="A17" s="928" t="s">
        <v>665</v>
      </c>
      <c r="B17" s="294" t="s">
        <v>700</v>
      </c>
      <c r="C17" s="21">
        <f ca="1">ROUND(F17*(F43+INDIRECT("'数据-取费表'!S"&amp;$G$1)),0)</f>
        <v>0</v>
      </c>
      <c r="D17" s="294" t="s">
        <v>701</v>
      </c>
      <c r="E17" s="294" t="s">
        <v>702</v>
      </c>
      <c r="F17" s="23">
        <f>'数据-取费表'!B35</f>
        <v>200</v>
      </c>
      <c r="G17" s="1303"/>
      <c r="H17" s="928" t="s">
        <v>398</v>
      </c>
      <c r="I17" s="294" t="s">
        <v>703</v>
      </c>
      <c r="J17" s="2140">
        <f ca="1">ROUND(IF(AND(项目基本情况!B11="自然人",项目基本情况!B10="北京市"),J6*M17/(1+'数据-取费表'!C42),J18+J19+J20),0)</f>
        <v>0</v>
      </c>
      <c r="K17" s="1257" t="s">
        <v>704</v>
      </c>
      <c r="L17" s="1256" t="s">
        <v>705</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666</v>
      </c>
      <c r="B18" s="294" t="s">
        <v>706</v>
      </c>
      <c r="C18" s="21">
        <f ca="1">ROUND(C14*F18,0)</f>
        <v>0</v>
      </c>
      <c r="D18" s="294" t="s">
        <v>695</v>
      </c>
      <c r="E18" s="294" t="s">
        <v>696</v>
      </c>
      <c r="F18" s="314">
        <f>'数据-取费表'!B36</f>
        <v>0.02</v>
      </c>
      <c r="G18" s="1303"/>
      <c r="H18" s="928" t="s">
        <v>397</v>
      </c>
      <c r="I18" s="294" t="s">
        <v>707</v>
      </c>
      <c r="J18" s="21">
        <f ca="1">ROUND(J6*M18/(1+'数据-取费表'!C42),0)</f>
        <v>0</v>
      </c>
      <c r="K18" s="1256" t="s">
        <v>708</v>
      </c>
      <c r="L18" s="294" t="s">
        <v>696</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709</v>
      </c>
      <c r="C19" s="21">
        <f ca="1">SUM(C14:C18)</f>
        <v>0</v>
      </c>
      <c r="D19" s="123" t="s">
        <v>710</v>
      </c>
      <c r="E19" s="1269"/>
      <c r="F19" s="23"/>
      <c r="G19" s="1292"/>
      <c r="H19" s="928" t="s">
        <v>399</v>
      </c>
      <c r="I19" s="294" t="s">
        <v>711</v>
      </c>
      <c r="J19" s="21">
        <f ca="1">IF(K19="按租金收入计税",ROUND(J6*M19/(1+'数据-取费表'!C42),0),ROUND(C29*M19*0.7,0))</f>
        <v>0</v>
      </c>
      <c r="K19" s="1278" t="s">
        <v>3311</v>
      </c>
      <c r="L19" s="294" t="s">
        <v>696</v>
      </c>
      <c r="M19" s="314">
        <f>IF(K19="按租金收入计税",'数据-取费表'!B51,'数据-取费表'!B50)</f>
        <v>0.12</v>
      </c>
    </row>
    <row r="20" spans="1:37" s="1304" customFormat="1" ht="18" customHeight="1">
      <c r="A20" s="928" t="s">
        <v>402</v>
      </c>
      <c r="B20" s="294" t="s">
        <v>712</v>
      </c>
      <c r="C20" s="21">
        <f ca="1">ROUND(C19*F20,0)</f>
        <v>0</v>
      </c>
      <c r="D20" s="315" t="s">
        <v>713</v>
      </c>
      <c r="E20" s="294" t="s">
        <v>696</v>
      </c>
      <c r="F20" s="314">
        <f>'数据-取费表'!B37</f>
        <v>0.02</v>
      </c>
      <c r="G20" s="1303"/>
      <c r="H20" s="928" t="s">
        <v>664</v>
      </c>
      <c r="I20" s="147" t="s">
        <v>714</v>
      </c>
      <c r="J20" s="22">
        <f ca="1">ROUND(M20*M21,0)</f>
        <v>0</v>
      </c>
      <c r="K20" s="316" t="s">
        <v>715</v>
      </c>
      <c r="L20" s="294" t="s">
        <v>716</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717</v>
      </c>
      <c r="C21" s="21" t="s">
        <v>0</v>
      </c>
      <c r="D21" s="315" t="s">
        <v>718</v>
      </c>
      <c r="E21" s="294" t="s">
        <v>719</v>
      </c>
      <c r="F21" s="314">
        <f>'数据-取费表'!B38</f>
        <v>0.02</v>
      </c>
      <c r="G21" s="1303"/>
      <c r="H21" s="318"/>
      <c r="I21" s="303"/>
      <c r="J21" s="26"/>
      <c r="K21" s="319"/>
      <c r="L21" s="294" t="s">
        <v>720</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667</v>
      </c>
      <c r="B22" s="294" t="s">
        <v>721</v>
      </c>
      <c r="C22" s="21"/>
      <c r="D22" s="123" t="str">
        <f>IF(F23&lt;=1,"单利计息。","复利计息。")&amp;"建造成本、管理费用、销售费用产生的利息。"</f>
        <v>复利计息。建造成本、管理费用、销售费用产生的利息。</v>
      </c>
      <c r="E22" s="1269"/>
      <c r="F22" s="23"/>
      <c r="G22" s="1292"/>
      <c r="H22" s="928" t="s">
        <v>402</v>
      </c>
      <c r="I22" s="294" t="s">
        <v>722</v>
      </c>
      <c r="J22" s="21">
        <f ca="1">ROUND(J14*M22,0)</f>
        <v>0</v>
      </c>
      <c r="K22" s="1256" t="s">
        <v>723</v>
      </c>
      <c r="L22" s="294" t="s">
        <v>696</v>
      </c>
      <c r="M22" s="320">
        <f ca="1">INDIRECT("'数据-取费表'!Ak"&amp;$G$1)</f>
        <v>0</v>
      </c>
    </row>
    <row r="23" spans="1:37" s="1304" customFormat="1" ht="18" customHeight="1">
      <c r="A23" s="928" t="s">
        <v>397</v>
      </c>
      <c r="B23" s="294" t="s">
        <v>724</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725</v>
      </c>
      <c r="F23" s="317">
        <f>'数据-取费表'!B20</f>
        <v>2</v>
      </c>
      <c r="G23" s="1303"/>
      <c r="H23" s="928" t="s">
        <v>437</v>
      </c>
      <c r="I23" s="294" t="s">
        <v>726</v>
      </c>
      <c r="J23" s="21">
        <f ca="1">ROUND(J13*M23,0)</f>
        <v>0</v>
      </c>
      <c r="K23" s="1256" t="s">
        <v>727</v>
      </c>
      <c r="L23" s="294" t="s">
        <v>728</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729</v>
      </c>
      <c r="B24" s="294" t="s">
        <v>730</v>
      </c>
      <c r="C24" s="21">
        <f ca="1">ROUND(IF('数据-取费表'!B22&lt;=1,F21*F24*F23/2,F21*(POWER((1+F24),F23/2)-1)),4)</f>
        <v>5.9999999999999995E-4</v>
      </c>
      <c r="D24" s="138" t="str">
        <f>IF(F23&lt;=1,"销售费用×利率×(建设周期÷2)","销售费用×((1+利率)^(建设周期÷2)-1)")</f>
        <v>销售费用×((1+利率)^(建设周期÷2)-1)</v>
      </c>
      <c r="E24" s="294" t="s">
        <v>731</v>
      </c>
      <c r="F24" s="322">
        <f ca="1">'数据-取费表'!B40</f>
        <v>3.1E-2</v>
      </c>
      <c r="G24" s="1303"/>
      <c r="H24" s="1026" t="s">
        <v>668</v>
      </c>
      <c r="I24" s="1027" t="s">
        <v>712</v>
      </c>
      <c r="J24" s="1028">
        <f ca="1">ROUND(J5*M24,0)</f>
        <v>0</v>
      </c>
      <c r="K24" s="1029" t="s">
        <v>732</v>
      </c>
      <c r="L24" s="1027" t="s">
        <v>728</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733</v>
      </c>
      <c r="B25" s="294" t="s">
        <v>734</v>
      </c>
      <c r="C25" s="21"/>
      <c r="D25" s="123" t="s">
        <v>735</v>
      </c>
      <c r="E25" s="1269"/>
      <c r="F25" s="23"/>
      <c r="G25" s="1292"/>
      <c r="H25" s="1016" t="s">
        <v>394</v>
      </c>
      <c r="I25" s="1031" t="s">
        <v>736</v>
      </c>
      <c r="J25" s="302">
        <f ca="1">J5-J16</f>
        <v>0</v>
      </c>
      <c r="K25" s="1032" t="s">
        <v>737</v>
      </c>
      <c r="L25" s="1033"/>
      <c r="M25" s="1034"/>
    </row>
    <row r="26" spans="1:37" ht="18" customHeight="1">
      <c r="A26" s="928" t="s">
        <v>397</v>
      </c>
      <c r="B26" s="294" t="s">
        <v>738</v>
      </c>
      <c r="C26" s="21">
        <f ca="1">ROUND((C19+C20)*F26,0)</f>
        <v>0</v>
      </c>
      <c r="D26" s="315" t="s">
        <v>739</v>
      </c>
      <c r="E26" s="305" t="s">
        <v>740</v>
      </c>
      <c r="F26" s="304">
        <f ca="1">INDIRECT("'数据-取费表'!q"&amp;$G$1)</f>
        <v>0</v>
      </c>
      <c r="G26" s="1292"/>
      <c r="H26" s="291" t="s">
        <v>395</v>
      </c>
      <c r="I26" s="292" t="s">
        <v>741</v>
      </c>
      <c r="J26" s="293">
        <f ca="1">IF(J5&lt;&gt;0,ROUND(J25*(1-((1+M28)/(1+M26))^M27)/(M26-M28),0),0)</f>
        <v>0</v>
      </c>
      <c r="K26" s="316" t="s">
        <v>742</v>
      </c>
      <c r="L26" s="294" t="s">
        <v>743</v>
      </c>
      <c r="M26" s="304">
        <f ca="1">INDIRECT("'数据-取费表'!I"&amp;$G$1)</f>
        <v>0</v>
      </c>
    </row>
    <row r="27" spans="1:37" ht="18" customHeight="1">
      <c r="A27" s="928" t="s">
        <v>399</v>
      </c>
      <c r="B27" s="294" t="s">
        <v>744</v>
      </c>
      <c r="C27" s="21">
        <f ca="1">ROUND(F21*F26,4)</f>
        <v>0</v>
      </c>
      <c r="D27" s="315" t="s">
        <v>745</v>
      </c>
      <c r="E27" s="312"/>
      <c r="F27" s="313"/>
      <c r="G27" s="1292"/>
      <c r="H27" s="296"/>
      <c r="I27" s="297"/>
      <c r="J27" s="298"/>
      <c r="K27" s="323" t="s">
        <v>746</v>
      </c>
      <c r="L27" s="294" t="s">
        <v>747</v>
      </c>
      <c r="M27" s="324">
        <f ca="1">INDIRECT("'数据-取费表'!ag"&amp;$G$1)</f>
        <v>0</v>
      </c>
    </row>
    <row r="28" spans="1:37" s="1304" customFormat="1" ht="18" customHeight="1">
      <c r="A28" s="928" t="s">
        <v>400</v>
      </c>
      <c r="B28" s="294" t="s">
        <v>748</v>
      </c>
      <c r="C28" s="21">
        <f>ROUND(F28/(1+'数据-取费表'!C42),4)</f>
        <v>5.2400000000000002E-2</v>
      </c>
      <c r="D28" s="315" t="s">
        <v>749</v>
      </c>
      <c r="E28" s="294" t="s">
        <v>696</v>
      </c>
      <c r="F28" s="314">
        <f>'数据-取费表'!B41</f>
        <v>5.5000000000000007E-2</v>
      </c>
      <c r="G28" s="1303"/>
      <c r="H28" s="300"/>
      <c r="I28" s="301"/>
      <c r="J28" s="302"/>
      <c r="K28" s="319"/>
      <c r="L28" s="294" t="s">
        <v>750</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751</v>
      </c>
      <c r="C29" s="1028">
        <f ca="1">ROUND((C19+C20+C23+C26)/(1-F21-C24-C27-C28),0)</f>
        <v>0</v>
      </c>
      <c r="D29" s="1029"/>
      <c r="E29" s="1027"/>
      <c r="F29" s="1030"/>
      <c r="G29" s="1303"/>
      <c r="H29" s="325" t="s">
        <v>396</v>
      </c>
      <c r="I29" s="326" t="s">
        <v>752</v>
      </c>
      <c r="J29" s="327">
        <f ca="1">ROUND(J26/(1+F40)^F41,0)</f>
        <v>0</v>
      </c>
      <c r="K29" s="328" t="s">
        <v>753</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698</v>
      </c>
      <c r="C30" s="302">
        <f ca="1">ROUND(C31+C36+C37+C38,0)</f>
        <v>0</v>
      </c>
      <c r="D30" s="1024" t="s">
        <v>699</v>
      </c>
      <c r="E30" s="1025"/>
      <c r="F30" s="1009"/>
      <c r="G30" s="1292"/>
      <c r="H30" s="2469"/>
      <c r="I30" s="1305"/>
      <c r="J30" s="1306"/>
      <c r="K30" s="121"/>
      <c r="L30" s="2470"/>
      <c r="M30" s="2471"/>
    </row>
    <row r="31" spans="1:37" ht="18" customHeight="1">
      <c r="A31" s="928" t="s">
        <v>398</v>
      </c>
      <c r="B31" s="294" t="s">
        <v>703</v>
      </c>
      <c r="C31" s="2140">
        <f ca="1">ROUND(IF(AND(项目基本情况!B11="自然人",项目基本情况!B10="北京市"),C6*F31/(1+'数据-取费表'!C42),C32+C33+C34),0)</f>
        <v>0</v>
      </c>
      <c r="D31" s="1257" t="s">
        <v>704</v>
      </c>
      <c r="E31" s="1256" t="s">
        <v>754</v>
      </c>
      <c r="F31" s="2139" t="str">
        <f>IF(项目基本情况!B11="企业","——",IF(M47="住宅",IF(F6*F7*F8/12/(1+'数据-取费表'!F30)&gt;100000,4%,2.5%),IF(F6*F7*F8/12/(1+'数据-取费表'!F30)&gt;100000,12%,7%)))</f>
        <v>——</v>
      </c>
      <c r="G31" s="1292"/>
      <c r="H31" s="2568" t="s">
        <v>2281</v>
      </c>
      <c r="I31" s="1305"/>
      <c r="J31" s="1306"/>
      <c r="K31" s="121"/>
      <c r="L31" s="2470"/>
      <c r="M31" s="2471"/>
    </row>
    <row r="32" spans="1:37" ht="18" customHeight="1">
      <c r="A32" s="928" t="s">
        <v>397</v>
      </c>
      <c r="B32" s="294" t="s">
        <v>707</v>
      </c>
      <c r="C32" s="21">
        <f ca="1">IF(项目基本情况!B11="自然人","——",ROUND(C6*F32/(1+'数据-取费表'!C42),0))</f>
        <v>0</v>
      </c>
      <c r="D32" s="1256" t="s">
        <v>708</v>
      </c>
      <c r="E32" s="294" t="s">
        <v>696</v>
      </c>
      <c r="F32" s="322">
        <f>'数据-取费表'!B41</f>
        <v>5.5000000000000007E-2</v>
      </c>
      <c r="G32" s="1292"/>
      <c r="H32" s="2469"/>
      <c r="I32" s="1305"/>
      <c r="J32" s="1306"/>
      <c r="K32" s="121"/>
      <c r="L32" s="2470"/>
      <c r="M32" s="2471"/>
    </row>
    <row r="33" spans="1:18" ht="18" customHeight="1">
      <c r="A33" s="928" t="s">
        <v>399</v>
      </c>
      <c r="B33" s="294" t="s">
        <v>711</v>
      </c>
      <c r="C33" s="21">
        <f ca="1">IF(项目基本情况!B11="自然人","——",IF(D33="按租金收入计税",ROUND(C6*F33/(1+'数据-取费表'!C42),0),IF(D33="按房产原值计税",ROUND(C29*F33*0.7,0),INDIRECT("'数据-取费表'!Aj"&amp;$G$1))))</f>
        <v>0</v>
      </c>
      <c r="D33" s="1278" t="s">
        <v>3311</v>
      </c>
      <c r="E33" s="294" t="s">
        <v>696</v>
      </c>
      <c r="F33" s="314">
        <f>IF(D33="按票据","——",IF(D33="按租金收入计税",'数据-取费表'!B51,'数据-取费表'!B50))</f>
        <v>0.12</v>
      </c>
      <c r="G33" s="1292"/>
      <c r="H33" s="2472"/>
      <c r="I33" s="1305"/>
      <c r="J33" s="1306"/>
      <c r="K33" s="2473"/>
      <c r="L33" s="2472"/>
      <c r="M33" s="2472"/>
    </row>
    <row r="34" spans="1:18" ht="18" customHeight="1">
      <c r="A34" s="1006" t="s">
        <v>664</v>
      </c>
      <c r="B34" s="147" t="s">
        <v>714</v>
      </c>
      <c r="C34" s="22">
        <f ca="1">IF(项目基本情况!B11="自然人","——",ROUND(F34*F35,0))</f>
        <v>0</v>
      </c>
      <c r="D34" s="316" t="s">
        <v>715</v>
      </c>
      <c r="E34" s="294" t="s">
        <v>716</v>
      </c>
      <c r="F34" s="317">
        <f>'数据-取费表'!B52</f>
        <v>1.5</v>
      </c>
      <c r="G34" s="1292"/>
      <c r="H34" s="2469"/>
      <c r="I34" s="1305"/>
      <c r="J34" s="1306"/>
      <c r="K34" s="2474"/>
      <c r="L34" s="2475"/>
      <c r="M34" s="2475"/>
    </row>
    <row r="35" spans="1:18" ht="18" customHeight="1">
      <c r="A35" s="1040"/>
      <c r="B35" s="1038"/>
      <c r="C35" s="26"/>
      <c r="D35" s="319"/>
      <c r="E35" s="294" t="s">
        <v>720</v>
      </c>
      <c r="F35" s="295">
        <f ca="1">INDIRECT("'数据-取费表'!r"&amp;$G$1)</f>
        <v>0</v>
      </c>
      <c r="G35" s="1292"/>
      <c r="H35" s="2469"/>
      <c r="I35" s="1305"/>
      <c r="J35" s="1306"/>
      <c r="K35" s="2473"/>
      <c r="L35" s="2472"/>
      <c r="M35" s="2472"/>
    </row>
    <row r="36" spans="1:18" ht="18" customHeight="1">
      <c r="A36" s="1039" t="s">
        <v>402</v>
      </c>
      <c r="B36" s="294" t="s">
        <v>722</v>
      </c>
      <c r="C36" s="21">
        <f ca="1">ROUND(C29*F36,0)</f>
        <v>0</v>
      </c>
      <c r="D36" s="1256" t="s">
        <v>755</v>
      </c>
      <c r="E36" s="294" t="s">
        <v>696</v>
      </c>
      <c r="F36" s="320">
        <f ca="1">INDIRECT("'数据-取费表'!Ak"&amp;$G$1)</f>
        <v>0</v>
      </c>
      <c r="G36" s="1292"/>
      <c r="H36" s="2472"/>
      <c r="I36" s="1305"/>
      <c r="J36" s="1306"/>
      <c r="K36" s="2329"/>
      <c r="L36" s="2472"/>
      <c r="M36" s="2472"/>
    </row>
    <row r="37" spans="1:18" ht="18" customHeight="1">
      <c r="A37" s="928" t="s">
        <v>437</v>
      </c>
      <c r="B37" s="294" t="s">
        <v>726</v>
      </c>
      <c r="C37" s="21">
        <f ca="1">ROUND(C13*F37,0)</f>
        <v>0</v>
      </c>
      <c r="D37" s="1256" t="s">
        <v>727</v>
      </c>
      <c r="E37" s="294" t="s">
        <v>728</v>
      </c>
      <c r="F37" s="321">
        <f ca="1">INDIRECT("'数据-取费表'!Al"&amp;$G$1)</f>
        <v>0</v>
      </c>
      <c r="G37" s="1292"/>
      <c r="H37" s="2472"/>
      <c r="I37" s="1305"/>
      <c r="J37" s="1306"/>
      <c r="K37" s="2329"/>
      <c r="L37" s="2472"/>
      <c r="M37" s="2472"/>
    </row>
    <row r="38" spans="1:18" ht="18" customHeight="1" thickBot="1">
      <c r="A38" s="1026" t="s">
        <v>668</v>
      </c>
      <c r="B38" s="1027" t="s">
        <v>712</v>
      </c>
      <c r="C38" s="1028">
        <f ca="1">ROUND(C5*F38,0)</f>
        <v>0</v>
      </c>
      <c r="D38" s="1029" t="s">
        <v>732</v>
      </c>
      <c r="E38" s="1027" t="s">
        <v>728</v>
      </c>
      <c r="F38" s="1023">
        <f ca="1">INDIRECT("'数据-取费表'!Am"&amp;$G$1)</f>
        <v>0</v>
      </c>
      <c r="G38" s="1292"/>
      <c r="H38" s="2472"/>
      <c r="I38" s="1305"/>
      <c r="J38" s="1306"/>
      <c r="K38" s="2470"/>
      <c r="L38" s="2472"/>
      <c r="M38" s="2472"/>
    </row>
    <row r="39" spans="1:18" ht="24.6" customHeight="1" thickTop="1">
      <c r="A39" s="1016" t="s">
        <v>394</v>
      </c>
      <c r="B39" s="1031" t="s">
        <v>756</v>
      </c>
      <c r="C39" s="302">
        <f ca="1">C5-C30</f>
        <v>0</v>
      </c>
      <c r="D39" s="1032" t="s">
        <v>757</v>
      </c>
      <c r="E39" s="1033"/>
      <c r="F39" s="1034"/>
      <c r="G39" s="1292"/>
      <c r="H39" s="2472"/>
      <c r="I39" s="1305"/>
      <c r="J39" s="1306"/>
      <c r="K39" s="2470"/>
      <c r="L39" s="2472"/>
      <c r="M39" s="2472"/>
    </row>
    <row r="40" spans="1:18" ht="18" customHeight="1">
      <c r="A40" s="291" t="s">
        <v>395</v>
      </c>
      <c r="B40" s="292" t="s">
        <v>758</v>
      </c>
      <c r="C40" s="293" t="e">
        <f ca="1">ROUND(C39*(1-((1+F42)/(1+F40))^F41)/(F40-F42),0)</f>
        <v>#DIV/0!</v>
      </c>
      <c r="D40" s="316" t="s">
        <v>742</v>
      </c>
      <c r="E40" s="294" t="s">
        <v>743</v>
      </c>
      <c r="F40" s="304">
        <f ca="1">INDIRECT("'数据-取费表'!I"&amp;$G$1)</f>
        <v>0</v>
      </c>
      <c r="G40" s="1292"/>
      <c r="H40" s="1366"/>
      <c r="I40" s="1305"/>
      <c r="J40" s="1306"/>
      <c r="K40" s="2470"/>
      <c r="L40" s="1366"/>
      <c r="M40" s="1366"/>
    </row>
    <row r="41" spans="1:18" ht="18" customHeight="1">
      <c r="A41" s="296"/>
      <c r="B41" s="297"/>
      <c r="C41" s="298"/>
      <c r="D41" s="323" t="s">
        <v>759</v>
      </c>
      <c r="E41" s="294" t="s">
        <v>747</v>
      </c>
      <c r="F41" s="324">
        <f ca="1">IF(INDIRECT("'数据-取费表'!af"&amp;$G$1)=0,INDIRECT("'数据-取费表'!ae"&amp;$G$1),INDIRECT("'数据-取费表'!af"&amp;$G$1))</f>
        <v>0</v>
      </c>
      <c r="G41" s="1292"/>
      <c r="H41" s="121"/>
      <c r="I41" s="1305"/>
      <c r="J41" s="1306"/>
      <c r="K41" s="2329"/>
      <c r="L41" s="121"/>
      <c r="M41" s="121"/>
    </row>
    <row r="42" spans="1:18" ht="18" customHeight="1">
      <c r="A42" s="300"/>
      <c r="B42" s="301"/>
      <c r="C42" s="302"/>
      <c r="D42" s="319"/>
      <c r="E42" s="294" t="s">
        <v>750</v>
      </c>
      <c r="F42" s="304">
        <f ca="1">INDIRECT("'数据-取费表'!v"&amp;$G$1)</f>
        <v>0</v>
      </c>
      <c r="G42" s="1292"/>
      <c r="H42" s="121"/>
      <c r="I42" s="1305"/>
      <c r="J42" s="1306"/>
      <c r="K42" s="2329"/>
      <c r="L42" s="121"/>
      <c r="M42" s="121"/>
    </row>
    <row r="43" spans="1:18" ht="18" customHeight="1" thickBot="1">
      <c r="A43" s="325" t="s">
        <v>396</v>
      </c>
      <c r="B43" s="326" t="s">
        <v>760</v>
      </c>
      <c r="C43" s="327" t="e">
        <f ca="1">ROUND(C40/F43,0)</f>
        <v>#DIV/0!</v>
      </c>
      <c r="D43" s="328" t="s">
        <v>761</v>
      </c>
      <c r="E43" s="329" t="s">
        <v>762</v>
      </c>
      <c r="F43" s="330">
        <f ca="1">INDIRECT("'数据-取费表'!k"&amp;$G$1)</f>
        <v>0</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3128" t="s">
        <v>3327</v>
      </c>
      <c r="B45" s="1307"/>
      <c r="C45" s="1376" t="e">
        <f ca="1">ROUND((C68-C40)/10000,4)</f>
        <v>#DIV/0!</v>
      </c>
      <c r="D45" s="3129" t="s">
        <v>3328</v>
      </c>
      <c r="E45" s="1307"/>
      <c r="F45" s="1307"/>
      <c r="O45" s="1310" t="s">
        <v>792</v>
      </c>
      <c r="P45" s="1366"/>
      <c r="Q45" s="1366"/>
      <c r="R45" s="1366"/>
    </row>
    <row r="46" spans="1:18" s="1292" customFormat="1" ht="13.5" thickBot="1">
      <c r="A46" s="1311" t="s">
        <v>793</v>
      </c>
      <c r="C46" s="1312" t="e">
        <f ca="1">ROUND(C45,0)</f>
        <v>#DIV/0!</v>
      </c>
      <c r="D46" s="1313" t="str">
        <f>C2</f>
        <v>万元</v>
      </c>
      <c r="I46" s="1314" t="s">
        <v>794</v>
      </c>
      <c r="J46" s="1315"/>
      <c r="K46" s="1316"/>
      <c r="L46" s="1317" t="e">
        <f ca="1">IF(M47="住宅",0,IF(L48&gt;J51,L60,J60))</f>
        <v>#DIV/0!</v>
      </c>
      <c r="O46" s="1318" t="s">
        <v>795</v>
      </c>
      <c r="P46" s="1319" t="s">
        <v>796</v>
      </c>
      <c r="Q46" s="1320" t="s">
        <v>797</v>
      </c>
      <c r="R46" s="1320" t="s">
        <v>798</v>
      </c>
    </row>
    <row r="47" spans="1:18" s="1292" customFormat="1" ht="13.5" thickBot="1">
      <c r="A47" s="892" t="s">
        <v>671</v>
      </c>
      <c r="B47" s="924" t="s">
        <v>672</v>
      </c>
      <c r="C47" s="924" t="s">
        <v>673</v>
      </c>
      <c r="D47" s="924" t="s">
        <v>674</v>
      </c>
      <c r="E47" s="995" t="s">
        <v>675</v>
      </c>
      <c r="F47" s="996"/>
      <c r="G47" s="681"/>
      <c r="I47" s="1321" t="s">
        <v>799</v>
      </c>
      <c r="J47" s="1322"/>
      <c r="K47" s="1323" t="s">
        <v>800</v>
      </c>
      <c r="L47" s="1324">
        <f ca="1">INDIRECT("'数据-取费表'!d"&amp;$G$1)</f>
        <v>0</v>
      </c>
      <c r="M47" s="1288" t="str">
        <f>IF(ISNUMBER(FIND("住宅",C1)),"住宅","非住宅")</f>
        <v>非住宅</v>
      </c>
      <c r="O47" s="1325" t="s">
        <v>403</v>
      </c>
      <c r="P47" s="1326" t="s">
        <v>801</v>
      </c>
      <c r="Q47" s="1327" t="e">
        <f ca="1">C40+J29</f>
        <v>#DIV/0!</v>
      </c>
      <c r="R47" s="1327" t="s">
        <v>802</v>
      </c>
    </row>
    <row r="48" spans="1:18" s="1292" customFormat="1" ht="28.5" thickBot="1">
      <c r="A48" s="1047" t="s">
        <v>438</v>
      </c>
      <c r="B48" s="292" t="s">
        <v>676</v>
      </c>
      <c r="C48" s="1268">
        <f ca="1">C49+C53+C55</f>
        <v>0</v>
      </c>
      <c r="D48" s="1049"/>
      <c r="E48" s="1050"/>
      <c r="F48" s="908"/>
      <c r="G48" s="681"/>
      <c r="H48" s="682"/>
      <c r="I48" s="1328" t="s">
        <v>803</v>
      </c>
      <c r="J48" s="1329"/>
      <c r="K48" s="1330" t="s">
        <v>804</v>
      </c>
      <c r="L48" s="1331">
        <f ca="1">INDIRECT("'数据-取费表'!f"&amp;$G$1)</f>
        <v>0</v>
      </c>
      <c r="O48" s="1325" t="s">
        <v>404</v>
      </c>
      <c r="P48" s="1326" t="s">
        <v>805</v>
      </c>
      <c r="Q48" s="1327" t="e">
        <f ca="1">J60</f>
        <v>#DIV/0!</v>
      </c>
      <c r="R48" s="1327" t="s">
        <v>806</v>
      </c>
    </row>
    <row r="49" spans="1:18" s="1292" customFormat="1" ht="13.5" thickBot="1">
      <c r="A49" s="921" t="s">
        <v>439</v>
      </c>
      <c r="B49" s="1279" t="s">
        <v>763</v>
      </c>
      <c r="C49" s="1051">
        <f ca="1">ROUND(F49*F51*F50*(1-F52),0)</f>
        <v>0</v>
      </c>
      <c r="D49" s="992" t="s">
        <v>679</v>
      </c>
      <c r="E49" s="1280" t="s">
        <v>764</v>
      </c>
      <c r="F49" s="997"/>
      <c r="H49" s="682"/>
      <c r="I49" s="1328" t="s">
        <v>807</v>
      </c>
      <c r="J49" s="1332"/>
      <c r="K49" s="1330" t="s">
        <v>808</v>
      </c>
      <c r="L49" s="1333"/>
      <c r="O49" s="1334" t="s">
        <v>405</v>
      </c>
      <c r="P49" s="1326" t="s">
        <v>809</v>
      </c>
      <c r="Q49" s="1327">
        <f ca="1">C29</f>
        <v>0</v>
      </c>
      <c r="R49" s="1327" t="s">
        <v>802</v>
      </c>
    </row>
    <row r="50" spans="1:18" s="1292" customFormat="1" ht="13.5" thickBot="1">
      <c r="A50" s="922"/>
      <c r="B50" s="925"/>
      <c r="C50" s="926"/>
      <c r="D50" s="899"/>
      <c r="E50" s="993" t="s">
        <v>681</v>
      </c>
      <c r="F50" s="994">
        <f ca="1">F7</f>
        <v>0</v>
      </c>
      <c r="H50" s="682"/>
      <c r="I50" s="1328" t="s">
        <v>810</v>
      </c>
      <c r="J50" s="1335">
        <f>SUMPRODUCT((I63:I65=J47)*(J62:L62=J48)*(J63:L65))</f>
        <v>0</v>
      </c>
      <c r="K50" s="1330" t="s">
        <v>811</v>
      </c>
      <c r="L50" s="1333"/>
      <c r="M50" s="1336"/>
      <c r="O50" s="1334" t="s">
        <v>406</v>
      </c>
      <c r="P50" s="1326" t="s">
        <v>812</v>
      </c>
      <c r="Q50" s="1337" t="e">
        <f ca="1">J58</f>
        <v>#DIV/0!</v>
      </c>
      <c r="R50" s="1327"/>
    </row>
    <row r="51" spans="1:18" s="1292" customFormat="1" ht="13.5" thickBot="1">
      <c r="A51" s="923"/>
      <c r="B51" s="925"/>
      <c r="C51" s="926"/>
      <c r="D51" s="899"/>
      <c r="E51" s="927" t="s">
        <v>682</v>
      </c>
      <c r="F51" s="295">
        <f ca="1">F8</f>
        <v>0</v>
      </c>
      <c r="I51" s="1338" t="s">
        <v>813</v>
      </c>
      <c r="J51" s="1331">
        <f>IF(J49="",J50,J49+J50-YEAR('数据-取费表'!B2))</f>
        <v>0</v>
      </c>
      <c r="K51" s="1339" t="s">
        <v>814</v>
      </c>
      <c r="L51" s="1340">
        <f ca="1">ROUND(-PV(INDIRECT("'数据-取费表'!h"&amp;$G$1),J51,(C39-C13*C76),0),0)</f>
        <v>0</v>
      </c>
      <c r="M51" s="1341"/>
      <c r="O51" s="1334" t="s">
        <v>407</v>
      </c>
      <c r="P51" s="1326" t="s">
        <v>815</v>
      </c>
      <c r="Q51" s="1337">
        <f>J52</f>
        <v>0</v>
      </c>
      <c r="R51" s="1327"/>
    </row>
    <row r="52" spans="1:18" s="1292" customFormat="1" ht="13.5" thickBot="1">
      <c r="A52" s="923"/>
      <c r="B52" s="925"/>
      <c r="C52" s="926"/>
      <c r="D52" s="899"/>
      <c r="E52" s="927" t="s">
        <v>683</v>
      </c>
      <c r="F52" s="991"/>
      <c r="I52" s="1342" t="s">
        <v>816</v>
      </c>
      <c r="J52" s="1343"/>
      <c r="K52" s="1342" t="s">
        <v>817</v>
      </c>
      <c r="L52" s="1343"/>
      <c r="O52" s="1334" t="s">
        <v>408</v>
      </c>
      <c r="P52" s="1326" t="s">
        <v>818</v>
      </c>
      <c r="Q52" s="1327">
        <f ca="1">J53</f>
        <v>0</v>
      </c>
      <c r="R52" s="1327" t="s">
        <v>819</v>
      </c>
    </row>
    <row r="53" spans="1:18" s="1292" customFormat="1" ht="30.75" customHeight="1" thickBot="1">
      <c r="A53" s="1048" t="s">
        <v>440</v>
      </c>
      <c r="B53" s="315" t="s">
        <v>684</v>
      </c>
      <c r="C53" s="308">
        <f ca="1">ROUND(IF(F53="押一",C49/12*F11,IF(F53="押二",C49/12*2*F11,IF(F53="押三",C49/12*3*F11,C54*F11))),0)</f>
        <v>0</v>
      </c>
      <c r="D53" s="150" t="s">
        <v>2103</v>
      </c>
      <c r="E53" s="305" t="s">
        <v>685</v>
      </c>
      <c r="F53" s="1053"/>
      <c r="I53" s="1344" t="s">
        <v>820</v>
      </c>
      <c r="J53" s="2006">
        <f ca="1">IF(M47="住宅",IF(D1="——",MAX(J51,L48),MAX(J51,L48-'数据-取费表'!B24)),IF(D1="——",MIN(J51,L48),MIN(J51,L48-'数据-取费表'!B24)))</f>
        <v>0</v>
      </c>
      <c r="K53" s="3396" t="s">
        <v>821</v>
      </c>
      <c r="L53" s="3397"/>
      <c r="O53" s="1325" t="s">
        <v>409</v>
      </c>
      <c r="P53" s="1326" t="s">
        <v>822</v>
      </c>
      <c r="Q53" s="1327" t="e">
        <f ca="1">Q47+Q48</f>
        <v>#DIV/0!</v>
      </c>
      <c r="R53" s="1327" t="s">
        <v>410</v>
      </c>
    </row>
    <row r="54" spans="1:18" s="1292" customFormat="1" ht="13.5" thickBot="1">
      <c r="A54" s="921"/>
      <c r="B54" s="1377" t="s">
        <v>875</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823</v>
      </c>
      <c r="P54" s="1289"/>
      <c r="Q54" s="1289"/>
      <c r="R54" s="1289"/>
    </row>
    <row r="55" spans="1:18" s="1292" customFormat="1" ht="13.5" thickBot="1">
      <c r="A55" s="1020" t="s">
        <v>437</v>
      </c>
      <c r="B55" s="1277" t="s">
        <v>687</v>
      </c>
      <c r="C55" s="1021"/>
      <c r="D55" s="150"/>
      <c r="E55" s="1282"/>
      <c r="F55" s="1345"/>
      <c r="I55" s="1348" t="s">
        <v>824</v>
      </c>
      <c r="J55" s="1349" t="e">
        <f ca="1">ROUND(IF(J47="钢混",J57/J50,1-(1-2%)*(J50-J57)/J50),3)</f>
        <v>#DIV/0!</v>
      </c>
      <c r="K55" s="1350" t="s">
        <v>825</v>
      </c>
      <c r="L55" s="1351"/>
      <c r="O55" s="1318" t="s">
        <v>795</v>
      </c>
      <c r="P55" s="1319" t="s">
        <v>796</v>
      </c>
      <c r="Q55" s="1320" t="s">
        <v>797</v>
      </c>
      <c r="R55" s="1320" t="s">
        <v>798</v>
      </c>
    </row>
    <row r="56" spans="1:18" s="1292" customFormat="1" ht="36" customHeight="1" thickTop="1" thickBot="1">
      <c r="A56" s="903">
        <v>2</v>
      </c>
      <c r="B56" s="904" t="s">
        <v>688</v>
      </c>
      <c r="C56" s="224">
        <f ca="1">C13</f>
        <v>0</v>
      </c>
      <c r="D56" s="1352"/>
      <c r="E56" s="1353"/>
      <c r="F56" s="1345"/>
      <c r="I56" s="1354" t="s">
        <v>826</v>
      </c>
      <c r="J56" s="1355"/>
      <c r="K56" s="1328" t="s">
        <v>827</v>
      </c>
      <c r="L56" s="1331">
        <f ca="1">IF(L48&lt;J51,"——",L48-J51)</f>
        <v>0</v>
      </c>
      <c r="O56" s="1325" t="s">
        <v>403</v>
      </c>
      <c r="P56" s="1326" t="s">
        <v>801</v>
      </c>
      <c r="Q56" s="1327" t="e">
        <f ca="1">C40+J29</f>
        <v>#DIV/0!</v>
      </c>
      <c r="R56" s="1327" t="s">
        <v>802</v>
      </c>
    </row>
    <row r="57" spans="1:18" s="1292" customFormat="1" ht="24.75" thickBot="1">
      <c r="A57" s="1356"/>
      <c r="B57" s="896" t="s">
        <v>751</v>
      </c>
      <c r="C57" s="230">
        <f ca="1">C29</f>
        <v>0</v>
      </c>
      <c r="D57" s="1357"/>
      <c r="E57" s="1358"/>
      <c r="F57" s="1359"/>
      <c r="I57" s="1360" t="s">
        <v>828</v>
      </c>
      <c r="J57" s="1361">
        <f ca="1">IF(OR(M47="住宅",J51&lt;L48,J56="是"),"——",J51-L48)</f>
        <v>0</v>
      </c>
      <c r="K57" s="1328" t="s">
        <v>876</v>
      </c>
      <c r="L57" s="1331">
        <f ca="1">IF(L48&lt;J51,"——",IF(L55="比较法",L49,IF(L55="基准地价",L50,L51)))</f>
        <v>0</v>
      </c>
      <c r="O57" s="1325" t="s">
        <v>404</v>
      </c>
      <c r="P57" s="1326" t="s">
        <v>877</v>
      </c>
      <c r="Q57" s="1327" t="e">
        <f ca="1">L60</f>
        <v>#DIV/0!</v>
      </c>
      <c r="R57" s="1327" t="s">
        <v>878</v>
      </c>
    </row>
    <row r="58" spans="1:18" s="1292" customFormat="1" ht="24.75" thickBot="1">
      <c r="A58" s="307" t="s">
        <v>393</v>
      </c>
      <c r="B58" s="904" t="s">
        <v>698</v>
      </c>
      <c r="C58" s="308">
        <f ca="1">ROUND(C59+C64+C65+C66,0)</f>
        <v>0</v>
      </c>
      <c r="D58" s="906" t="s">
        <v>699</v>
      </c>
      <c r="E58" s="907"/>
      <c r="F58" s="908"/>
      <c r="I58" s="1360" t="s">
        <v>832</v>
      </c>
      <c r="J58" s="1362" t="e">
        <f ca="1">IF(J55&lt;0.4,0.4,J55)</f>
        <v>#DIV/0!</v>
      </c>
      <c r="K58" s="1339" t="s">
        <v>879</v>
      </c>
      <c r="L58" s="1331" t="e">
        <f ca="1">ROUND(POWER(1+L52,L47-L48)*(POWER(1+L52,L48)-1)/(POWER(1+L52,L47)-1),4)</f>
        <v>#DIV/0!</v>
      </c>
      <c r="O58" s="1334" t="s">
        <v>405</v>
      </c>
      <c r="P58" s="1326" t="s">
        <v>834</v>
      </c>
      <c r="Q58" s="1327">
        <f>IF(L55="比较法",L49,IF(L55="基准地价",L50,0))</f>
        <v>0</v>
      </c>
      <c r="R58" s="1327" t="s">
        <v>802</v>
      </c>
    </row>
    <row r="59" spans="1:18" s="1292" customFormat="1" ht="24.75" thickBot="1">
      <c r="A59" s="928" t="s">
        <v>398</v>
      </c>
      <c r="B59" s="896" t="s">
        <v>703</v>
      </c>
      <c r="C59" s="2140">
        <f ca="1">ROUND(IF(AND(项目基本情况!B11="自然人",项目基本情况!B10="北京市"),C49*F59/(1+'数据-取费表'!C42),C60+C61+C62),0)</f>
        <v>0</v>
      </c>
      <c r="D59" s="909" t="s">
        <v>704</v>
      </c>
      <c r="E59" s="910" t="s">
        <v>705</v>
      </c>
      <c r="F59" s="2139" t="str">
        <f>IF(项目基本情况!B11="企业","——",IF('数据-取费表'!B10="住宅",IF(F49*F50*F51/12/(1+'数据-取费表'!F30)&gt;100000,4%,2.5%),IF(F49*F50*F51/12/(1+'数据-取费表'!F30)&gt;100000,12%,7%)))</f>
        <v>——</v>
      </c>
      <c r="I59" s="1360" t="s">
        <v>835</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836</v>
      </c>
      <c r="Q59" s="1337">
        <f>L52</f>
        <v>0</v>
      </c>
      <c r="R59" s="1327"/>
    </row>
    <row r="60" spans="1:18" s="1292" customFormat="1" ht="16.5" thickBot="1">
      <c r="A60" s="928" t="s">
        <v>397</v>
      </c>
      <c r="B60" s="896" t="s">
        <v>707</v>
      </c>
      <c r="C60" s="21">
        <f ca="1">IF(项目基本情况!B11="自然人","——",ROUND(C48*F60/(1+'数据-取费表'!C42),0))</f>
        <v>0</v>
      </c>
      <c r="D60" s="910" t="s">
        <v>708</v>
      </c>
      <c r="E60" s="896" t="s">
        <v>696</v>
      </c>
      <c r="F60" s="322">
        <f t="shared" ref="F60:F66" si="0">F32</f>
        <v>5.5000000000000007E-2</v>
      </c>
      <c r="I60" s="1363" t="s">
        <v>837</v>
      </c>
      <c r="J60" s="1364" t="e">
        <f ca="1">IF(OR(M47="住宅",J51&lt;L48,J56="是"),"0",ROUND(J59/(1+J52)^J53,0))</f>
        <v>#DIV/0!</v>
      </c>
      <c r="K60" s="1365" t="s">
        <v>838</v>
      </c>
      <c r="L60" s="1364" t="e">
        <f ca="1">IF(OR(M47="住宅",L48&lt;J51),0,ROUND(L57*(L58/L59-1),0))</f>
        <v>#DIV/0!</v>
      </c>
      <c r="O60" s="1334" t="s">
        <v>407</v>
      </c>
      <c r="P60" s="1326" t="s">
        <v>839</v>
      </c>
      <c r="Q60" s="1327" t="e">
        <f ca="1">L58</f>
        <v>#DIV/0!</v>
      </c>
      <c r="R60" s="1327" t="s">
        <v>840</v>
      </c>
    </row>
    <row r="61" spans="1:18" s="1292" customFormat="1" ht="13.5" thickBot="1">
      <c r="A61" s="928" t="s">
        <v>765</v>
      </c>
      <c r="B61" s="896" t="s">
        <v>766</v>
      </c>
      <c r="C61" s="21">
        <f ca="1">IF(项目基本情况!B11="自然人","——",IF(D61="按租金收入计税",ROUND(C49*F61/(1+'数据-取费表'!C42),0),IF(D61="按房产原值计税",ROUND(C57*F61*0.7,0),INDIRECT("'数据-取费表'!Aj"&amp;$G$1))))</f>
        <v>0</v>
      </c>
      <c r="D61" s="1278" t="s">
        <v>3311</v>
      </c>
      <c r="E61" s="896" t="s">
        <v>767</v>
      </c>
      <c r="F61" s="314">
        <f t="shared" si="0"/>
        <v>0.12</v>
      </c>
      <c r="I61" s="1366"/>
      <c r="J61" s="1366"/>
      <c r="K61" s="1366"/>
      <c r="L61" s="1366"/>
      <c r="O61" s="1334" t="s">
        <v>408</v>
      </c>
      <c r="P61" s="1326" t="str">
        <f>K59</f>
        <v>建筑物剩余耐用年限下的土地年期修正系数Kn</v>
      </c>
      <c r="Q61" s="1327" t="e">
        <f ca="1">L59</f>
        <v>#DIV/0!</v>
      </c>
      <c r="R61" s="1327" t="s">
        <v>841</v>
      </c>
    </row>
    <row r="62" spans="1:18" s="1292" customFormat="1" ht="13.5" thickBot="1">
      <c r="A62" s="928" t="s">
        <v>768</v>
      </c>
      <c r="B62" s="895" t="s">
        <v>769</v>
      </c>
      <c r="C62" s="22">
        <f ca="1">IF(项目基本情况!B11="自然人","——",ROUND(F62*F63,0))</f>
        <v>0</v>
      </c>
      <c r="D62" s="911" t="s">
        <v>770</v>
      </c>
      <c r="E62" s="896" t="s">
        <v>771</v>
      </c>
      <c r="F62" s="317">
        <f t="shared" si="0"/>
        <v>1.5</v>
      </c>
      <c r="I62" s="1367" t="s">
        <v>842</v>
      </c>
      <c r="J62" s="610" t="s">
        <v>843</v>
      </c>
      <c r="K62" s="610" t="s">
        <v>844</v>
      </c>
      <c r="L62" s="610" t="s">
        <v>845</v>
      </c>
      <c r="M62" s="1368" t="s">
        <v>846</v>
      </c>
      <c r="O62" s="1325" t="s">
        <v>409</v>
      </c>
      <c r="P62" s="1326" t="s">
        <v>847</v>
      </c>
      <c r="Q62" s="1327" t="e">
        <f ca="1">Q56+Q57</f>
        <v>#DIV/0!</v>
      </c>
      <c r="R62" s="1327" t="s">
        <v>410</v>
      </c>
    </row>
    <row r="63" spans="1:18" s="1292" customFormat="1" ht="13.5" thickBot="1">
      <c r="A63" s="318"/>
      <c r="B63" s="902"/>
      <c r="C63" s="26"/>
      <c r="D63" s="912"/>
      <c r="E63" s="896" t="s">
        <v>772</v>
      </c>
      <c r="F63" s="295">
        <f t="shared" ca="1" si="0"/>
        <v>0</v>
      </c>
      <c r="I63" s="1367" t="s">
        <v>848</v>
      </c>
      <c r="J63" s="610">
        <v>70</v>
      </c>
      <c r="K63" s="610">
        <v>50</v>
      </c>
      <c r="L63" s="610">
        <v>80</v>
      </c>
      <c r="M63" s="1369">
        <v>0.02</v>
      </c>
      <c r="O63" s="1310" t="s">
        <v>849</v>
      </c>
      <c r="P63" s="1289"/>
      <c r="Q63" s="1289"/>
      <c r="R63" s="1289"/>
    </row>
    <row r="64" spans="1:18" s="1292" customFormat="1" ht="13.5" thickBot="1">
      <c r="A64" s="928" t="s">
        <v>773</v>
      </c>
      <c r="B64" s="896" t="s">
        <v>774</v>
      </c>
      <c r="C64" s="21">
        <f ca="1">ROUND(C57*F64,0)</f>
        <v>0</v>
      </c>
      <c r="D64" s="910" t="s">
        <v>775</v>
      </c>
      <c r="E64" s="896" t="s">
        <v>767</v>
      </c>
      <c r="F64" s="320">
        <f t="shared" ca="1" si="0"/>
        <v>0</v>
      </c>
      <c r="I64" s="1367" t="s">
        <v>850</v>
      </c>
      <c r="J64" s="610">
        <v>50</v>
      </c>
      <c r="K64" s="610">
        <v>35</v>
      </c>
      <c r="L64" s="610">
        <v>60</v>
      </c>
      <c r="M64" s="1368">
        <v>0</v>
      </c>
      <c r="O64" s="1318" t="s">
        <v>795</v>
      </c>
      <c r="P64" s="1319" t="s">
        <v>796</v>
      </c>
      <c r="Q64" s="1320" t="s">
        <v>797</v>
      </c>
      <c r="R64" s="1320" t="s">
        <v>798</v>
      </c>
    </row>
    <row r="65" spans="1:18" s="1292" customFormat="1" ht="13.5" thickBot="1">
      <c r="A65" s="928" t="s">
        <v>776</v>
      </c>
      <c r="B65" s="896" t="s">
        <v>726</v>
      </c>
      <c r="C65" s="21">
        <f ca="1">ROUND(C56*F65,0)</f>
        <v>0</v>
      </c>
      <c r="D65" s="910" t="s">
        <v>727</v>
      </c>
      <c r="E65" s="896" t="s">
        <v>728</v>
      </c>
      <c r="F65" s="321">
        <f t="shared" ca="1" si="0"/>
        <v>0</v>
      </c>
      <c r="I65" s="1367" t="s">
        <v>851</v>
      </c>
      <c r="J65" s="610">
        <v>40</v>
      </c>
      <c r="K65" s="610">
        <v>30</v>
      </c>
      <c r="L65" s="610">
        <v>50</v>
      </c>
      <c r="M65" s="1369">
        <v>0.02</v>
      </c>
      <c r="O65" s="1325" t="s">
        <v>403</v>
      </c>
      <c r="P65" s="1326" t="s">
        <v>852</v>
      </c>
      <c r="Q65" s="1327" t="e">
        <f ca="1">C40+J29</f>
        <v>#DIV/0!</v>
      </c>
      <c r="R65" s="1327" t="s">
        <v>802</v>
      </c>
    </row>
    <row r="66" spans="1:18" s="1292" customFormat="1" ht="16.5" thickBot="1">
      <c r="A66" s="928" t="s">
        <v>777</v>
      </c>
      <c r="B66" s="896" t="s">
        <v>712</v>
      </c>
      <c r="C66" s="21">
        <f ca="1">ROUND(C48*F66,0)</f>
        <v>0</v>
      </c>
      <c r="D66" s="910" t="s">
        <v>778</v>
      </c>
      <c r="E66" s="896" t="s">
        <v>696</v>
      </c>
      <c r="F66" s="304">
        <f t="shared" ca="1" si="0"/>
        <v>0</v>
      </c>
      <c r="O66" s="1325" t="s">
        <v>404</v>
      </c>
      <c r="P66" s="1326" t="s">
        <v>830</v>
      </c>
      <c r="Q66" s="1327" t="e">
        <f ca="1">L60</f>
        <v>#DIV/0!</v>
      </c>
      <c r="R66" s="1327" t="s">
        <v>853</v>
      </c>
    </row>
    <row r="67" spans="1:18" s="1292" customFormat="1" ht="16.5" thickBot="1">
      <c r="A67" s="903" t="s">
        <v>394</v>
      </c>
      <c r="B67" s="913" t="s">
        <v>736</v>
      </c>
      <c r="C67" s="308">
        <f ca="1">C48-C58</f>
        <v>0</v>
      </c>
      <c r="D67" s="909" t="s">
        <v>737</v>
      </c>
      <c r="E67" s="914"/>
      <c r="F67" s="915"/>
      <c r="O67" s="1334" t="s">
        <v>405</v>
      </c>
      <c r="P67" s="1326" t="s">
        <v>834</v>
      </c>
      <c r="Q67" s="1370">
        <f ca="1">L51</f>
        <v>0</v>
      </c>
      <c r="R67" s="1327" t="s">
        <v>854</v>
      </c>
    </row>
    <row r="68" spans="1:18" s="1292" customFormat="1" ht="16.5" thickBot="1">
      <c r="A68" s="893" t="s">
        <v>395</v>
      </c>
      <c r="B68" s="894" t="s">
        <v>758</v>
      </c>
      <c r="C68" s="293" t="e">
        <f ca="1">ROUND(C67*(1-((1+F70)/(1+F68))^F69)/(F68-F70),0)</f>
        <v>#DIV/0!</v>
      </c>
      <c r="D68" s="911" t="s">
        <v>742</v>
      </c>
      <c r="E68" s="896" t="s">
        <v>743</v>
      </c>
      <c r="F68" s="304">
        <f ca="1">F40</f>
        <v>0</v>
      </c>
      <c r="O68" s="1334" t="s">
        <v>406</v>
      </c>
      <c r="P68" s="1371" t="s">
        <v>855</v>
      </c>
      <c r="Q68" s="1327">
        <f ca="1">ROUND(Q69-Q70*Q71,0)</f>
        <v>0</v>
      </c>
      <c r="R68" s="1327" t="s">
        <v>414</v>
      </c>
    </row>
    <row r="69" spans="1:18" s="1292" customFormat="1" ht="13.5" thickBot="1">
      <c r="A69" s="897"/>
      <c r="B69" s="898"/>
      <c r="C69" s="298"/>
      <c r="D69" s="916" t="s">
        <v>746</v>
      </c>
      <c r="E69" s="896" t="s">
        <v>747</v>
      </c>
      <c r="F69" s="324">
        <f ca="1">F41</f>
        <v>0</v>
      </c>
      <c r="O69" s="1334" t="s">
        <v>411</v>
      </c>
      <c r="P69" s="1371" t="s">
        <v>856</v>
      </c>
      <c r="Q69" s="1327">
        <f ca="1">C39</f>
        <v>0</v>
      </c>
      <c r="R69" s="1327" t="s">
        <v>802</v>
      </c>
    </row>
    <row r="70" spans="1:18" s="1292" customFormat="1" ht="13.5" thickBot="1">
      <c r="A70" s="900"/>
      <c r="B70" s="901"/>
      <c r="C70" s="302"/>
      <c r="D70" s="912"/>
      <c r="E70" s="896" t="s">
        <v>750</v>
      </c>
      <c r="F70" s="991"/>
      <c r="O70" s="1334" t="s">
        <v>412</v>
      </c>
      <c r="P70" s="1371" t="s">
        <v>857</v>
      </c>
      <c r="Q70" s="1327">
        <f ca="1">C13</f>
        <v>0</v>
      </c>
      <c r="R70" s="1327" t="s">
        <v>802</v>
      </c>
    </row>
    <row r="71" spans="1:18" s="1292" customFormat="1" ht="13.5" thickBot="1">
      <c r="A71" s="917" t="s">
        <v>396</v>
      </c>
      <c r="B71" s="918" t="s">
        <v>760</v>
      </c>
      <c r="C71" s="327" t="e">
        <f ca="1">ROUND(C68/F71,0)</f>
        <v>#DIV/0!</v>
      </c>
      <c r="D71" s="919" t="s">
        <v>761</v>
      </c>
      <c r="E71" s="920" t="s">
        <v>762</v>
      </c>
      <c r="F71" s="330">
        <f ca="1">F43</f>
        <v>0</v>
      </c>
      <c r="O71" s="1334" t="s">
        <v>413</v>
      </c>
      <c r="P71" s="1371" t="s">
        <v>858</v>
      </c>
      <c r="Q71" s="1337">
        <f ca="1">C76</f>
        <v>0</v>
      </c>
      <c r="R71" s="1327"/>
    </row>
    <row r="72" spans="1:18" s="1292" customFormat="1" ht="13.5" thickBot="1">
      <c r="B72" s="685"/>
      <c r="C72" s="685"/>
      <c r="O72" s="1334" t="s">
        <v>407</v>
      </c>
      <c r="P72" s="1326" t="s">
        <v>836</v>
      </c>
      <c r="Q72" s="1337">
        <f>L52</f>
        <v>0</v>
      </c>
      <c r="R72" s="1327"/>
    </row>
    <row r="73" spans="1:18" ht="16.5" thickBot="1">
      <c r="A73" s="1292"/>
      <c r="B73" s="685"/>
      <c r="C73" s="685"/>
      <c r="D73" s="1292"/>
      <c r="E73" s="1292"/>
      <c r="F73" s="1292"/>
      <c r="O73" s="1334" t="s">
        <v>408</v>
      </c>
      <c r="P73" s="1326" t="s">
        <v>839</v>
      </c>
      <c r="Q73" s="1327" t="e">
        <f ca="1">L58</f>
        <v>#DIV/0!</v>
      </c>
      <c r="R73" s="1327" t="s">
        <v>840</v>
      </c>
    </row>
    <row r="74" spans="1:18" ht="13.5" thickBot="1">
      <c r="A74" s="1292"/>
      <c r="B74" s="265" t="s">
        <v>859</v>
      </c>
      <c r="C74" s="1373"/>
      <c r="D74" s="1292"/>
      <c r="E74" s="1292"/>
      <c r="F74" s="1292"/>
      <c r="O74" s="1334" t="s">
        <v>415</v>
      </c>
      <c r="P74" s="1326" t="str">
        <f>K59</f>
        <v>建筑物剩余耐用年限下的土地年期修正系数Kn</v>
      </c>
      <c r="Q74" s="1327" t="e">
        <f ca="1">L59</f>
        <v>#DIV/0!</v>
      </c>
      <c r="R74" s="1327" t="s">
        <v>841</v>
      </c>
    </row>
    <row r="75" spans="1:18" ht="13.5" thickBot="1">
      <c r="A75" s="1292"/>
      <c r="B75" s="331" t="s">
        <v>779</v>
      </c>
      <c r="C75" s="332">
        <f ca="1">ROUND(C13*C76,0)</f>
        <v>0</v>
      </c>
      <c r="D75" s="1292"/>
      <c r="E75" s="1292"/>
      <c r="F75" s="1292"/>
      <c r="K75" s="1309"/>
      <c r="L75" s="1292"/>
      <c r="O75" s="1325" t="s">
        <v>409</v>
      </c>
      <c r="P75" s="1326" t="s">
        <v>822</v>
      </c>
      <c r="Q75" s="1327" t="e">
        <f ca="1">Q65+Q66</f>
        <v>#DIV/0!</v>
      </c>
      <c r="R75" s="1327" t="s">
        <v>410</v>
      </c>
    </row>
    <row r="76" spans="1:18">
      <c r="B76" s="333" t="s">
        <v>780</v>
      </c>
      <c r="C76" s="334">
        <f ca="1">INDIRECT("'数据-取费表'!j"&amp;$G$1)</f>
        <v>0</v>
      </c>
      <c r="I76" s="1292"/>
      <c r="J76" s="1292"/>
      <c r="K76" s="1309"/>
      <c r="L76" s="1292"/>
    </row>
    <row r="77" spans="1:18">
      <c r="B77" s="335" t="s">
        <v>781</v>
      </c>
      <c r="C77" s="336"/>
      <c r="I77" s="1292"/>
      <c r="J77" s="1292"/>
      <c r="K77" s="1309"/>
      <c r="L77" s="1292"/>
    </row>
    <row r="78" spans="1:18">
      <c r="B78" s="262" t="s">
        <v>782</v>
      </c>
      <c r="C78" s="337"/>
    </row>
    <row r="79" spans="1:18">
      <c r="B79" s="331" t="s">
        <v>783</v>
      </c>
      <c r="C79" s="266" t="e">
        <f ca="1">1-C80</f>
        <v>#DIV/0!</v>
      </c>
    </row>
    <row r="80" spans="1:18">
      <c r="B80" s="331" t="s">
        <v>784</v>
      </c>
      <c r="C80" s="266" t="e">
        <f ca="1">ROUND(C75/C39,3)</f>
        <v>#DIV/0!</v>
      </c>
    </row>
    <row r="81" spans="2:3">
      <c r="B81" s="262" t="s">
        <v>785</v>
      </c>
      <c r="C81" s="230"/>
    </row>
    <row r="82" spans="2:3">
      <c r="B82" s="265" t="s">
        <v>786</v>
      </c>
      <c r="C82" s="267" t="e">
        <f ca="1">1-C83</f>
        <v>#DIV/0!</v>
      </c>
    </row>
    <row r="83" spans="2:3">
      <c r="B83" s="265" t="s">
        <v>787</v>
      </c>
      <c r="C83" s="266"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2410</v>
      </c>
      <c r="B1" s="2582"/>
      <c r="C1" s="2594"/>
      <c r="D1" s="2594"/>
      <c r="E1" s="2583"/>
      <c r="F1" s="2584"/>
      <c r="G1" s="2585"/>
      <c r="J1" s="2588" t="s">
        <v>2289</v>
      </c>
      <c r="K1" s="2589"/>
      <c r="L1" s="2589"/>
      <c r="M1" s="2589"/>
      <c r="N1" s="2589"/>
      <c r="O1" s="2589"/>
      <c r="P1" s="2589"/>
      <c r="Q1" s="2589"/>
      <c r="R1" s="2590"/>
      <c r="S1" s="2591"/>
      <c r="T1" s="2591"/>
      <c r="U1" s="2591"/>
    </row>
    <row r="2" spans="1:22" s="2603" customFormat="1" ht="13.15" customHeight="1">
      <c r="A2" s="1293" t="s">
        <v>2290</v>
      </c>
      <c r="B2" s="2593" t="e">
        <f>IF(D2="——",C40,C40+E2)</f>
        <v>#DIV/0!</v>
      </c>
      <c r="C2" s="2594" t="s">
        <v>2291</v>
      </c>
      <c r="D2" s="3137" t="s">
        <v>3334</v>
      </c>
      <c r="E2" s="3138"/>
      <c r="F2" s="2596"/>
      <c r="G2" s="2597"/>
      <c r="H2" s="2598"/>
      <c r="I2" s="2599"/>
      <c r="J2" s="3407" t="s">
        <v>2292</v>
      </c>
      <c r="K2" s="3408"/>
      <c r="L2" s="2600" t="s">
        <v>2293</v>
      </c>
      <c r="M2" s="2600" t="s">
        <v>2294</v>
      </c>
      <c r="N2" s="2600" t="s">
        <v>2295</v>
      </c>
      <c r="O2" s="2600" t="s">
        <v>2296</v>
      </c>
      <c r="P2" s="2600" t="s">
        <v>2297</v>
      </c>
      <c r="Q2" s="2601" t="s">
        <v>2298</v>
      </c>
      <c r="R2" s="2602" t="s">
        <v>2299</v>
      </c>
      <c r="S2" s="2591"/>
      <c r="T2" s="2591"/>
      <c r="U2" s="2591"/>
      <c r="V2" s="2599"/>
    </row>
    <row r="3" spans="1:22" s="2603" customFormat="1" ht="13.15" customHeight="1">
      <c r="A3" s="2604" t="s">
        <v>2300</v>
      </c>
      <c r="B3" s="2605" t="e">
        <f>ROUND(B2*10000/B4,0)</f>
        <v>#DIV/0!</v>
      </c>
      <c r="C3" s="2594" t="s">
        <v>2301</v>
      </c>
      <c r="D3" s="2594"/>
      <c r="E3" s="2595"/>
      <c r="F3" s="2596"/>
      <c r="G3" s="2597"/>
      <c r="H3" s="2598"/>
      <c r="I3" s="2599"/>
      <c r="J3" s="3409" t="s">
        <v>2302</v>
      </c>
      <c r="K3" s="3410"/>
      <c r="L3" s="2606"/>
      <c r="M3" s="2606"/>
      <c r="N3" s="2606"/>
      <c r="O3" s="2606"/>
      <c r="P3" s="2606"/>
      <c r="Q3" s="2607"/>
      <c r="R3" s="2608">
        <f>SUM(L3:Q3)</f>
        <v>0</v>
      </c>
      <c r="S3" s="2591"/>
      <c r="T3" s="2591"/>
      <c r="U3" s="2591"/>
      <c r="V3" s="2599"/>
    </row>
    <row r="4" spans="1:22" s="2603" customFormat="1" ht="13.15" customHeight="1">
      <c r="A4" s="2609" t="s">
        <v>2303</v>
      </c>
      <c r="B4" s="2610"/>
      <c r="C4" s="2594"/>
      <c r="D4" s="2594"/>
      <c r="E4" s="2595"/>
      <c r="F4" s="2596"/>
      <c r="G4" s="2597"/>
      <c r="H4" s="2598"/>
      <c r="I4" s="2599"/>
      <c r="J4" s="3409" t="s">
        <v>2304</v>
      </c>
      <c r="K4" s="3410"/>
      <c r="L4" s="2611"/>
      <c r="M4" s="2611"/>
      <c r="N4" s="2611"/>
      <c r="O4" s="2611"/>
      <c r="P4" s="2611"/>
      <c r="Q4" s="2612"/>
      <c r="R4" s="2613">
        <f>SUM(L4:Q4)</f>
        <v>0</v>
      </c>
      <c r="S4" s="2591"/>
      <c r="T4" s="2591"/>
      <c r="U4" s="2591"/>
      <c r="V4" s="2599"/>
    </row>
    <row r="5" spans="1:22" s="2603" customFormat="1" ht="13.15" customHeight="1" thickBot="1">
      <c r="A5" s="2614" t="s">
        <v>2305</v>
      </c>
      <c r="B5" s="2615"/>
      <c r="C5" s="2594"/>
      <c r="D5" s="2616"/>
      <c r="E5" s="2596"/>
      <c r="F5" s="2596"/>
      <c r="G5" s="2597"/>
      <c r="H5" s="2598"/>
      <c r="I5" s="2599"/>
      <c r="J5" s="2617" t="s">
        <v>2306</v>
      </c>
      <c r="K5" s="2618"/>
      <c r="L5" s="2618"/>
      <c r="M5" s="2619"/>
      <c r="N5" s="2619"/>
      <c r="O5" s="2619"/>
      <c r="P5" s="2619"/>
      <c r="Q5" s="2619"/>
      <c r="R5" s="2602">
        <f>SUM(R14,R19,R24,R25,R27,R28)</f>
        <v>0</v>
      </c>
      <c r="S5" s="2591"/>
      <c r="T5" s="2591" t="s">
        <v>2307</v>
      </c>
      <c r="U5" s="2591" t="e">
        <f>ROUND(R5*10000/365/R3,1)</f>
        <v>#DIV/0!</v>
      </c>
      <c r="V5" s="2599"/>
    </row>
    <row r="6" spans="1:22" s="2603" customFormat="1" ht="13.15" customHeight="1" thickBot="1">
      <c r="A6" s="3415" t="s">
        <v>2308</v>
      </c>
      <c r="B6" s="3416"/>
      <c r="C6" s="3417"/>
      <c r="D6" s="2620"/>
      <c r="E6" s="2621"/>
      <c r="F6" s="2622"/>
      <c r="G6" s="2623"/>
      <c r="H6" s="2598"/>
      <c r="I6" s="2599"/>
      <c r="J6" s="3401">
        <v>1</v>
      </c>
      <c r="K6" s="3402" t="s">
        <v>2309</v>
      </c>
      <c r="L6" s="2624" t="s">
        <v>2310</v>
      </c>
      <c r="M6" s="2625" t="s">
        <v>2311</v>
      </c>
      <c r="N6" s="2625" t="s">
        <v>2312</v>
      </c>
      <c r="O6" s="2625" t="s">
        <v>2313</v>
      </c>
      <c r="P6" s="2625" t="s">
        <v>2314</v>
      </c>
      <c r="Q6" s="2625" t="s">
        <v>2315</v>
      </c>
      <c r="R6" s="2608" t="s">
        <v>2316</v>
      </c>
      <c r="S6" s="2591"/>
      <c r="T6" s="2591" t="s">
        <v>2317</v>
      </c>
      <c r="U6" s="2591"/>
      <c r="V6" s="2599"/>
    </row>
    <row r="7" spans="1:22" s="2603" customFormat="1" ht="13.15" customHeight="1">
      <c r="A7" s="2626" t="s">
        <v>2318</v>
      </c>
      <c r="B7" s="2627"/>
      <c r="C7" s="2628"/>
      <c r="D7" s="2629">
        <f>SUM(D9,D10,D11,D17,0)</f>
        <v>0</v>
      </c>
      <c r="E7" s="2630" t="e">
        <f>E9+E10+E11+E17</f>
        <v>#DIV/0!</v>
      </c>
      <c r="F7" s="2631"/>
      <c r="G7" s="2632"/>
      <c r="H7" s="2598"/>
      <c r="I7" s="2599"/>
      <c r="J7" s="3401"/>
      <c r="K7" s="3403"/>
      <c r="L7" s="2633" t="s">
        <v>2319</v>
      </c>
      <c r="M7" s="2634"/>
      <c r="N7" s="2610"/>
      <c r="O7" s="2635"/>
      <c r="P7" s="2635"/>
      <c r="Q7" s="2636">
        <v>365</v>
      </c>
      <c r="R7" s="2637">
        <f>ROUND(M7*N7*O7*P7*Q7/10000,0)</f>
        <v>0</v>
      </c>
      <c r="S7" s="2591"/>
      <c r="T7" s="2591" t="s">
        <v>2320</v>
      </c>
      <c r="U7" s="2591"/>
      <c r="V7" s="2599"/>
    </row>
    <row r="8" spans="1:22" s="2603" customFormat="1" ht="13.15" customHeight="1">
      <c r="A8" s="2638" t="s">
        <v>2321</v>
      </c>
      <c r="B8" s="3418" t="s">
        <v>2322</v>
      </c>
      <c r="C8" s="3419"/>
      <c r="D8" s="2639" t="s">
        <v>2323</v>
      </c>
      <c r="E8" s="2640" t="s">
        <v>2324</v>
      </c>
      <c r="F8" s="2641" t="s">
        <v>2325</v>
      </c>
      <c r="G8" s="2642"/>
      <c r="H8" s="2598"/>
      <c r="I8" s="2599"/>
      <c r="J8" s="3401"/>
      <c r="K8" s="3403"/>
      <c r="L8" s="2633" t="s">
        <v>2326</v>
      </c>
      <c r="M8" s="2634"/>
      <c r="N8" s="2610"/>
      <c r="O8" s="2635"/>
      <c r="P8" s="2635"/>
      <c r="Q8" s="2636">
        <v>365</v>
      </c>
      <c r="R8" s="2637">
        <f t="shared" ref="R8:R13" si="0">ROUND(M8*N8*O8*P8*Q8/10000,0)</f>
        <v>0</v>
      </c>
      <c r="S8" s="2591"/>
      <c r="T8" s="2591" t="s">
        <v>2327</v>
      </c>
      <c r="U8" s="2591"/>
      <c r="V8" s="2599"/>
    </row>
    <row r="9" spans="1:22" s="2603" customFormat="1" ht="13.15" customHeight="1">
      <c r="A9" s="2638">
        <v>1</v>
      </c>
      <c r="B9" s="3418" t="s">
        <v>2328</v>
      </c>
      <c r="C9" s="3419"/>
      <c r="D9" s="2639">
        <f>ROUND(D6*E9,0)</f>
        <v>0</v>
      </c>
      <c r="E9" s="2643"/>
      <c r="F9" s="2644" t="s">
        <v>2329</v>
      </c>
      <c r="G9" s="2623"/>
      <c r="H9" s="2598"/>
      <c r="I9" s="2599"/>
      <c r="J9" s="3401"/>
      <c r="K9" s="3403"/>
      <c r="L9" s="2633" t="s">
        <v>2330</v>
      </c>
      <c r="M9" s="2634"/>
      <c r="N9" s="2610"/>
      <c r="O9" s="2635"/>
      <c r="P9" s="2635"/>
      <c r="Q9" s="2636">
        <v>365</v>
      </c>
      <c r="R9" s="2637">
        <f t="shared" si="0"/>
        <v>0</v>
      </c>
      <c r="S9" s="2591"/>
      <c r="T9" s="2591"/>
      <c r="U9" s="2591"/>
      <c r="V9" s="2599"/>
    </row>
    <row r="10" spans="1:22" s="2603" customFormat="1" ht="13.15" customHeight="1">
      <c r="A10" s="2638">
        <v>2</v>
      </c>
      <c r="B10" s="3418" t="s">
        <v>2331</v>
      </c>
      <c r="C10" s="3419"/>
      <c r="D10" s="2639">
        <f>ROUND(D6*E10,0)</f>
        <v>0</v>
      </c>
      <c r="E10" s="2643"/>
      <c r="F10" s="2644" t="s">
        <v>2332</v>
      </c>
      <c r="G10" s="2623"/>
      <c r="H10" s="2598"/>
      <c r="I10" s="2599"/>
      <c r="J10" s="3401"/>
      <c r="K10" s="3403"/>
      <c r="L10" s="2633" t="s">
        <v>2333</v>
      </c>
      <c r="M10" s="2634"/>
      <c r="N10" s="2610"/>
      <c r="O10" s="2635"/>
      <c r="P10" s="2635"/>
      <c r="Q10" s="2636">
        <v>365</v>
      </c>
      <c r="R10" s="2637">
        <f t="shared" si="0"/>
        <v>0</v>
      </c>
      <c r="S10" s="2591"/>
      <c r="T10" s="2591"/>
      <c r="U10" s="2591"/>
      <c r="V10" s="2599"/>
    </row>
    <row r="11" spans="1:22" s="2603" customFormat="1" ht="13.15" customHeight="1">
      <c r="A11" s="2638">
        <v>3</v>
      </c>
      <c r="B11" s="3418" t="s">
        <v>2334</v>
      </c>
      <c r="C11" s="3419"/>
      <c r="D11" s="2639">
        <f>D12+D14+D15+D16</f>
        <v>0</v>
      </c>
      <c r="E11" s="2645" t="e">
        <f>D11/D6</f>
        <v>#DIV/0!</v>
      </c>
      <c r="F11" s="2641"/>
      <c r="G11" s="2642"/>
      <c r="H11" s="2598"/>
      <c r="I11" s="2599"/>
      <c r="J11" s="3401"/>
      <c r="K11" s="3403"/>
      <c r="L11" s="2633" t="s">
        <v>2335</v>
      </c>
      <c r="M11" s="2634"/>
      <c r="N11" s="2610"/>
      <c r="O11" s="2635"/>
      <c r="P11" s="2635"/>
      <c r="Q11" s="2636">
        <v>365</v>
      </c>
      <c r="R11" s="2637">
        <f t="shared" si="0"/>
        <v>0</v>
      </c>
      <c r="S11" s="2591"/>
      <c r="T11" s="2591"/>
      <c r="U11" s="2591"/>
      <c r="V11" s="2599"/>
    </row>
    <row r="12" spans="1:22" s="2603" customFormat="1" ht="13.15" customHeight="1">
      <c r="A12" s="2646" t="s">
        <v>2336</v>
      </c>
      <c r="B12" s="3411" t="s">
        <v>2337</v>
      </c>
      <c r="C12" s="3412"/>
      <c r="D12" s="2647">
        <f>ROUND(D13*1.2%*(1-30%),0)</f>
        <v>0</v>
      </c>
      <c r="E12" s="2648">
        <v>1.2E-2</v>
      </c>
      <c r="F12" s="2641" t="s">
        <v>2338</v>
      </c>
      <c r="G12" s="2642"/>
      <c r="H12" s="2598"/>
      <c r="I12" s="2599"/>
      <c r="J12" s="3401"/>
      <c r="K12" s="3403"/>
      <c r="L12" s="2633" t="s">
        <v>2339</v>
      </c>
      <c r="M12" s="2634"/>
      <c r="N12" s="2610"/>
      <c r="O12" s="2635"/>
      <c r="P12" s="2635"/>
      <c r="Q12" s="2636">
        <v>365</v>
      </c>
      <c r="R12" s="2637">
        <f t="shared" si="0"/>
        <v>0</v>
      </c>
      <c r="S12" s="2591"/>
      <c r="T12" s="2591"/>
      <c r="U12" s="2591"/>
      <c r="V12" s="2599"/>
    </row>
    <row r="13" spans="1:22" s="2603" customFormat="1" ht="13.15" customHeight="1">
      <c r="A13" s="2646"/>
      <c r="B13" s="2649"/>
      <c r="C13" s="2650" t="s">
        <v>2340</v>
      </c>
      <c r="D13" s="2651"/>
      <c r="E13" s="2652"/>
      <c r="F13" s="2641"/>
      <c r="G13" s="2642"/>
      <c r="H13" s="2598"/>
      <c r="I13" s="2599"/>
      <c r="J13" s="3401"/>
      <c r="K13" s="3403"/>
      <c r="L13" s="2633" t="s">
        <v>2341</v>
      </c>
      <c r="M13" s="2634"/>
      <c r="N13" s="2610"/>
      <c r="O13" s="2635"/>
      <c r="P13" s="2635"/>
      <c r="Q13" s="2636">
        <v>365</v>
      </c>
      <c r="R13" s="2637">
        <f t="shared" si="0"/>
        <v>0</v>
      </c>
      <c r="S13" s="2591"/>
      <c r="T13" s="2591"/>
      <c r="U13" s="2591"/>
      <c r="V13" s="2599"/>
    </row>
    <row r="14" spans="1:22" s="2603" customFormat="1" ht="13.15" customHeight="1">
      <c r="A14" s="2646" t="s">
        <v>2342</v>
      </c>
      <c r="B14" s="3411" t="s">
        <v>2343</v>
      </c>
      <c r="C14" s="3412"/>
      <c r="D14" s="2647">
        <f>ROUND(E14*B5/10000,0)</f>
        <v>0</v>
      </c>
      <c r="E14" s="2636"/>
      <c r="F14" s="2641" t="s">
        <v>2344</v>
      </c>
      <c r="G14" s="2642"/>
      <c r="H14" s="2598"/>
      <c r="I14" s="2599"/>
      <c r="J14" s="3401"/>
      <c r="K14" s="3404"/>
      <c r="L14" s="2653" t="s">
        <v>2345</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2346</v>
      </c>
      <c r="B15" s="3411" t="s">
        <v>2347</v>
      </c>
      <c r="C15" s="3412"/>
      <c r="D15" s="2647">
        <f>ROUND(D6*E15,0)</f>
        <v>0</v>
      </c>
      <c r="E15" s="2648">
        <v>5.5E-2</v>
      </c>
      <c r="F15" s="2641" t="s">
        <v>2348</v>
      </c>
      <c r="G15" s="2623"/>
      <c r="H15" s="2598"/>
      <c r="I15" s="2599"/>
      <c r="J15" s="3401">
        <v>2</v>
      </c>
      <c r="K15" s="3402" t="s">
        <v>2349</v>
      </c>
      <c r="L15" s="2633" t="s">
        <v>2350</v>
      </c>
      <c r="M15" s="2634" t="s">
        <v>2351</v>
      </c>
      <c r="N15" s="2634" t="s">
        <v>2352</v>
      </c>
      <c r="O15" s="2635" t="s">
        <v>2353</v>
      </c>
      <c r="P15" s="2635" t="s">
        <v>2315</v>
      </c>
      <c r="Q15" s="2610" t="s">
        <v>2354</v>
      </c>
      <c r="R15" s="2657" t="s">
        <v>2316</v>
      </c>
      <c r="S15" s="2591"/>
      <c r="T15" s="2591"/>
      <c r="U15" s="2591"/>
      <c r="V15" s="2599"/>
    </row>
    <row r="16" spans="1:22" s="2603" customFormat="1" ht="13.15" customHeight="1">
      <c r="A16" s="2646" t="s">
        <v>2355</v>
      </c>
      <c r="B16" s="3411" t="s">
        <v>2356</v>
      </c>
      <c r="C16" s="3412"/>
      <c r="D16" s="2658">
        <f>D6*E16</f>
        <v>0</v>
      </c>
      <c r="E16" s="2659"/>
      <c r="F16" s="2644" t="s">
        <v>2357</v>
      </c>
      <c r="G16" s="2623"/>
      <c r="H16" s="2598"/>
      <c r="I16" s="2599"/>
      <c r="J16" s="3401"/>
      <c r="K16" s="3403"/>
      <c r="L16" s="2633" t="s">
        <v>2358</v>
      </c>
      <c r="M16" s="2634"/>
      <c r="N16" s="2634"/>
      <c r="O16" s="2635"/>
      <c r="P16" s="2636">
        <v>365</v>
      </c>
      <c r="Q16" s="2610"/>
      <c r="R16" s="2657">
        <f>ROUND(M16*N16*O16*P16/10000,0)</f>
        <v>0</v>
      </c>
      <c r="S16" s="2591"/>
      <c r="T16" s="2591"/>
      <c r="U16" s="2591"/>
      <c r="V16" s="2599"/>
    </row>
    <row r="17" spans="1:22" s="2603" customFormat="1" ht="13.15" customHeight="1" thickBot="1">
      <c r="A17" s="2660">
        <v>4</v>
      </c>
      <c r="B17" s="3413" t="s">
        <v>2359</v>
      </c>
      <c r="C17" s="3414"/>
      <c r="D17" s="2661">
        <f>ROUND(D6*E17,0)</f>
        <v>0</v>
      </c>
      <c r="E17" s="2662"/>
      <c r="F17" s="2663" t="s">
        <v>2360</v>
      </c>
      <c r="G17" s="2623"/>
      <c r="H17" s="2598"/>
      <c r="I17" s="2599"/>
      <c r="J17" s="3401"/>
      <c r="K17" s="3403"/>
      <c r="L17" s="2633" t="s">
        <v>2361</v>
      </c>
      <c r="M17" s="2634"/>
      <c r="N17" s="2634"/>
      <c r="O17" s="2635"/>
      <c r="P17" s="2636">
        <v>365</v>
      </c>
      <c r="Q17" s="2610"/>
      <c r="R17" s="2657">
        <f>ROUND(M17*N17*O17*P17/10000,0)</f>
        <v>0</v>
      </c>
      <c r="S17" s="2591"/>
      <c r="T17" s="2591"/>
      <c r="U17" s="2591"/>
      <c r="V17" s="2599"/>
    </row>
    <row r="18" spans="1:22" s="2603" customFormat="1" ht="13.15" customHeight="1" thickBot="1">
      <c r="A18" s="2626" t="s">
        <v>2362</v>
      </c>
      <c r="B18" s="2627"/>
      <c r="C18" s="2627"/>
      <c r="D18" s="2664">
        <f>ROUND(D6*E18,0)</f>
        <v>0</v>
      </c>
      <c r="E18" s="2665"/>
      <c r="F18" s="2666" t="s">
        <v>2363</v>
      </c>
      <c r="G18" s="2623"/>
      <c r="H18" s="2598"/>
      <c r="I18" s="2599"/>
      <c r="J18" s="3401"/>
      <c r="K18" s="3403"/>
      <c r="L18" s="2633" t="s">
        <v>2364</v>
      </c>
      <c r="M18" s="2634"/>
      <c r="N18" s="2634"/>
      <c r="O18" s="2635"/>
      <c r="P18" s="2636">
        <v>365</v>
      </c>
      <c r="Q18" s="2610"/>
      <c r="R18" s="2657">
        <f>ROUND(M18*N18*O18*P18/10000,0)</f>
        <v>0</v>
      </c>
      <c r="S18" s="2591"/>
      <c r="T18" s="2591"/>
      <c r="U18" s="2591"/>
      <c r="V18" s="2599"/>
    </row>
    <row r="19" spans="1:22" s="2603" customFormat="1" ht="13.15" customHeight="1" thickBot="1">
      <c r="A19" s="2667" t="s">
        <v>2365</v>
      </c>
      <c r="B19" s="2621"/>
      <c r="C19" s="2621"/>
      <c r="D19" s="2621"/>
      <c r="E19" s="2621"/>
      <c r="F19" s="2622"/>
      <c r="G19" s="2642"/>
      <c r="H19" s="2598"/>
      <c r="I19" s="2599"/>
      <c r="J19" s="3401"/>
      <c r="K19" s="3404"/>
      <c r="L19" s="2653" t="s">
        <v>2345</v>
      </c>
      <c r="M19" s="2654"/>
      <c r="N19" s="2654">
        <f>SUM(N16:N18)</f>
        <v>0</v>
      </c>
      <c r="O19" s="2655"/>
      <c r="P19" s="2668" t="s">
        <v>2409</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401">
        <v>3</v>
      </c>
      <c r="K20" s="3402" t="s">
        <v>2366</v>
      </c>
      <c r="L20" s="2633" t="s">
        <v>2367</v>
      </c>
      <c r="M20" s="2634" t="s">
        <v>2368</v>
      </c>
      <c r="N20" s="2671" t="s">
        <v>2369</v>
      </c>
      <c r="O20" s="2635" t="s">
        <v>2370</v>
      </c>
      <c r="P20" s="2636" t="s">
        <v>2371</v>
      </c>
      <c r="Q20" s="2610" t="s">
        <v>2372</v>
      </c>
      <c r="R20" s="2657" t="s">
        <v>2373</v>
      </c>
      <c r="S20" s="2591"/>
      <c r="T20" s="2591"/>
      <c r="U20" s="2591"/>
      <c r="V20" s="2599"/>
    </row>
    <row r="21" spans="1:22" s="2603" customFormat="1" ht="13.15" customHeight="1">
      <c r="A21" s="2626"/>
      <c r="B21" s="2627"/>
      <c r="C21" s="2672" t="s">
        <v>2374</v>
      </c>
      <c r="D21" s="2673" t="s">
        <v>2375</v>
      </c>
      <c r="E21" s="2674" t="s">
        <v>2376</v>
      </c>
      <c r="F21" s="2670"/>
      <c r="G21" s="2642"/>
      <c r="H21" s="2598"/>
      <c r="I21" s="2599"/>
      <c r="J21" s="3401"/>
      <c r="K21" s="3403"/>
      <c r="L21" s="2633" t="s">
        <v>2377</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2378</v>
      </c>
      <c r="D22" s="2677" t="s">
        <v>2379</v>
      </c>
      <c r="E22" s="2678" t="s">
        <v>2380</v>
      </c>
      <c r="F22" s="2670"/>
      <c r="G22" s="2591"/>
      <c r="H22" s="2598"/>
      <c r="I22" s="2599"/>
      <c r="J22" s="3401"/>
      <c r="K22" s="3403"/>
      <c r="L22" s="2633" t="s">
        <v>2381</v>
      </c>
      <c r="M22" s="2634"/>
      <c r="N22" s="2634"/>
      <c r="O22" s="2635"/>
      <c r="P22" s="2636">
        <v>365</v>
      </c>
      <c r="Q22" s="2610"/>
      <c r="R22" s="2675">
        <f>ROUND(M22*N22*O22*P22/10000,0)</f>
        <v>0</v>
      </c>
      <c r="S22" s="2591"/>
      <c r="T22" s="2591"/>
      <c r="U22" s="2591"/>
      <c r="V22" s="2599"/>
    </row>
    <row r="23" spans="1:22" s="2603" customFormat="1" ht="13.15" customHeight="1">
      <c r="A23" s="2679">
        <v>1</v>
      </c>
      <c r="B23" s="2680" t="s">
        <v>2382</v>
      </c>
      <c r="C23" s="2681">
        <f>D6</f>
        <v>0</v>
      </c>
      <c r="D23" s="2682">
        <f>C23*(1+D24)</f>
        <v>0</v>
      </c>
      <c r="E23" s="2683">
        <f>D23*(1+E24)</f>
        <v>0</v>
      </c>
      <c r="F23" s="2684"/>
      <c r="G23" s="2685"/>
      <c r="H23" s="2598"/>
      <c r="I23" s="2599"/>
      <c r="J23" s="3401"/>
      <c r="K23" s="3403"/>
      <c r="L23" s="2633" t="s">
        <v>2383</v>
      </c>
      <c r="M23" s="2634"/>
      <c r="N23" s="2634"/>
      <c r="O23" s="2635"/>
      <c r="P23" s="2636">
        <v>365</v>
      </c>
      <c r="Q23" s="2610"/>
      <c r="R23" s="2675">
        <f>ROUND(M23*N23*O23*P23/10000,0)</f>
        <v>0</v>
      </c>
      <c r="S23" s="2591"/>
      <c r="T23" s="2591"/>
      <c r="U23" s="2591"/>
      <c r="V23" s="2599"/>
    </row>
    <row r="24" spans="1:22" s="2603" customFormat="1" ht="13.15" customHeight="1">
      <c r="A24" s="2686"/>
      <c r="B24" s="2687" t="s">
        <v>2384</v>
      </c>
      <c r="C24" s="2688"/>
      <c r="D24" s="2689"/>
      <c r="E24" s="2690"/>
      <c r="F24" s="2691"/>
      <c r="G24" s="2685"/>
      <c r="H24" s="2598"/>
      <c r="I24" s="2599"/>
      <c r="J24" s="3401"/>
      <c r="K24" s="3404"/>
      <c r="L24" s="2653" t="s">
        <v>2345</v>
      </c>
      <c r="M24" s="2654">
        <f>SUM(M21:M23)</f>
        <v>0</v>
      </c>
      <c r="N24" s="2654"/>
      <c r="O24" s="2655"/>
      <c r="P24" s="2668" t="s">
        <v>2409</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2385</v>
      </c>
      <c r="L25" s="2694"/>
      <c r="M25" s="2694"/>
      <c r="N25" s="2694"/>
      <c r="O25" s="2694"/>
      <c r="P25" s="2695"/>
      <c r="Q25" s="2696">
        <v>0</v>
      </c>
      <c r="R25" s="2669">
        <f>ROUND(R14*Q25,0)</f>
        <v>0</v>
      </c>
      <c r="S25" s="2591"/>
      <c r="T25" s="2591"/>
      <c r="U25" s="2591"/>
      <c r="V25" s="2697"/>
    </row>
    <row r="26" spans="1:22" s="2698" customFormat="1" ht="13.15" customHeight="1">
      <c r="A26" s="2679">
        <v>2</v>
      </c>
      <c r="B26" s="2680" t="s">
        <v>2386</v>
      </c>
      <c r="C26" s="2681">
        <f>D7</f>
        <v>0</v>
      </c>
      <c r="D26" s="2682">
        <f>D23*D27</f>
        <v>0</v>
      </c>
      <c r="E26" s="2683">
        <f>E23*E27</f>
        <v>0</v>
      </c>
      <c r="F26" s="2684"/>
      <c r="G26" s="2685"/>
      <c r="H26" s="2598"/>
      <c r="I26" s="2599"/>
      <c r="J26" s="3405">
        <v>5</v>
      </c>
      <c r="K26" s="2699" t="s">
        <v>2387</v>
      </c>
      <c r="L26" s="2700"/>
      <c r="M26" s="2701"/>
      <c r="N26" s="2702" t="s">
        <v>2388</v>
      </c>
      <c r="O26" s="2702" t="s">
        <v>2389</v>
      </c>
      <c r="P26" s="2703" t="s">
        <v>2390</v>
      </c>
      <c r="Q26" s="2703" t="s">
        <v>2391</v>
      </c>
      <c r="R26" s="2608" t="s">
        <v>2316</v>
      </c>
      <c r="S26" s="2642"/>
      <c r="T26" s="2642"/>
      <c r="U26" s="2642"/>
      <c r="V26" s="2697"/>
    </row>
    <row r="27" spans="1:22" s="2603" customFormat="1" ht="13.15" customHeight="1">
      <c r="A27" s="2686"/>
      <c r="B27" s="2687" t="s">
        <v>2392</v>
      </c>
      <c r="C27" s="2704" t="e">
        <f>E7</f>
        <v>#DIV/0!</v>
      </c>
      <c r="D27" s="2689"/>
      <c r="E27" s="2690"/>
      <c r="F27" s="2691"/>
      <c r="G27" s="2685"/>
      <c r="H27" s="2705"/>
      <c r="I27" s="2697"/>
      <c r="J27" s="3406"/>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2393</v>
      </c>
      <c r="F28" s="2691"/>
      <c r="G28" s="2591"/>
      <c r="H28" s="2705"/>
      <c r="I28" s="2697"/>
      <c r="J28" s="2711">
        <v>6</v>
      </c>
      <c r="K28" s="2712" t="s">
        <v>2394</v>
      </c>
      <c r="L28" s="2713" t="s">
        <v>2395</v>
      </c>
      <c r="M28" s="2714"/>
      <c r="N28" s="2713" t="s">
        <v>2396</v>
      </c>
      <c r="O28" s="2715"/>
      <c r="P28" s="2713" t="s">
        <v>2397</v>
      </c>
      <c r="Q28" s="2716">
        <v>1.4999999999999999E-2</v>
      </c>
      <c r="R28" s="2717"/>
      <c r="S28" s="2591"/>
      <c r="T28" s="2591"/>
      <c r="U28" s="2591"/>
      <c r="V28" s="2697"/>
    </row>
    <row r="29" spans="1:22" s="2698" customFormat="1" ht="13.15" customHeight="1">
      <c r="A29" s="2679">
        <v>3</v>
      </c>
      <c r="B29" s="2680" t="s">
        <v>2398</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2392</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2399</v>
      </c>
      <c r="K31" s="2589"/>
      <c r="L31" s="2589"/>
      <c r="M31" s="2589"/>
      <c r="N31" s="2589"/>
      <c r="O31" s="2589"/>
      <c r="P31" s="2589"/>
      <c r="Q31" s="2589"/>
      <c r="R31" s="2590"/>
      <c r="S31" s="2591"/>
      <c r="T31" s="2591"/>
      <c r="U31" s="2591"/>
      <c r="V31" s="2697"/>
    </row>
    <row r="32" spans="1:22" s="2698" customFormat="1" ht="13.15" customHeight="1">
      <c r="A32" s="2679">
        <v>4</v>
      </c>
      <c r="B32" s="2680" t="s">
        <v>2400</v>
      </c>
      <c r="C32" s="2681">
        <f>C23-C26-C29</f>
        <v>0</v>
      </c>
      <c r="D32" s="2682">
        <f>D23-D26-D29</f>
        <v>0</v>
      </c>
      <c r="E32" s="2683">
        <f>E23-E26-E29</f>
        <v>0</v>
      </c>
      <c r="F32" s="2684"/>
      <c r="G32" s="2591"/>
      <c r="H32" s="2598"/>
      <c r="I32" s="2599"/>
      <c r="J32" s="3407" t="s">
        <v>2292</v>
      </c>
      <c r="K32" s="3408"/>
      <c r="L32" s="2600" t="s">
        <v>2293</v>
      </c>
      <c r="M32" s="2600" t="s">
        <v>2294</v>
      </c>
      <c r="N32" s="2600" t="s">
        <v>2295</v>
      </c>
      <c r="O32" s="2600" t="s">
        <v>2296</v>
      </c>
      <c r="P32" s="2600" t="s">
        <v>2297</v>
      </c>
      <c r="Q32" s="2601" t="s">
        <v>2298</v>
      </c>
      <c r="R32" s="2720" t="s">
        <v>2299</v>
      </c>
      <c r="S32" s="2591"/>
      <c r="T32" s="2591"/>
      <c r="U32" s="2591"/>
      <c r="V32" s="2697"/>
    </row>
    <row r="33" spans="1:23" s="2603" customFormat="1" ht="13.15" customHeight="1">
      <c r="A33" s="2679"/>
      <c r="B33" s="2680"/>
      <c r="C33" s="2681"/>
      <c r="D33" s="2721"/>
      <c r="E33" s="2722"/>
      <c r="F33" s="2684"/>
      <c r="G33" s="2591"/>
      <c r="H33" s="2705"/>
      <c r="I33" s="2697"/>
      <c r="J33" s="3409" t="s">
        <v>2302</v>
      </c>
      <c r="K33" s="3410"/>
      <c r="L33" s="2606"/>
      <c r="M33" s="2606"/>
      <c r="N33" s="2606"/>
      <c r="O33" s="2606"/>
      <c r="P33" s="2606"/>
      <c r="Q33" s="2607"/>
      <c r="R33" s="2723">
        <f>SUM(L33:Q33)</f>
        <v>0</v>
      </c>
      <c r="S33" s="2591"/>
      <c r="T33" s="2591"/>
      <c r="U33" s="2591"/>
      <c r="V33" s="2599"/>
    </row>
    <row r="34" spans="1:23" s="2603" customFormat="1" ht="13.15" customHeight="1">
      <c r="A34" s="2679">
        <v>5</v>
      </c>
      <c r="B34" s="2680" t="s">
        <v>2401</v>
      </c>
      <c r="C34" s="2724"/>
      <c r="D34" s="2725"/>
      <c r="E34" s="2726"/>
      <c r="F34" s="2684"/>
      <c r="G34" s="2591"/>
      <c r="H34" s="2705"/>
      <c r="I34" s="2697"/>
      <c r="J34" s="3409" t="s">
        <v>2304</v>
      </c>
      <c r="K34" s="3410"/>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2402</v>
      </c>
      <c r="C35" s="2728"/>
      <c r="D35" s="2729"/>
      <c r="E35" s="2730"/>
      <c r="F35" s="2684"/>
      <c r="G35" s="2731"/>
      <c r="H35" s="2598"/>
      <c r="I35" s="2697"/>
      <c r="J35" s="2617" t="s">
        <v>2306</v>
      </c>
      <c r="K35" s="2618"/>
      <c r="L35" s="2618"/>
      <c r="M35" s="2619"/>
      <c r="N35" s="2619"/>
      <c r="O35" s="2619"/>
      <c r="P35" s="2619"/>
      <c r="Q35" s="2619"/>
      <c r="R35" s="2732">
        <f>R40+R41+R43</f>
        <v>0</v>
      </c>
      <c r="S35" s="2591"/>
      <c r="T35" s="2591" t="s">
        <v>2307</v>
      </c>
      <c r="U35" s="2591"/>
      <c r="V35" s="2599"/>
    </row>
    <row r="36" spans="1:23" s="2603" customFormat="1" ht="13.15" customHeight="1" thickBot="1">
      <c r="A36" s="2679">
        <v>7</v>
      </c>
      <c r="B36" s="2733" t="s">
        <v>2403</v>
      </c>
      <c r="C36" s="2734"/>
      <c r="D36" s="2735"/>
      <c r="E36" s="2736"/>
      <c r="F36" s="2737">
        <f>C36+D36+E36</f>
        <v>0</v>
      </c>
      <c r="G36" s="2591"/>
      <c r="H36" s="2598"/>
      <c r="I36" s="2599"/>
      <c r="J36" s="3401">
        <v>1</v>
      </c>
      <c r="K36" s="3402" t="s">
        <v>2404</v>
      </c>
      <c r="L36" s="2624"/>
      <c r="M36" s="2625"/>
      <c r="N36" s="2625"/>
      <c r="O36" s="2625"/>
      <c r="P36" s="2625"/>
      <c r="Q36" s="2625"/>
      <c r="R36" s="2608" t="s">
        <v>2316</v>
      </c>
      <c r="S36" s="2591"/>
      <c r="T36" s="2591" t="s">
        <v>2317</v>
      </c>
      <c r="U36" s="2591"/>
      <c r="V36" s="2599"/>
    </row>
    <row r="37" spans="1:23" s="2603" customFormat="1" ht="13.15" customHeight="1">
      <c r="A37" s="2679"/>
      <c r="B37" s="2680"/>
      <c r="C37" s="2680"/>
      <c r="D37" s="2680"/>
      <c r="E37" s="2680"/>
      <c r="F37" s="2684"/>
      <c r="G37" s="2591"/>
      <c r="H37" s="2598"/>
      <c r="I37" s="2599"/>
      <c r="J37" s="3401"/>
      <c r="K37" s="3403"/>
      <c r="L37" s="2633"/>
      <c r="M37" s="2634"/>
      <c r="N37" s="2610"/>
      <c r="O37" s="2635"/>
      <c r="P37" s="2635"/>
      <c r="Q37" s="2636"/>
      <c r="R37" s="2637"/>
      <c r="S37" s="2591"/>
      <c r="T37" s="2591" t="s">
        <v>2320</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401"/>
      <c r="K38" s="3403"/>
      <c r="L38" s="2633"/>
      <c r="M38" s="2634"/>
      <c r="N38" s="2610"/>
      <c r="O38" s="2635"/>
      <c r="P38" s="2635"/>
      <c r="Q38" s="2636"/>
      <c r="R38" s="2637"/>
      <c r="S38" s="2591"/>
      <c r="T38" s="2591" t="s">
        <v>2327</v>
      </c>
      <c r="U38" s="2591"/>
      <c r="V38" s="2599"/>
    </row>
    <row r="39" spans="1:23" s="2603" customFormat="1" ht="13.15" customHeight="1">
      <c r="A39" s="2679">
        <v>9</v>
      </c>
      <c r="B39" s="2680" t="s">
        <v>2405</v>
      </c>
      <c r="C39" s="2647" t="e">
        <f>C38</f>
        <v>#DIV/0!</v>
      </c>
      <c r="D39" s="2680">
        <f>D38/(1+D34)^C36</f>
        <v>0</v>
      </c>
      <c r="E39" s="2680">
        <f>E38/(1+E34)^(C36+D36)</f>
        <v>0</v>
      </c>
      <c r="F39" s="2684"/>
      <c r="G39" s="2599"/>
      <c r="H39" s="2598"/>
      <c r="I39" s="2599"/>
      <c r="J39" s="3401"/>
      <c r="K39" s="3403"/>
      <c r="L39" s="2633"/>
      <c r="M39" s="2634"/>
      <c r="N39" s="2610"/>
      <c r="O39" s="2635"/>
      <c r="P39" s="2635"/>
      <c r="Q39" s="2636"/>
      <c r="R39" s="2637"/>
      <c r="S39" s="2591"/>
      <c r="T39" s="2591"/>
      <c r="U39" s="2591"/>
      <c r="V39" s="2599"/>
    </row>
    <row r="40" spans="1:23" s="2603" customFormat="1" ht="13.15" customHeight="1">
      <c r="A40" s="2738">
        <v>10</v>
      </c>
      <c r="B40" s="2680" t="s">
        <v>2406</v>
      </c>
      <c r="C40" s="2739" t="e">
        <f>C39+D39+E39</f>
        <v>#DIV/0!</v>
      </c>
      <c r="D40" s="2740"/>
      <c r="E40" s="2740"/>
      <c r="F40" s="2741"/>
      <c r="G40" s="2591"/>
      <c r="H40" s="2598"/>
      <c r="I40" s="2599"/>
      <c r="J40" s="3401"/>
      <c r="K40" s="3404"/>
      <c r="L40" s="2653" t="s">
        <v>2345</v>
      </c>
      <c r="M40" s="2654"/>
      <c r="N40" s="2654"/>
      <c r="O40" s="2655"/>
      <c r="P40" s="2655"/>
      <c r="Q40" s="2656"/>
      <c r="R40" s="2602">
        <f>SUM(R37:R39)</f>
        <v>0</v>
      </c>
      <c r="S40" s="2591"/>
      <c r="T40" s="2591"/>
      <c r="U40" s="2591"/>
      <c r="V40" s="2599"/>
    </row>
    <row r="41" spans="1:23" s="2603" customFormat="1" ht="13.15" customHeight="1" thickBot="1">
      <c r="A41" s="2742">
        <v>11</v>
      </c>
      <c r="B41" s="2743" t="s">
        <v>2407</v>
      </c>
      <c r="C41" s="2743" t="e">
        <f>ROUND(C40*10000/B4,0)</f>
        <v>#DIV/0!</v>
      </c>
      <c r="D41" s="2744"/>
      <c r="E41" s="2744"/>
      <c r="F41" s="2745"/>
      <c r="G41" s="2598"/>
      <c r="H41" s="2598"/>
      <c r="I41" s="2599"/>
      <c r="J41" s="2692">
        <v>2</v>
      </c>
      <c r="K41" s="2693" t="s">
        <v>2385</v>
      </c>
      <c r="L41" s="2694"/>
      <c r="M41" s="2694"/>
      <c r="N41" s="2694"/>
      <c r="O41" s="2694"/>
      <c r="P41" s="2695"/>
      <c r="Q41" s="2696"/>
      <c r="R41" s="2669">
        <f>ROUND(R40*Q41,0)</f>
        <v>0</v>
      </c>
      <c r="S41" s="2591"/>
      <c r="T41" s="2591"/>
      <c r="U41" s="2642"/>
      <c r="V41" s="2599"/>
    </row>
    <row r="42" spans="1:23" s="2603" customFormat="1" ht="13.15" customHeight="1">
      <c r="G42" s="2598"/>
      <c r="H42" s="2598"/>
      <c r="I42" s="2599"/>
      <c r="J42" s="3405">
        <v>3</v>
      </c>
      <c r="K42" s="2699" t="s">
        <v>2387</v>
      </c>
      <c r="L42" s="2700"/>
      <c r="M42" s="2701"/>
      <c r="N42" s="2702" t="s">
        <v>2388</v>
      </c>
      <c r="O42" s="2702" t="s">
        <v>2389</v>
      </c>
      <c r="P42" s="2703" t="s">
        <v>2390</v>
      </c>
      <c r="Q42" s="2703" t="s">
        <v>2391</v>
      </c>
      <c r="R42" s="2608" t="s">
        <v>2316</v>
      </c>
      <c r="S42" s="2642"/>
      <c r="T42" s="2642"/>
      <c r="U42" s="2591"/>
      <c r="V42" s="2599"/>
    </row>
    <row r="43" spans="1:23" ht="13.15" customHeight="1">
      <c r="A43" s="2603"/>
      <c r="B43" s="2603"/>
      <c r="C43" s="2603"/>
      <c r="D43" s="2603"/>
      <c r="E43" s="2603"/>
      <c r="F43" s="2603"/>
      <c r="I43" s="2586"/>
      <c r="J43" s="3406"/>
      <c r="K43" s="2706"/>
      <c r="L43" s="2707"/>
      <c r="M43" s="2708"/>
      <c r="N43" s="2634"/>
      <c r="O43" s="2634"/>
      <c r="P43" s="2634"/>
      <c r="Q43" s="2696"/>
      <c r="R43" s="2669">
        <f>ROUND(O43*N43*P43*(1-Q43)/10000,0)</f>
        <v>0</v>
      </c>
      <c r="S43" s="2591"/>
      <c r="T43" s="2591"/>
      <c r="V43" s="2746"/>
      <c r="W43" s="2747"/>
    </row>
    <row r="44" spans="1:23" ht="13.15" customHeight="1" thickBot="1">
      <c r="J44" s="2711">
        <v>6</v>
      </c>
      <c r="K44" s="2712" t="s">
        <v>2394</v>
      </c>
      <c r="L44" s="2748" t="s">
        <v>2395</v>
      </c>
      <c r="M44" s="2714"/>
      <c r="N44" s="2748" t="s">
        <v>2396</v>
      </c>
      <c r="O44" s="2714"/>
      <c r="P44" s="2748" t="s">
        <v>2397</v>
      </c>
      <c r="Q44" s="2716">
        <v>1.4999999999999999E-2</v>
      </c>
      <c r="R44" s="271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1642</v>
      </c>
      <c r="B1" s="1726"/>
      <c r="C1" s="1726"/>
      <c r="D1" s="1726"/>
      <c r="E1" s="1727"/>
      <c r="F1" s="2478"/>
      <c r="G1" s="459"/>
      <c r="H1" s="459"/>
      <c r="I1" s="459"/>
      <c r="J1" s="459"/>
      <c r="K1" s="459"/>
      <c r="L1" s="459"/>
      <c r="M1" s="459"/>
      <c r="N1" s="459"/>
      <c r="O1" s="459"/>
      <c r="P1" s="459"/>
      <c r="Q1" s="459"/>
      <c r="R1" s="459"/>
      <c r="S1" s="459"/>
    </row>
    <row r="2" spans="1:22" ht="15.75">
      <c r="A2" s="1728" t="s">
        <v>1446</v>
      </c>
      <c r="B2" s="811">
        <f ca="1">SUMIF(B6:B13,"&lt;&gt;#ref!",B6:B13)</f>
        <v>38122</v>
      </c>
      <c r="C2" s="1729" t="s">
        <v>1635</v>
      </c>
      <c r="D2" s="1730" t="s">
        <v>1636</v>
      </c>
      <c r="E2" s="2391">
        <f>SUM(E6:E13)</f>
        <v>66988.94</v>
      </c>
      <c r="F2" s="2478"/>
      <c r="G2" s="459"/>
      <c r="H2" s="459"/>
      <c r="I2" s="459"/>
      <c r="J2" s="459"/>
      <c r="K2" s="459"/>
      <c r="L2" s="459"/>
      <c r="M2" s="459"/>
      <c r="N2" s="459"/>
      <c r="O2" s="459"/>
      <c r="P2" s="459"/>
      <c r="Q2" s="459"/>
      <c r="R2" s="459"/>
      <c r="S2" s="459"/>
    </row>
    <row r="3" spans="1:22" ht="15.75">
      <c r="A3" s="1728" t="s">
        <v>670</v>
      </c>
      <c r="B3" s="2385">
        <f ca="1">ROUND(B2*10000/E2,0)</f>
        <v>5691</v>
      </c>
      <c r="C3" s="1729" t="s">
        <v>1643</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1637</v>
      </c>
      <c r="B5" s="3420" t="s">
        <v>1638</v>
      </c>
      <c r="C5" s="3421"/>
      <c r="D5" s="2479"/>
      <c r="E5" s="1731" t="s">
        <v>1639</v>
      </c>
      <c r="F5" s="129" t="s">
        <v>1640</v>
      </c>
      <c r="G5" s="459"/>
      <c r="H5" s="459"/>
      <c r="I5" s="459"/>
      <c r="J5" s="459"/>
      <c r="K5" s="459"/>
      <c r="L5" s="459"/>
      <c r="M5" s="459"/>
      <c r="N5" s="459"/>
      <c r="O5" s="459"/>
      <c r="P5" s="459"/>
      <c r="Q5" s="459"/>
      <c r="R5" s="459"/>
      <c r="S5" s="459"/>
    </row>
    <row r="6" spans="1:22">
      <c r="A6" s="2388" t="str">
        <f>'数据-取费表'!AN6</f>
        <v>收益法</v>
      </c>
      <c r="B6" s="2386">
        <f ca="1">IF(F6="是",'数据-取费表'!AO6,0)</f>
        <v>38122</v>
      </c>
      <c r="C6" s="1729" t="s">
        <v>1635</v>
      </c>
      <c r="D6" s="2478"/>
      <c r="E6" s="2390">
        <f>IF(OR(A6=0,F6="否"),0,'数据-取费表'!K6+'数据-取费表'!S6)</f>
        <v>66988.94</v>
      </c>
      <c r="F6" s="1732" t="s">
        <v>1641</v>
      </c>
      <c r="G6" s="459"/>
      <c r="H6" s="459"/>
      <c r="I6" s="459"/>
      <c r="J6" s="459"/>
      <c r="K6" s="459"/>
      <c r="L6" s="459"/>
      <c r="M6" s="459"/>
      <c r="N6" s="459"/>
      <c r="O6" s="459"/>
      <c r="P6" s="459"/>
      <c r="Q6" s="459"/>
      <c r="R6" s="459"/>
      <c r="S6" s="459"/>
    </row>
    <row r="7" spans="1:22">
      <c r="A7" s="2388">
        <f>'数据-取费表'!AN7</f>
        <v>0</v>
      </c>
      <c r="B7" s="2386" t="e">
        <f ca="1">IF(F7="是",'数据-取费表'!AO7,0)</f>
        <v>#REF!</v>
      </c>
      <c r="C7" s="1729" t="s">
        <v>1635</v>
      </c>
      <c r="D7" s="2478"/>
      <c r="E7" s="2390">
        <f>IF(OR(A7=0,F7="否"),0,'数据-取费表'!K7+'数据-取费表'!S7)</f>
        <v>0</v>
      </c>
      <c r="F7" s="1732" t="s">
        <v>1641</v>
      </c>
      <c r="G7" s="459"/>
      <c r="H7" s="459"/>
      <c r="I7" s="459"/>
      <c r="J7" s="459"/>
      <c r="K7" s="459"/>
      <c r="L7" s="459"/>
      <c r="M7" s="459"/>
      <c r="N7" s="459"/>
      <c r="O7" s="459"/>
      <c r="P7" s="459"/>
      <c r="Q7" s="459"/>
      <c r="R7" s="459"/>
      <c r="S7" s="459"/>
    </row>
    <row r="8" spans="1:22">
      <c r="A8" s="2388">
        <f>'数据-取费表'!AN8</f>
        <v>0</v>
      </c>
      <c r="B8" s="2386" t="e">
        <f ca="1">IF(F8="是",'数据-取费表'!AO8,0)</f>
        <v>#REF!</v>
      </c>
      <c r="C8" s="1729" t="s">
        <v>1635</v>
      </c>
      <c r="D8" s="2478"/>
      <c r="E8" s="2390">
        <f>IF(OR(A8=0,F8="否"),0,'数据-取费表'!K8+'数据-取费表'!S8)</f>
        <v>0</v>
      </c>
      <c r="F8" s="1732" t="s">
        <v>1641</v>
      </c>
      <c r="G8" s="459"/>
      <c r="H8" s="459"/>
      <c r="I8" s="459"/>
      <c r="J8" s="459"/>
      <c r="K8" s="459"/>
      <c r="L8" s="459"/>
      <c r="M8" s="459"/>
      <c r="N8" s="459"/>
      <c r="O8" s="459"/>
      <c r="P8" s="459"/>
      <c r="Q8" s="459"/>
      <c r="R8" s="459"/>
      <c r="S8" s="459"/>
    </row>
    <row r="9" spans="1:22">
      <c r="A9" s="2388">
        <f>'数据-取费表'!AN9</f>
        <v>0</v>
      </c>
      <c r="B9" s="2386" t="e">
        <f ca="1">IF(F9="是",'数据-取费表'!AO9,0)</f>
        <v>#REF!</v>
      </c>
      <c r="C9" s="1729" t="s">
        <v>1635</v>
      </c>
      <c r="D9" s="2478"/>
      <c r="E9" s="2390">
        <f>IF(OR(A9=0,F9="否"),0,'数据-取费表'!K9+'数据-取费表'!S9)</f>
        <v>0</v>
      </c>
      <c r="F9" s="1732" t="s">
        <v>1641</v>
      </c>
      <c r="G9" s="459"/>
      <c r="H9" s="459"/>
      <c r="I9" s="459"/>
      <c r="J9" s="459"/>
      <c r="K9" s="459"/>
      <c r="L9" s="459"/>
      <c r="M9" s="459"/>
      <c r="N9" s="459"/>
      <c r="O9" s="459"/>
      <c r="P9" s="459"/>
      <c r="Q9" s="459"/>
      <c r="R9" s="459"/>
      <c r="S9" s="459"/>
    </row>
    <row r="10" spans="1:22">
      <c r="A10" s="2388">
        <f>'数据-取费表'!AN10</f>
        <v>0</v>
      </c>
      <c r="B10" s="2386" t="e">
        <f ca="1">IF(F10="是",'数据-取费表'!AO10,0)</f>
        <v>#REF!</v>
      </c>
      <c r="C10" s="1729" t="s">
        <v>1635</v>
      </c>
      <c r="D10" s="2478"/>
      <c r="E10" s="2390">
        <f>IF(OR(A10=0,F10="否"),0,'数据-取费表'!K10+'数据-取费表'!S10)</f>
        <v>0</v>
      </c>
      <c r="F10" s="1732" t="s">
        <v>1641</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9" t="s">
        <v>1635</v>
      </c>
      <c r="D11" s="2478"/>
      <c r="E11" s="2390">
        <f>IF(OR(A11=0,F11="否"),0,'数据-取费表'!K11+'数据-取费表'!S11)</f>
        <v>0</v>
      </c>
      <c r="F11" s="1732" t="s">
        <v>1641</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9" t="s">
        <v>1635</v>
      </c>
      <c r="D12" s="2478"/>
      <c r="E12" s="2390">
        <f>IF(OR(A12=0,F12="否"),0,'数据-取费表'!K12+'数据-取费表'!S12)</f>
        <v>0</v>
      </c>
      <c r="F12" s="1732" t="s">
        <v>1641</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3" t="s">
        <v>1635</v>
      </c>
      <c r="D13" s="2480"/>
      <c r="E13" s="2390">
        <f>IF(OR(A13=0,F13="否"),0,'数据-取费表'!K13+'数据-取费表'!S13)</f>
        <v>0</v>
      </c>
      <c r="F13" s="1732" t="s">
        <v>1641</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1644</v>
      </c>
      <c r="B1" s="1734" t="s">
        <v>1645</v>
      </c>
      <c r="C1" s="1155" t="s">
        <v>1646</v>
      </c>
      <c r="D1" s="1142"/>
      <c r="E1" s="3123"/>
      <c r="F1" s="1735"/>
      <c r="G1" s="1152" t="s">
        <v>1647</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669</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1648</v>
      </c>
      <c r="F2" s="1739"/>
      <c r="G2" s="854"/>
      <c r="H2" s="854"/>
      <c r="I2" s="854"/>
      <c r="J2" s="854"/>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670</v>
      </c>
      <c r="B3" s="343">
        <f>IF(C2="——",C49,ROUND(B2*10000/D3,0))</f>
        <v>0</v>
      </c>
      <c r="C3" s="344" t="s">
        <v>1649</v>
      </c>
      <c r="D3" s="343">
        <f>IF(D1="",'数据-汇总表'!E3,SUMIF('数据-汇总表'!$C19:$C33,D1,'数据-汇总表'!$E19:$E33))</f>
        <v>66988.94</v>
      </c>
      <c r="E3" s="854"/>
      <c r="F3" s="1743"/>
      <c r="G3" s="854"/>
      <c r="H3" s="854"/>
      <c r="I3" s="854"/>
      <c r="J3" s="854"/>
      <c r="K3" s="1740"/>
      <c r="L3" s="2483"/>
      <c r="M3" s="2484"/>
      <c r="N3" s="2484"/>
      <c r="O3" s="2484"/>
      <c r="P3" s="1741"/>
      <c r="Q3" s="1742"/>
      <c r="R3" s="1742"/>
      <c r="S3" s="1742"/>
      <c r="T3" s="1742"/>
      <c r="U3" s="1742"/>
      <c r="V3" s="1742"/>
      <c r="W3" s="1742"/>
      <c r="X3" s="1742"/>
      <c r="Y3" s="1742"/>
      <c r="Z3" s="1742"/>
      <c r="AA3" s="1742"/>
      <c r="AB3" s="1742"/>
      <c r="AC3" s="998"/>
    </row>
    <row r="4" spans="1:29" ht="15">
      <c r="A4" s="345" t="s">
        <v>1650</v>
      </c>
      <c r="B4" s="346"/>
      <c r="C4" s="3440" t="s">
        <v>1651</v>
      </c>
      <c r="D4" s="3441"/>
      <c r="E4" s="3442" t="s">
        <v>1652</v>
      </c>
      <c r="F4" s="3443"/>
      <c r="G4" s="3440" t="s">
        <v>1653</v>
      </c>
      <c r="H4" s="3441"/>
      <c r="I4" s="3440" t="s">
        <v>1654</v>
      </c>
      <c r="J4" s="3441"/>
      <c r="K4" s="1744" t="s">
        <v>1655</v>
      </c>
      <c r="L4" s="2485"/>
      <c r="M4" s="2486"/>
      <c r="N4" s="2486"/>
      <c r="O4" s="2486"/>
      <c r="P4" s="3444" t="s">
        <v>1656</v>
      </c>
      <c r="Q4" s="3445"/>
      <c r="R4" s="3450" t="s">
        <v>1652</v>
      </c>
      <c r="S4" s="3451"/>
      <c r="T4" s="3450" t="s">
        <v>1653</v>
      </c>
      <c r="U4" s="3451"/>
      <c r="V4" s="3426" t="s">
        <v>1654</v>
      </c>
      <c r="W4" s="3426"/>
      <c r="X4" s="1265"/>
      <c r="Y4" s="3450" t="s">
        <v>1656</v>
      </c>
      <c r="Z4" s="3451"/>
      <c r="AA4" s="3437" t="s">
        <v>1652</v>
      </c>
      <c r="AB4" s="3437" t="s">
        <v>1653</v>
      </c>
      <c r="AC4" s="3437" t="s">
        <v>1654</v>
      </c>
    </row>
    <row r="5" spans="1:29" ht="15">
      <c r="A5" s="348"/>
      <c r="B5" s="349"/>
      <c r="C5" s="3458" t="s">
        <v>1657</v>
      </c>
      <c r="D5" s="3459"/>
      <c r="E5" s="3465" t="s">
        <v>1658</v>
      </c>
      <c r="F5" s="3466"/>
      <c r="G5" s="3458" t="s">
        <v>1659</v>
      </c>
      <c r="H5" s="3459"/>
      <c r="I5" s="3458" t="s">
        <v>1660</v>
      </c>
      <c r="J5" s="3459"/>
      <c r="K5" s="1745"/>
      <c r="L5" s="2485"/>
      <c r="M5" s="2486"/>
      <c r="N5" s="2486"/>
      <c r="O5" s="2486"/>
      <c r="P5" s="3446"/>
      <c r="Q5" s="3447"/>
      <c r="R5" s="3452"/>
      <c r="S5" s="3453"/>
      <c r="T5" s="3452"/>
      <c r="U5" s="3453"/>
      <c r="V5" s="3426"/>
      <c r="W5" s="3426"/>
      <c r="X5" s="1265"/>
      <c r="Y5" s="3452"/>
      <c r="Z5" s="3453"/>
      <c r="AA5" s="3438"/>
      <c r="AB5" s="3438"/>
      <c r="AC5" s="3438"/>
    </row>
    <row r="6" spans="1:29" ht="15.75" thickBot="1">
      <c r="A6" s="350"/>
      <c r="B6" s="351"/>
      <c r="C6" s="3456" t="s">
        <v>1661</v>
      </c>
      <c r="D6" s="3457"/>
      <c r="E6" s="3463" t="s">
        <v>1661</v>
      </c>
      <c r="F6" s="3464"/>
      <c r="G6" s="3456" t="s">
        <v>1661</v>
      </c>
      <c r="H6" s="3457"/>
      <c r="I6" s="3456" t="s">
        <v>1661</v>
      </c>
      <c r="J6" s="3457"/>
      <c r="K6" s="1745" t="s">
        <v>1662</v>
      </c>
      <c r="L6" s="2485"/>
      <c r="M6" s="2486"/>
      <c r="N6" s="2486"/>
      <c r="O6" s="2486"/>
      <c r="P6" s="3448"/>
      <c r="Q6" s="3449"/>
      <c r="R6" s="3452"/>
      <c r="S6" s="3453"/>
      <c r="T6" s="3454"/>
      <c r="U6" s="3455"/>
      <c r="V6" s="3426"/>
      <c r="W6" s="3426"/>
      <c r="X6" s="1265"/>
      <c r="Y6" s="3454"/>
      <c r="Z6" s="3455"/>
      <c r="AA6" s="3439"/>
      <c r="AB6" s="3439"/>
      <c r="AC6" s="3439"/>
    </row>
    <row r="7" spans="1:29" s="102" customFormat="1" ht="15.75" thickBot="1">
      <c r="A7" s="352" t="s">
        <v>1663</v>
      </c>
      <c r="B7" s="353"/>
      <c r="C7" s="354">
        <f>'数据-取费表'!B2</f>
        <v>45677</v>
      </c>
      <c r="D7" s="355">
        <v>100</v>
      </c>
      <c r="E7" s="356"/>
      <c r="F7" s="357">
        <f>SUMIF(58:58,YEAR(E7)&amp;"-"&amp;MONTH(E7),59:59)</f>
        <v>0</v>
      </c>
      <c r="G7" s="356"/>
      <c r="H7" s="355">
        <f>SUMIF(58:58,YEAR(G7)&amp;"-"&amp;MONTH(G7),59:59)</f>
        <v>0</v>
      </c>
      <c r="I7" s="356"/>
      <c r="J7" s="355">
        <f>SUMIF(58:58,YEAR(I7)&amp;"-"&amp;MONTH(I7),59:59)</f>
        <v>0</v>
      </c>
      <c r="K7" s="1746"/>
      <c r="L7" s="2487"/>
      <c r="M7" s="2438"/>
      <c r="N7" s="2438"/>
      <c r="O7" s="2438"/>
      <c r="P7" s="3460" t="s">
        <v>1664</v>
      </c>
      <c r="Q7" s="3462"/>
      <c r="R7" s="664" t="s">
        <v>20</v>
      </c>
      <c r="S7" s="665">
        <f t="shared" ref="S7:S15" si="0">F7</f>
        <v>0</v>
      </c>
      <c r="T7" s="664" t="s">
        <v>20</v>
      </c>
      <c r="U7" s="665">
        <f t="shared" ref="U7:U15" si="1">H7</f>
        <v>0</v>
      </c>
      <c r="V7" s="664" t="s">
        <v>20</v>
      </c>
      <c r="W7" s="665">
        <f t="shared" ref="W7:W15" si="2">J7</f>
        <v>0</v>
      </c>
      <c r="X7" s="666"/>
      <c r="Y7" s="3460" t="s">
        <v>1664</v>
      </c>
      <c r="Z7" s="3461"/>
      <c r="AA7" s="50" t="e">
        <f>D7/F7</f>
        <v>#DIV/0!</v>
      </c>
      <c r="AB7" s="50" t="e">
        <f>D7/H7</f>
        <v>#DIV/0!</v>
      </c>
      <c r="AC7" s="50" t="e">
        <f>D7/J7</f>
        <v>#DIV/0!</v>
      </c>
    </row>
    <row r="8" spans="1:29" s="102" customFormat="1" ht="15.75" thickBot="1">
      <c r="A8" s="352" t="s">
        <v>1665</v>
      </c>
      <c r="B8" s="353"/>
      <c r="C8" s="358"/>
      <c r="D8" s="355">
        <v>100</v>
      </c>
      <c r="E8" s="1747"/>
      <c r="F8" s="357">
        <f>SUMIF(61:61,E8,62:62)-SUMIF(61:61,C8,62:62)+100</f>
        <v>100</v>
      </c>
      <c r="G8" s="358"/>
      <c r="H8" s="355">
        <f>SUMIF(61:61,G8,62:62)-SUMIF(61:61,C8,62:62)+100</f>
        <v>100</v>
      </c>
      <c r="I8" s="1747"/>
      <c r="J8" s="355">
        <f>SUMIF(61:61,I8,62:62)-SUMIF(61:61,C8,62:62)+100</f>
        <v>100</v>
      </c>
      <c r="K8" s="1746"/>
      <c r="L8" s="2487"/>
      <c r="M8" s="2438"/>
      <c r="N8" s="2438"/>
      <c r="O8" s="2438"/>
      <c r="P8" s="3460" t="s">
        <v>1667</v>
      </c>
      <c r="Q8" s="3461"/>
      <c r="R8" s="664" t="s">
        <v>20</v>
      </c>
      <c r="S8" s="665">
        <f t="shared" si="0"/>
        <v>100</v>
      </c>
      <c r="T8" s="664" t="s">
        <v>20</v>
      </c>
      <c r="U8" s="665">
        <f t="shared" si="1"/>
        <v>100</v>
      </c>
      <c r="V8" s="664" t="s">
        <v>20</v>
      </c>
      <c r="W8" s="665">
        <f t="shared" si="2"/>
        <v>100</v>
      </c>
      <c r="X8" s="666"/>
      <c r="Y8" s="3460" t="s">
        <v>1667</v>
      </c>
      <c r="Z8" s="3461"/>
      <c r="AA8" s="50">
        <f t="shared" ref="AA8:AA19" si="3">D8/F8</f>
        <v>1</v>
      </c>
      <c r="AB8" s="50">
        <f t="shared" ref="AB8:AB19" si="4">D8/H8</f>
        <v>1</v>
      </c>
      <c r="AC8" s="50">
        <f t="shared" ref="AC8:AC19" si="5">D8/J8</f>
        <v>1</v>
      </c>
    </row>
    <row r="9" spans="1:29" s="102" customFormat="1">
      <c r="A9" s="359" t="s">
        <v>1668</v>
      </c>
      <c r="B9" s="60" t="s">
        <v>1669</v>
      </c>
      <c r="C9" s="360"/>
      <c r="D9" s="59">
        <v>100</v>
      </c>
      <c r="E9" s="361"/>
      <c r="F9" s="60">
        <f>SUMIF(63:63,E9,64:64)-SUMIF(63:63,C9,64:64)+100</f>
        <v>100</v>
      </c>
      <c r="G9" s="362"/>
      <c r="H9" s="59">
        <f>SUMIF(63:63,G9,64:64)-SUMIF(63:63,C9,64:64)+100</f>
        <v>100</v>
      </c>
      <c r="I9" s="362"/>
      <c r="J9" s="59">
        <f>SUMIF(63:63,I9,64:64)-SUMIF(63:63,C9,64:64)+100</f>
        <v>100</v>
      </c>
      <c r="K9" s="1746"/>
      <c r="L9" s="2487"/>
      <c r="M9" s="2438"/>
      <c r="N9" s="2438"/>
      <c r="O9" s="2438"/>
      <c r="P9" s="3436" t="s">
        <v>1670</v>
      </c>
      <c r="Q9" s="530" t="str">
        <f t="shared" ref="Q9:Q15" si="6">B9</f>
        <v>用途</v>
      </c>
      <c r="R9" s="664" t="s">
        <v>14</v>
      </c>
      <c r="S9" s="665">
        <f t="shared" si="0"/>
        <v>100</v>
      </c>
      <c r="T9" s="664" t="s">
        <v>14</v>
      </c>
      <c r="U9" s="665">
        <f t="shared" si="1"/>
        <v>100</v>
      </c>
      <c r="V9" s="664" t="s">
        <v>14</v>
      </c>
      <c r="W9" s="665">
        <f t="shared" si="2"/>
        <v>100</v>
      </c>
      <c r="X9" s="666"/>
      <c r="Y9" s="3300" t="s">
        <v>1671</v>
      </c>
      <c r="Z9" s="50" t="str">
        <f t="shared" ref="Z9:Z15" si="7">Q9</f>
        <v>用途</v>
      </c>
      <c r="AA9" s="50">
        <f t="shared" si="3"/>
        <v>1</v>
      </c>
      <c r="AB9" s="50">
        <f t="shared" si="4"/>
        <v>1</v>
      </c>
      <c r="AC9" s="50">
        <f t="shared" si="5"/>
        <v>1</v>
      </c>
    </row>
    <row r="10" spans="1:29" s="366" customFormat="1" ht="27">
      <c r="A10" s="363"/>
      <c r="B10" s="364" t="s">
        <v>1672</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436"/>
      <c r="Q10" s="530" t="str">
        <f t="shared" si="6"/>
        <v>土地使用年限（年）</v>
      </c>
      <c r="R10" s="664" t="s">
        <v>14</v>
      </c>
      <c r="S10" s="665">
        <f t="shared" si="0"/>
        <v>100</v>
      </c>
      <c r="T10" s="664" t="s">
        <v>14</v>
      </c>
      <c r="U10" s="665">
        <f t="shared" si="1"/>
        <v>100</v>
      </c>
      <c r="V10" s="664" t="s">
        <v>14</v>
      </c>
      <c r="W10" s="665">
        <f t="shared" si="2"/>
        <v>100</v>
      </c>
      <c r="X10" s="666"/>
      <c r="Y10" s="3300"/>
      <c r="Z10" s="50" t="str">
        <f t="shared" si="7"/>
        <v>土地使用年限（年）</v>
      </c>
      <c r="AA10" s="50">
        <f t="shared" si="3"/>
        <v>1</v>
      </c>
      <c r="AB10" s="50">
        <f t="shared" si="4"/>
        <v>1</v>
      </c>
      <c r="AC10" s="50">
        <f t="shared" si="5"/>
        <v>1</v>
      </c>
    </row>
    <row r="11" spans="1:29" ht="15">
      <c r="A11" s="367"/>
      <c r="B11" s="364" t="s">
        <v>1673</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436"/>
      <c r="Q11" s="530" t="str">
        <f t="shared" si="6"/>
        <v>容积率</v>
      </c>
      <c r="R11" s="664" t="s">
        <v>18</v>
      </c>
      <c r="S11" s="665" t="e">
        <f t="shared" si="0"/>
        <v>#N/A</v>
      </c>
      <c r="T11" s="664" t="s">
        <v>18</v>
      </c>
      <c r="U11" s="665" t="e">
        <f t="shared" si="1"/>
        <v>#N/A</v>
      </c>
      <c r="V11" s="664" t="s">
        <v>18</v>
      </c>
      <c r="W11" s="665" t="e">
        <f t="shared" si="2"/>
        <v>#N/A</v>
      </c>
      <c r="X11" s="666"/>
      <c r="Y11" s="3300"/>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7"/>
      <c r="M12" s="2438"/>
      <c r="N12" s="2438"/>
      <c r="O12" s="2438"/>
      <c r="P12" s="3436"/>
      <c r="Q12" s="530">
        <f t="shared" si="6"/>
        <v>111</v>
      </c>
      <c r="R12" s="664" t="s">
        <v>18</v>
      </c>
      <c r="S12" s="665">
        <f t="shared" si="0"/>
        <v>100</v>
      </c>
      <c r="T12" s="664" t="s">
        <v>18</v>
      </c>
      <c r="U12" s="665">
        <f t="shared" si="1"/>
        <v>100</v>
      </c>
      <c r="V12" s="664" t="s">
        <v>18</v>
      </c>
      <c r="W12" s="665">
        <f t="shared" si="2"/>
        <v>100</v>
      </c>
      <c r="X12" s="666"/>
      <c r="Y12" s="330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1"/>
      <c r="M13" s="2486"/>
      <c r="N13" s="2486"/>
      <c r="O13" s="2486"/>
      <c r="P13" s="3436"/>
      <c r="Q13" s="530">
        <f t="shared" si="6"/>
        <v>111</v>
      </c>
      <c r="R13" s="664" t="s">
        <v>18</v>
      </c>
      <c r="S13" s="665">
        <f t="shared" si="0"/>
        <v>100</v>
      </c>
      <c r="T13" s="664" t="s">
        <v>18</v>
      </c>
      <c r="U13" s="665">
        <f t="shared" si="1"/>
        <v>100</v>
      </c>
      <c r="V13" s="664" t="s">
        <v>18</v>
      </c>
      <c r="W13" s="665">
        <f t="shared" si="2"/>
        <v>100</v>
      </c>
      <c r="X13" s="666"/>
      <c r="Y13" s="3300"/>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436"/>
      <c r="Q14" s="530">
        <f t="shared" si="6"/>
        <v>111</v>
      </c>
      <c r="R14" s="664" t="s">
        <v>18</v>
      </c>
      <c r="S14" s="665">
        <f t="shared" si="0"/>
        <v>100</v>
      </c>
      <c r="T14" s="664" t="s">
        <v>18</v>
      </c>
      <c r="U14" s="665">
        <f t="shared" si="1"/>
        <v>100</v>
      </c>
      <c r="V14" s="664" t="s">
        <v>18</v>
      </c>
      <c r="W14" s="665">
        <f t="shared" si="2"/>
        <v>100</v>
      </c>
      <c r="X14" s="666"/>
      <c r="Y14" s="3300"/>
      <c r="Z14" s="50">
        <f t="shared" si="7"/>
        <v>111</v>
      </c>
      <c r="AA14" s="50">
        <f t="shared" si="3"/>
        <v>1</v>
      </c>
      <c r="AB14" s="50">
        <f t="shared" si="4"/>
        <v>1</v>
      </c>
      <c r="AC14" s="50">
        <f t="shared" si="5"/>
        <v>1</v>
      </c>
    </row>
    <row r="15" spans="1:29" ht="15">
      <c r="A15" s="379" t="s">
        <v>1674</v>
      </c>
      <c r="B15" s="58" t="s">
        <v>1241</v>
      </c>
      <c r="C15" s="1750">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34" t="s">
        <v>1675</v>
      </c>
      <c r="Q15" s="1263" t="str">
        <f t="shared" si="6"/>
        <v>居住社区成熟度</v>
      </c>
      <c r="R15" s="667" t="s">
        <v>18</v>
      </c>
      <c r="S15" s="668">
        <f t="shared" si="0"/>
        <v>100</v>
      </c>
      <c r="T15" s="667" t="s">
        <v>18</v>
      </c>
      <c r="U15" s="668">
        <f t="shared" si="1"/>
        <v>100</v>
      </c>
      <c r="V15" s="667" t="s">
        <v>18</v>
      </c>
      <c r="W15" s="668">
        <f t="shared" si="2"/>
        <v>100</v>
      </c>
      <c r="X15" s="1265"/>
      <c r="Y15" s="3427" t="s">
        <v>1675</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435"/>
      <c r="Q16" s="1263"/>
      <c r="R16" s="667"/>
      <c r="S16" s="668"/>
      <c r="T16" s="667"/>
      <c r="U16" s="668"/>
      <c r="V16" s="667"/>
      <c r="W16" s="668"/>
      <c r="X16" s="1265"/>
      <c r="Y16" s="3428"/>
      <c r="Z16" s="1264"/>
      <c r="AA16" s="1264">
        <v>1</v>
      </c>
      <c r="AB16" s="1264">
        <v>1</v>
      </c>
      <c r="AC16" s="1264">
        <v>1</v>
      </c>
    </row>
    <row r="17" spans="1:29" ht="15">
      <c r="A17" s="367"/>
      <c r="B17" s="390" t="s">
        <v>1243</v>
      </c>
      <c r="C17" s="1754">
        <f>估价对象房地状况!C6</f>
        <v>0</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35"/>
      <c r="Q17" s="1263" t="str">
        <f>B17</f>
        <v>交通便捷度</v>
      </c>
      <c r="R17" s="667" t="s">
        <v>18</v>
      </c>
      <c r="S17" s="668">
        <f>F17</f>
        <v>100</v>
      </c>
      <c r="T17" s="667" t="s">
        <v>18</v>
      </c>
      <c r="U17" s="668">
        <f>H17</f>
        <v>100</v>
      </c>
      <c r="V17" s="667" t="s">
        <v>18</v>
      </c>
      <c r="W17" s="668">
        <f>J17</f>
        <v>100</v>
      </c>
      <c r="X17" s="1265"/>
      <c r="Y17" s="3428"/>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435"/>
      <c r="Q18" s="1263"/>
      <c r="R18" s="667"/>
      <c r="S18" s="668"/>
      <c r="T18" s="667"/>
      <c r="U18" s="668"/>
      <c r="V18" s="667"/>
      <c r="W18" s="668"/>
      <c r="X18" s="1265"/>
      <c r="Y18" s="3428"/>
      <c r="Z18" s="1264"/>
      <c r="AA18" s="1264">
        <v>1</v>
      </c>
      <c r="AB18" s="1264">
        <v>1</v>
      </c>
      <c r="AC18" s="1264">
        <v>1</v>
      </c>
    </row>
    <row r="19" spans="1:29" ht="15">
      <c r="A19" s="367"/>
      <c r="B19" s="390" t="s">
        <v>1242</v>
      </c>
      <c r="C19" s="1754">
        <f>估价对象房地状况!C7</f>
        <v>0</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35"/>
      <c r="Q19" s="1263" t="str">
        <f>B19</f>
        <v>公共配套设施</v>
      </c>
      <c r="R19" s="667" t="s">
        <v>18</v>
      </c>
      <c r="S19" s="668">
        <f>F19</f>
        <v>100</v>
      </c>
      <c r="T19" s="667" t="s">
        <v>18</v>
      </c>
      <c r="U19" s="668">
        <f>H19</f>
        <v>100</v>
      </c>
      <c r="V19" s="667" t="s">
        <v>18</v>
      </c>
      <c r="W19" s="668">
        <f>J19</f>
        <v>100</v>
      </c>
      <c r="X19" s="1265"/>
      <c r="Y19" s="3428"/>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435"/>
      <c r="Q20" s="1263"/>
      <c r="R20" s="667"/>
      <c r="S20" s="668"/>
      <c r="T20" s="667"/>
      <c r="U20" s="668"/>
      <c r="V20" s="667"/>
      <c r="W20" s="668"/>
      <c r="X20" s="1265"/>
      <c r="Y20" s="3428"/>
      <c r="Z20" s="1264"/>
      <c r="AA20" s="1264">
        <v>1</v>
      </c>
      <c r="AB20" s="1264">
        <v>1</v>
      </c>
      <c r="AC20" s="1264">
        <v>1</v>
      </c>
    </row>
    <row r="21" spans="1:29" ht="15">
      <c r="A21" s="367"/>
      <c r="B21" s="586" t="s">
        <v>1244</v>
      </c>
      <c r="C21" s="1754">
        <f>估价对象房地状况!C8</f>
        <v>0</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35"/>
      <c r="Q21" s="1263" t="str">
        <f>B21</f>
        <v>基础设施水平</v>
      </c>
      <c r="R21" s="667" t="s">
        <v>14</v>
      </c>
      <c r="S21" s="668">
        <f>F21</f>
        <v>100</v>
      </c>
      <c r="T21" s="667" t="s">
        <v>14</v>
      </c>
      <c r="U21" s="668">
        <f>H21</f>
        <v>100</v>
      </c>
      <c r="V21" s="667" t="s">
        <v>14</v>
      </c>
      <c r="W21" s="668">
        <f>J21</f>
        <v>100</v>
      </c>
      <c r="X21" s="1265"/>
      <c r="Y21" s="3428"/>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435"/>
      <c r="Q22" s="1263"/>
      <c r="R22" s="667"/>
      <c r="S22" s="668"/>
      <c r="T22" s="667"/>
      <c r="U22" s="668"/>
      <c r="V22" s="667"/>
      <c r="W22" s="668"/>
      <c r="X22" s="1265"/>
      <c r="Y22" s="3428"/>
      <c r="Z22" s="1264"/>
      <c r="AA22" s="1264">
        <v>1</v>
      </c>
      <c r="AB22" s="1264">
        <v>1</v>
      </c>
      <c r="AC22" s="1264">
        <v>1</v>
      </c>
    </row>
    <row r="23" spans="1:29" ht="15">
      <c r="A23" s="367"/>
      <c r="B23" s="390" t="s">
        <v>1245</v>
      </c>
      <c r="C23" s="1754">
        <f>估价对象房地状况!C9</f>
        <v>0</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35"/>
      <c r="Q23" s="1263" t="str">
        <f>B23</f>
        <v>自然及人文环境</v>
      </c>
      <c r="R23" s="667" t="s">
        <v>18</v>
      </c>
      <c r="S23" s="668">
        <f>F23</f>
        <v>100</v>
      </c>
      <c r="T23" s="667" t="s">
        <v>18</v>
      </c>
      <c r="U23" s="668">
        <f>H23</f>
        <v>100</v>
      </c>
      <c r="V23" s="667" t="s">
        <v>18</v>
      </c>
      <c r="W23" s="668">
        <f>J23</f>
        <v>100</v>
      </c>
      <c r="X23" s="1265"/>
      <c r="Y23" s="3428"/>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435"/>
      <c r="Q24" s="1263"/>
      <c r="R24" s="667"/>
      <c r="S24" s="668"/>
      <c r="T24" s="667"/>
      <c r="U24" s="668"/>
      <c r="V24" s="667"/>
      <c r="W24" s="668"/>
      <c r="X24" s="1265"/>
      <c r="Y24" s="3428"/>
      <c r="Z24" s="1264"/>
      <c r="AA24" s="1264">
        <v>1</v>
      </c>
      <c r="AB24" s="1264">
        <v>1</v>
      </c>
      <c r="AC24" s="1264">
        <v>1</v>
      </c>
    </row>
    <row r="25" spans="1:29" ht="15">
      <c r="A25" s="367"/>
      <c r="B25" s="364" t="s">
        <v>1676</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435"/>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28"/>
      <c r="Z25" s="1264" t="str">
        <f>Q25</f>
        <v>楼层-1</v>
      </c>
      <c r="AA25" s="1264">
        <f t="shared" ref="AA25:AA46" si="15">D25/F25</f>
        <v>1</v>
      </c>
      <c r="AB25" s="1264">
        <f t="shared" ref="AB25:AB46" si="16">D25/H25</f>
        <v>1</v>
      </c>
      <c r="AC25" s="1264">
        <f t="shared" ref="AC25:AC46" si="17">D25/J25</f>
        <v>1</v>
      </c>
    </row>
    <row r="26" spans="1:29" ht="15">
      <c r="A26" s="367"/>
      <c r="B26" s="364" t="s">
        <v>1677</v>
      </c>
      <c r="C26" s="399"/>
      <c r="D26" s="374">
        <v>100</v>
      </c>
      <c r="E26" s="1760"/>
      <c r="F26" s="374">
        <f>SUMIF(88:88,E26,89:89)-SUMIF(88:88,C26,89:89)+100</f>
        <v>100</v>
      </c>
      <c r="G26" s="1761"/>
      <c r="H26" s="374">
        <f>SUMIF(88:88,G26,89:89)-SUMIF(88:88,C26,89:89)+100</f>
        <v>100</v>
      </c>
      <c r="I26" s="1761"/>
      <c r="J26" s="374">
        <f>SUMIF(88:88,I26,89:89)-SUMIF(88:88,C26,89:89)+100</f>
        <v>100</v>
      </c>
      <c r="K26" s="365"/>
      <c r="L26" s="2491"/>
      <c r="M26" s="2486"/>
      <c r="N26" s="2486"/>
      <c r="O26" s="2486"/>
      <c r="P26" s="3435"/>
      <c r="Q26" s="1263" t="str">
        <f t="shared" si="11"/>
        <v>朝向</v>
      </c>
      <c r="R26" s="667" t="s">
        <v>18</v>
      </c>
      <c r="S26" s="668">
        <f t="shared" si="12"/>
        <v>100</v>
      </c>
      <c r="T26" s="667" t="s">
        <v>18</v>
      </c>
      <c r="U26" s="668">
        <f t="shared" si="13"/>
        <v>100</v>
      </c>
      <c r="V26" s="667" t="s">
        <v>18</v>
      </c>
      <c r="W26" s="668">
        <f t="shared" si="14"/>
        <v>100</v>
      </c>
      <c r="X26" s="1265"/>
      <c r="Y26" s="3428"/>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7"/>
      <c r="M27" s="2438"/>
      <c r="N27" s="2438"/>
      <c r="O27" s="2438"/>
      <c r="P27" s="3435"/>
      <c r="Q27" s="530">
        <f t="shared" si="11"/>
        <v>111</v>
      </c>
      <c r="R27" s="664" t="s">
        <v>18</v>
      </c>
      <c r="S27" s="665">
        <f t="shared" si="12"/>
        <v>100</v>
      </c>
      <c r="T27" s="664" t="s">
        <v>18</v>
      </c>
      <c r="U27" s="665">
        <f t="shared" si="13"/>
        <v>100</v>
      </c>
      <c r="V27" s="664" t="s">
        <v>18</v>
      </c>
      <c r="W27" s="665">
        <f t="shared" si="14"/>
        <v>100</v>
      </c>
      <c r="X27" s="666"/>
      <c r="Y27" s="3428"/>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435"/>
      <c r="Q28" s="1263">
        <f t="shared" si="11"/>
        <v>111</v>
      </c>
      <c r="R28" s="667" t="s">
        <v>18</v>
      </c>
      <c r="S28" s="668">
        <f t="shared" si="12"/>
        <v>100</v>
      </c>
      <c r="T28" s="667" t="s">
        <v>18</v>
      </c>
      <c r="U28" s="668">
        <f t="shared" si="13"/>
        <v>100</v>
      </c>
      <c r="V28" s="667" t="s">
        <v>18</v>
      </c>
      <c r="W28" s="668">
        <f t="shared" si="14"/>
        <v>100</v>
      </c>
      <c r="X28" s="1265"/>
      <c r="Y28" s="3428"/>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435"/>
      <c r="Q29" s="1263">
        <f t="shared" si="11"/>
        <v>111</v>
      </c>
      <c r="R29" s="667" t="s">
        <v>18</v>
      </c>
      <c r="S29" s="668">
        <f t="shared" si="12"/>
        <v>100</v>
      </c>
      <c r="T29" s="667" t="s">
        <v>18</v>
      </c>
      <c r="U29" s="668">
        <f t="shared" si="13"/>
        <v>100</v>
      </c>
      <c r="V29" s="667" t="s">
        <v>18</v>
      </c>
      <c r="W29" s="668">
        <f t="shared" si="14"/>
        <v>100</v>
      </c>
      <c r="X29" s="1265"/>
      <c r="Y29" s="3428"/>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435"/>
      <c r="Q30" s="1263">
        <f t="shared" si="11"/>
        <v>111</v>
      </c>
      <c r="R30" s="667" t="s">
        <v>18</v>
      </c>
      <c r="S30" s="668">
        <f t="shared" si="12"/>
        <v>100</v>
      </c>
      <c r="T30" s="667" t="s">
        <v>18</v>
      </c>
      <c r="U30" s="668">
        <f t="shared" si="13"/>
        <v>100</v>
      </c>
      <c r="V30" s="667" t="s">
        <v>18</v>
      </c>
      <c r="W30" s="668">
        <f t="shared" si="14"/>
        <v>100</v>
      </c>
      <c r="X30" s="1265"/>
      <c r="Y30" s="3428"/>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1"/>
      <c r="M31" s="2486"/>
      <c r="N31" s="2486"/>
      <c r="O31" s="2486"/>
      <c r="P31" s="3435"/>
      <c r="Q31" s="1263">
        <f t="shared" si="11"/>
        <v>111</v>
      </c>
      <c r="R31" s="667" t="s">
        <v>18</v>
      </c>
      <c r="S31" s="668">
        <f t="shared" si="12"/>
        <v>100</v>
      </c>
      <c r="T31" s="667" t="s">
        <v>18</v>
      </c>
      <c r="U31" s="668">
        <f t="shared" si="13"/>
        <v>100</v>
      </c>
      <c r="V31" s="667" t="s">
        <v>18</v>
      </c>
      <c r="W31" s="668">
        <f t="shared" si="14"/>
        <v>100</v>
      </c>
      <c r="X31" s="1265"/>
      <c r="Y31" s="3428"/>
      <c r="Z31" s="1264">
        <f t="shared" si="18"/>
        <v>111</v>
      </c>
      <c r="AA31" s="1264">
        <f t="shared" si="15"/>
        <v>1</v>
      </c>
      <c r="AB31" s="1264">
        <f t="shared" si="16"/>
        <v>1</v>
      </c>
      <c r="AC31" s="1264">
        <f t="shared" si="17"/>
        <v>1</v>
      </c>
    </row>
    <row r="32" spans="1:29" ht="15">
      <c r="A32" s="379" t="s">
        <v>1678</v>
      </c>
      <c r="B32" s="60" t="s">
        <v>1679</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1"/>
      <c r="M32" s="2486"/>
      <c r="N32" s="2486"/>
      <c r="O32" s="2486"/>
      <c r="P32" s="3429" t="s">
        <v>1680</v>
      </c>
      <c r="Q32" s="1263" t="str">
        <f t="shared" si="11"/>
        <v>建筑类型</v>
      </c>
      <c r="R32" s="667" t="s">
        <v>18</v>
      </c>
      <c r="S32" s="668">
        <f t="shared" si="12"/>
        <v>100</v>
      </c>
      <c r="T32" s="667" t="s">
        <v>18</v>
      </c>
      <c r="U32" s="668">
        <f t="shared" si="13"/>
        <v>100</v>
      </c>
      <c r="V32" s="667" t="s">
        <v>18</v>
      </c>
      <c r="W32" s="668">
        <f t="shared" si="14"/>
        <v>100</v>
      </c>
      <c r="X32" s="1265"/>
      <c r="Y32" s="3432" t="s">
        <v>1680</v>
      </c>
      <c r="Z32" s="1264" t="str">
        <f t="shared" si="18"/>
        <v>建筑类型</v>
      </c>
      <c r="AA32" s="1264">
        <f t="shared" si="15"/>
        <v>1</v>
      </c>
      <c r="AB32" s="1264">
        <f t="shared" si="16"/>
        <v>1</v>
      </c>
      <c r="AC32" s="1264">
        <f t="shared" si="17"/>
        <v>1</v>
      </c>
    </row>
    <row r="33" spans="1:29" s="408" customFormat="1" ht="15">
      <c r="A33" s="406"/>
      <c r="B33" s="364" t="s">
        <v>1681</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0"/>
      <c r="M33" s="2492"/>
      <c r="N33" s="2492"/>
      <c r="O33" s="2492"/>
      <c r="P33" s="3430"/>
      <c r="Q33" s="531" t="str">
        <f t="shared" si="11"/>
        <v>项目建筑规模</v>
      </c>
      <c r="R33" s="669" t="s">
        <v>18</v>
      </c>
      <c r="S33" s="670" t="e">
        <f t="shared" si="12"/>
        <v>#N/A</v>
      </c>
      <c r="T33" s="669" t="s">
        <v>18</v>
      </c>
      <c r="U33" s="670" t="e">
        <f t="shared" si="13"/>
        <v>#N/A</v>
      </c>
      <c r="V33" s="669" t="s">
        <v>18</v>
      </c>
      <c r="W33" s="670" t="e">
        <f t="shared" si="14"/>
        <v>#N/A</v>
      </c>
      <c r="X33" s="671"/>
      <c r="Y33" s="3432"/>
      <c r="Z33" s="672" t="str">
        <f t="shared" si="18"/>
        <v>项目建筑规模</v>
      </c>
      <c r="AA33" s="1264" t="e">
        <f t="shared" si="15"/>
        <v>#N/A</v>
      </c>
      <c r="AB33" s="1264" t="e">
        <f t="shared" si="16"/>
        <v>#N/A</v>
      </c>
      <c r="AC33" s="1264" t="e">
        <f t="shared" si="17"/>
        <v>#N/A</v>
      </c>
    </row>
    <row r="34" spans="1:29" ht="15">
      <c r="A34" s="409"/>
      <c r="B34" s="364" t="s">
        <v>1682</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1"/>
      <c r="M34" s="2486"/>
      <c r="N34" s="2486"/>
      <c r="O34" s="2486"/>
      <c r="P34" s="3430"/>
      <c r="Q34" s="1263" t="str">
        <f t="shared" si="11"/>
        <v>建筑结构</v>
      </c>
      <c r="R34" s="667" t="s">
        <v>18</v>
      </c>
      <c r="S34" s="668">
        <f t="shared" si="12"/>
        <v>100</v>
      </c>
      <c r="T34" s="667" t="s">
        <v>18</v>
      </c>
      <c r="U34" s="668">
        <f t="shared" si="13"/>
        <v>100</v>
      </c>
      <c r="V34" s="667" t="s">
        <v>18</v>
      </c>
      <c r="W34" s="668">
        <f t="shared" si="14"/>
        <v>100</v>
      </c>
      <c r="X34" s="1265"/>
      <c r="Y34" s="3432"/>
      <c r="Z34" s="1264" t="str">
        <f t="shared" si="18"/>
        <v>建筑结构</v>
      </c>
      <c r="AA34" s="1264">
        <f t="shared" si="15"/>
        <v>1</v>
      </c>
      <c r="AB34" s="1264">
        <f t="shared" si="16"/>
        <v>1</v>
      </c>
      <c r="AC34" s="1264">
        <f t="shared" si="17"/>
        <v>1</v>
      </c>
    </row>
    <row r="35" spans="1:29" ht="15">
      <c r="A35" s="409"/>
      <c r="B35" s="364" t="s">
        <v>1683</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1"/>
      <c r="M35" s="2486"/>
      <c r="N35" s="2486"/>
      <c r="O35" s="2486"/>
      <c r="P35" s="3430"/>
      <c r="Q35" s="1263" t="str">
        <f t="shared" si="11"/>
        <v>建筑品质</v>
      </c>
      <c r="R35" s="667" t="s">
        <v>18</v>
      </c>
      <c r="S35" s="668">
        <f t="shared" si="12"/>
        <v>100</v>
      </c>
      <c r="T35" s="667" t="s">
        <v>18</v>
      </c>
      <c r="U35" s="668">
        <f t="shared" si="13"/>
        <v>100</v>
      </c>
      <c r="V35" s="667" t="s">
        <v>18</v>
      </c>
      <c r="W35" s="668">
        <f t="shared" si="14"/>
        <v>100</v>
      </c>
      <c r="X35" s="1265"/>
      <c r="Y35" s="3432"/>
      <c r="Z35" s="1264" t="str">
        <f t="shared" si="18"/>
        <v>建筑品质</v>
      </c>
      <c r="AA35" s="1264">
        <f t="shared" si="15"/>
        <v>1</v>
      </c>
      <c r="AB35" s="1264">
        <f t="shared" si="16"/>
        <v>1</v>
      </c>
      <c r="AC35" s="1264">
        <f t="shared" si="17"/>
        <v>1</v>
      </c>
    </row>
    <row r="36" spans="1:29" ht="15">
      <c r="A36" s="409"/>
      <c r="B36" s="364" t="s">
        <v>1684</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1"/>
      <c r="M36" s="2486"/>
      <c r="N36" s="2486"/>
      <c r="O36" s="2486"/>
      <c r="P36" s="3430"/>
      <c r="Q36" s="1263" t="str">
        <f t="shared" si="11"/>
        <v>公共部分装修</v>
      </c>
      <c r="R36" s="667" t="s">
        <v>18</v>
      </c>
      <c r="S36" s="668">
        <f t="shared" si="12"/>
        <v>100</v>
      </c>
      <c r="T36" s="667" t="s">
        <v>18</v>
      </c>
      <c r="U36" s="668">
        <f t="shared" si="13"/>
        <v>100</v>
      </c>
      <c r="V36" s="667" t="s">
        <v>18</v>
      </c>
      <c r="W36" s="668">
        <f t="shared" si="14"/>
        <v>100</v>
      </c>
      <c r="X36" s="1265"/>
      <c r="Y36" s="3432"/>
      <c r="Z36" s="1264" t="str">
        <f t="shared" si="18"/>
        <v>公共部分装修</v>
      </c>
      <c r="AA36" s="1264">
        <f t="shared" si="15"/>
        <v>1</v>
      </c>
      <c r="AB36" s="1264">
        <f t="shared" si="16"/>
        <v>1</v>
      </c>
      <c r="AC36" s="1264">
        <f t="shared" si="17"/>
        <v>1</v>
      </c>
    </row>
    <row r="37" spans="1:29" s="102" customFormat="1" ht="15">
      <c r="A37" s="410"/>
      <c r="B37" s="364" t="s">
        <v>1685</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8"/>
      <c r="N37" s="2438"/>
      <c r="O37" s="2438"/>
      <c r="P37" s="3430"/>
      <c r="Q37" s="530" t="str">
        <f t="shared" si="11"/>
        <v>成新度</v>
      </c>
      <c r="R37" s="664" t="s">
        <v>18</v>
      </c>
      <c r="S37" s="665" t="e">
        <f t="shared" si="12"/>
        <v>#N/A</v>
      </c>
      <c r="T37" s="664" t="s">
        <v>18</v>
      </c>
      <c r="U37" s="665" t="e">
        <f t="shared" si="13"/>
        <v>#N/A</v>
      </c>
      <c r="V37" s="664" t="s">
        <v>18</v>
      </c>
      <c r="W37" s="665" t="e">
        <f t="shared" si="14"/>
        <v>#N/A</v>
      </c>
      <c r="X37" s="666"/>
      <c r="Y37" s="3432"/>
      <c r="Z37" s="50" t="str">
        <f t="shared" si="18"/>
        <v>成新度</v>
      </c>
      <c r="AA37" s="50" t="e">
        <f t="shared" si="15"/>
        <v>#N/A</v>
      </c>
      <c r="AB37" s="50" t="e">
        <f t="shared" si="16"/>
        <v>#N/A</v>
      </c>
      <c r="AC37" s="50" t="e">
        <f t="shared" si="17"/>
        <v>#N/A</v>
      </c>
    </row>
    <row r="38" spans="1:29" ht="15">
      <c r="A38" s="409"/>
      <c r="B38" s="364" t="s">
        <v>1686</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1"/>
      <c r="M38" s="2486"/>
      <c r="N38" s="2486"/>
      <c r="O38" s="2486"/>
      <c r="P38" s="3430" t="s">
        <v>1680</v>
      </c>
      <c r="Q38" s="1263" t="str">
        <f t="shared" si="11"/>
        <v>物业管理</v>
      </c>
      <c r="R38" s="667" t="s">
        <v>18</v>
      </c>
      <c r="S38" s="668">
        <f t="shared" si="12"/>
        <v>100</v>
      </c>
      <c r="T38" s="667" t="s">
        <v>18</v>
      </c>
      <c r="U38" s="668">
        <f t="shared" si="13"/>
        <v>100</v>
      </c>
      <c r="V38" s="667" t="s">
        <v>18</v>
      </c>
      <c r="W38" s="668">
        <f t="shared" si="14"/>
        <v>100</v>
      </c>
      <c r="X38" s="1265"/>
      <c r="Y38" s="3432" t="s">
        <v>1680</v>
      </c>
      <c r="Z38" s="1264" t="str">
        <f t="shared" si="18"/>
        <v>物业管理</v>
      </c>
      <c r="AA38" s="1264">
        <f t="shared" si="15"/>
        <v>1</v>
      </c>
      <c r="AB38" s="1264">
        <f t="shared" si="16"/>
        <v>1</v>
      </c>
      <c r="AC38" s="1264">
        <f t="shared" si="17"/>
        <v>1</v>
      </c>
    </row>
    <row r="39" spans="1:29" ht="15">
      <c r="A39" s="409"/>
      <c r="B39" s="364" t="s">
        <v>1687</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1"/>
      <c r="M39" s="2486"/>
      <c r="N39" s="2486"/>
      <c r="O39" s="2486"/>
      <c r="P39" s="3430"/>
      <c r="Q39" s="1263" t="str">
        <f t="shared" si="11"/>
        <v>市政基础设施</v>
      </c>
      <c r="R39" s="667" t="s">
        <v>18</v>
      </c>
      <c r="S39" s="668">
        <f t="shared" si="12"/>
        <v>100</v>
      </c>
      <c r="T39" s="667" t="s">
        <v>18</v>
      </c>
      <c r="U39" s="668">
        <f t="shared" si="13"/>
        <v>100</v>
      </c>
      <c r="V39" s="667" t="s">
        <v>18</v>
      </c>
      <c r="W39" s="668">
        <f t="shared" si="14"/>
        <v>100</v>
      </c>
      <c r="X39" s="1265"/>
      <c r="Y39" s="3432"/>
      <c r="Z39" s="1264" t="str">
        <f t="shared" si="18"/>
        <v>市政基础设施</v>
      </c>
      <c r="AA39" s="1264">
        <f t="shared" si="15"/>
        <v>1</v>
      </c>
      <c r="AB39" s="1264">
        <f t="shared" si="16"/>
        <v>1</v>
      </c>
      <c r="AC39" s="1264">
        <f t="shared" si="17"/>
        <v>1</v>
      </c>
    </row>
    <row r="40" spans="1:29" ht="15">
      <c r="A40" s="409"/>
      <c r="B40" s="364" t="s">
        <v>1688</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1"/>
      <c r="M40" s="2486"/>
      <c r="N40" s="2486"/>
      <c r="O40" s="2486"/>
      <c r="P40" s="3430"/>
      <c r="Q40" s="1263" t="str">
        <f t="shared" si="11"/>
        <v>房型</v>
      </c>
      <c r="R40" s="667" t="s">
        <v>18</v>
      </c>
      <c r="S40" s="668">
        <f t="shared" si="12"/>
        <v>100</v>
      </c>
      <c r="T40" s="667" t="s">
        <v>18</v>
      </c>
      <c r="U40" s="668">
        <f t="shared" si="13"/>
        <v>100</v>
      </c>
      <c r="V40" s="667" t="s">
        <v>18</v>
      </c>
      <c r="W40" s="668">
        <f t="shared" si="14"/>
        <v>100</v>
      </c>
      <c r="X40" s="1265"/>
      <c r="Y40" s="3432"/>
      <c r="Z40" s="1264" t="str">
        <f t="shared" si="18"/>
        <v>房型</v>
      </c>
      <c r="AA40" s="1264">
        <f t="shared" si="15"/>
        <v>1</v>
      </c>
      <c r="AB40" s="1264">
        <f t="shared" si="16"/>
        <v>1</v>
      </c>
      <c r="AC40" s="1264">
        <f t="shared" si="17"/>
        <v>1</v>
      </c>
    </row>
    <row r="41" spans="1:29" s="408" customFormat="1" ht="28.5">
      <c r="A41" s="406"/>
      <c r="B41" s="364" t="s">
        <v>1689</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0"/>
      <c r="M41" s="2492"/>
      <c r="N41" s="2492"/>
      <c r="O41" s="2492"/>
      <c r="P41" s="3430"/>
      <c r="Q41" s="531" t="str">
        <f t="shared" si="11"/>
        <v>单套/主力户型建筑面积</v>
      </c>
      <c r="R41" s="669" t="s">
        <v>18</v>
      </c>
      <c r="S41" s="670">
        <f t="shared" si="12"/>
        <v>100</v>
      </c>
      <c r="T41" s="669" t="s">
        <v>18</v>
      </c>
      <c r="U41" s="670">
        <f t="shared" si="13"/>
        <v>100</v>
      </c>
      <c r="V41" s="669" t="s">
        <v>18</v>
      </c>
      <c r="W41" s="670">
        <f t="shared" si="14"/>
        <v>100</v>
      </c>
      <c r="X41" s="671"/>
      <c r="Y41" s="3432"/>
      <c r="Z41" s="672" t="str">
        <f t="shared" si="18"/>
        <v>单套/主力户型建筑面积</v>
      </c>
      <c r="AA41" s="1264">
        <f t="shared" si="15"/>
        <v>1</v>
      </c>
      <c r="AB41" s="1264">
        <f t="shared" si="16"/>
        <v>1</v>
      </c>
      <c r="AC41" s="1264">
        <f t="shared" si="17"/>
        <v>1</v>
      </c>
    </row>
    <row r="42" spans="1:29" ht="15">
      <c r="A42" s="409"/>
      <c r="B42" s="364" t="s">
        <v>1690</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1"/>
      <c r="M42" s="2486"/>
      <c r="N42" s="2486"/>
      <c r="O42" s="2486"/>
      <c r="P42" s="3430"/>
      <c r="Q42" s="1263" t="str">
        <f t="shared" si="11"/>
        <v>内部装修</v>
      </c>
      <c r="R42" s="667" t="s">
        <v>18</v>
      </c>
      <c r="S42" s="668">
        <f t="shared" si="12"/>
        <v>100</v>
      </c>
      <c r="T42" s="667" t="s">
        <v>18</v>
      </c>
      <c r="U42" s="668">
        <f t="shared" si="13"/>
        <v>100</v>
      </c>
      <c r="V42" s="667" t="s">
        <v>18</v>
      </c>
      <c r="W42" s="668">
        <f t="shared" si="14"/>
        <v>100</v>
      </c>
      <c r="X42" s="1265"/>
      <c r="Y42" s="3432"/>
      <c r="Z42" s="1264" t="str">
        <f t="shared" si="18"/>
        <v>内部装修</v>
      </c>
      <c r="AA42" s="1264">
        <f t="shared" si="15"/>
        <v>1</v>
      </c>
      <c r="AB42" s="1264">
        <f t="shared" si="16"/>
        <v>1</v>
      </c>
      <c r="AC42" s="1264">
        <f t="shared" si="17"/>
        <v>1</v>
      </c>
    </row>
    <row r="43" spans="1:29" ht="15">
      <c r="A43" s="409"/>
      <c r="B43" s="364" t="s">
        <v>1691</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1"/>
      <c r="M43" s="2486"/>
      <c r="N43" s="2486"/>
      <c r="O43" s="2486"/>
      <c r="P43" s="3430"/>
      <c r="Q43" s="1263" t="str">
        <f t="shared" si="11"/>
        <v>内部装修维护情况</v>
      </c>
      <c r="R43" s="667" t="s">
        <v>18</v>
      </c>
      <c r="S43" s="668">
        <f t="shared" si="12"/>
        <v>100</v>
      </c>
      <c r="T43" s="667" t="s">
        <v>18</v>
      </c>
      <c r="U43" s="668">
        <f t="shared" si="13"/>
        <v>100</v>
      </c>
      <c r="V43" s="667" t="s">
        <v>18</v>
      </c>
      <c r="W43" s="668">
        <f t="shared" si="14"/>
        <v>100</v>
      </c>
      <c r="X43" s="1265"/>
      <c r="Y43" s="3432"/>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7"/>
      <c r="M44" s="2438"/>
      <c r="N44" s="2438"/>
      <c r="O44" s="2438"/>
      <c r="P44" s="3430"/>
      <c r="Q44" s="530">
        <f t="shared" si="11"/>
        <v>111</v>
      </c>
      <c r="R44" s="664" t="s">
        <v>18</v>
      </c>
      <c r="S44" s="665">
        <f t="shared" si="12"/>
        <v>100</v>
      </c>
      <c r="T44" s="664" t="s">
        <v>18</v>
      </c>
      <c r="U44" s="665">
        <f t="shared" si="13"/>
        <v>100</v>
      </c>
      <c r="V44" s="664" t="s">
        <v>18</v>
      </c>
      <c r="W44" s="665">
        <f t="shared" si="14"/>
        <v>100</v>
      </c>
      <c r="X44" s="666"/>
      <c r="Y44" s="3432"/>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1"/>
      <c r="M45" s="2486"/>
      <c r="N45" s="2486"/>
      <c r="O45" s="2486"/>
      <c r="P45" s="3430"/>
      <c r="Q45" s="1263">
        <f t="shared" si="11"/>
        <v>111</v>
      </c>
      <c r="R45" s="667" t="s">
        <v>18</v>
      </c>
      <c r="S45" s="668">
        <f t="shared" si="12"/>
        <v>100</v>
      </c>
      <c r="T45" s="667" t="s">
        <v>18</v>
      </c>
      <c r="U45" s="668">
        <f t="shared" si="13"/>
        <v>100</v>
      </c>
      <c r="V45" s="667" t="s">
        <v>18</v>
      </c>
      <c r="W45" s="668">
        <f t="shared" si="14"/>
        <v>100</v>
      </c>
      <c r="X45" s="1265"/>
      <c r="Y45" s="3432"/>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1"/>
      <c r="M46" s="2486"/>
      <c r="N46" s="2486"/>
      <c r="O46" s="2486"/>
      <c r="P46" s="3431"/>
      <c r="Q46" s="1263">
        <f t="shared" si="11"/>
        <v>111</v>
      </c>
      <c r="R46" s="667" t="s">
        <v>17</v>
      </c>
      <c r="S46" s="668">
        <f t="shared" si="12"/>
        <v>100</v>
      </c>
      <c r="T46" s="667" t="s">
        <v>17</v>
      </c>
      <c r="U46" s="668">
        <f t="shared" si="13"/>
        <v>100</v>
      </c>
      <c r="V46" s="667" t="s">
        <v>17</v>
      </c>
      <c r="W46" s="668">
        <f t="shared" si="14"/>
        <v>100</v>
      </c>
      <c r="X46" s="1265"/>
      <c r="Y46" s="3433"/>
      <c r="Z46" s="1264">
        <f t="shared" si="18"/>
        <v>111</v>
      </c>
      <c r="AA46" s="1264">
        <f t="shared" si="15"/>
        <v>1</v>
      </c>
      <c r="AB46" s="1264">
        <f t="shared" si="16"/>
        <v>1</v>
      </c>
      <c r="AC46" s="1264">
        <f t="shared" si="17"/>
        <v>1</v>
      </c>
    </row>
    <row r="47" spans="1:29" ht="15">
      <c r="A47" s="416" t="s">
        <v>1692</v>
      </c>
      <c r="B47" s="417"/>
      <c r="C47" s="1081" t="s">
        <v>16</v>
      </c>
      <c r="D47" s="418"/>
      <c r="E47" s="419"/>
      <c r="F47" s="420"/>
      <c r="G47" s="421"/>
      <c r="H47" s="422"/>
      <c r="I47" s="419"/>
      <c r="J47" s="422"/>
      <c r="K47" s="1767"/>
      <c r="L47" s="2493"/>
      <c r="M47" s="2486"/>
      <c r="N47" s="2486"/>
      <c r="O47" s="2486"/>
      <c r="P47" s="3425" t="str">
        <f>A47</f>
        <v>成交单价（元/平方米）</v>
      </c>
      <c r="Q47" s="3425"/>
      <c r="R47" s="3426">
        <f>E47</f>
        <v>0</v>
      </c>
      <c r="S47" s="3426"/>
      <c r="T47" s="3426">
        <f>G47</f>
        <v>0</v>
      </c>
      <c r="U47" s="3426"/>
      <c r="V47" s="3426">
        <f>I47</f>
        <v>0</v>
      </c>
      <c r="W47" s="3426"/>
      <c r="X47" s="385"/>
      <c r="Y47" s="673"/>
      <c r="Z47" s="385"/>
      <c r="AA47" s="385"/>
      <c r="AB47" s="385"/>
      <c r="AC47" s="385"/>
    </row>
    <row r="48" spans="1:29" ht="15.75" thickBot="1">
      <c r="A48" s="423" t="s">
        <v>1693</v>
      </c>
      <c r="B48" s="424"/>
      <c r="C48" s="1082" t="e">
        <f>R49</f>
        <v>#DIV/0!</v>
      </c>
      <c r="D48" s="2141" t="s">
        <v>2122</v>
      </c>
      <c r="E48" s="1083" t="e">
        <f>R48</f>
        <v>#DIV/0!</v>
      </c>
      <c r="F48" s="2142"/>
      <c r="G48" s="1082" t="e">
        <f>T48</f>
        <v>#DIV/0!</v>
      </c>
      <c r="H48" s="2142"/>
      <c r="I48" s="1083" t="e">
        <f>V48</f>
        <v>#DIV/0!</v>
      </c>
      <c r="J48" s="2142"/>
      <c r="K48" s="2143">
        <f>F48+H48+J48</f>
        <v>0</v>
      </c>
      <c r="L48" s="2493"/>
      <c r="M48" s="2486"/>
      <c r="N48" s="2486"/>
      <c r="O48" s="2486"/>
      <c r="P48" s="3425" t="str">
        <f>A48</f>
        <v>比较价值（元/平方米）</v>
      </c>
      <c r="Q48" s="3425"/>
      <c r="R48" s="3426" t="e">
        <f>IF(F1="售价",ROUND(PRODUCT(R47,AA7:AA46),0),ROUND(PRODUCT(R47,AA7:AA46),1))</f>
        <v>#DIV/0!</v>
      </c>
      <c r="S48" s="3426"/>
      <c r="T48" s="3426" t="e">
        <f>IF(F1="售价",ROUND(PRODUCT(T47,AB7:AB46),0),ROUND(PRODUCT(T47,AB7:AB46),1))</f>
        <v>#DIV/0!</v>
      </c>
      <c r="U48" s="3426"/>
      <c r="V48" s="3426" t="e">
        <f>IF(F1="售价",ROUND(PRODUCT(V47,AC7:AC46),0),ROUND(PRODUCT(V47,AC7:AC46),1))</f>
        <v>#DIV/0!</v>
      </c>
      <c r="W48" s="3426"/>
      <c r="X48" s="385"/>
      <c r="Y48" s="385"/>
      <c r="Z48" s="385"/>
      <c r="AA48" s="385"/>
      <c r="AB48" s="385"/>
      <c r="AC48" s="385"/>
    </row>
    <row r="49" spans="1:29" ht="15.75" thickBot="1">
      <c r="A49" s="427" t="s">
        <v>1694</v>
      </c>
      <c r="B49" s="428"/>
      <c r="C49" s="1084" t="e">
        <f>R49</f>
        <v>#DIV/0!</v>
      </c>
      <c r="D49" s="351"/>
      <c r="E49" s="351"/>
      <c r="F49" s="351"/>
      <c r="G49" s="351"/>
      <c r="H49" s="351"/>
      <c r="I49" s="351"/>
      <c r="J49" s="351"/>
      <c r="K49" s="1768"/>
      <c r="L49" s="2493"/>
      <c r="M49" s="2486"/>
      <c r="N49" s="2486"/>
      <c r="O49" s="2486"/>
      <c r="P49" s="3422" t="str">
        <f>A49</f>
        <v>估价对象XX用房的比较价值（楼面单价，元/平方米）</v>
      </c>
      <c r="Q49" s="3423"/>
      <c r="R49" s="3424" t="e">
        <f>IF(F1="售价",ROUND(IF(D48="简单平均",AVERAGE(R48:V48),R48*F48+T48*H48+V48*J48),0),ROUND(IF(D48="简单平均",AVERAGE(R48:V48),R48*F48+T48*H48+V48*J48),1))</f>
        <v>#DIV/0!</v>
      </c>
      <c r="S49" s="3424"/>
      <c r="T49" s="3424"/>
      <c r="U49" s="3424"/>
      <c r="V49" s="3424"/>
      <c r="W49" s="3424"/>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1695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1696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1697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70"/>
    </row>
    <row r="55" spans="1:29" s="437" customFormat="1">
      <c r="A55" s="2496"/>
      <c r="B55" s="2499"/>
      <c r="C55" s="2500"/>
      <c r="D55" s="2496"/>
      <c r="E55" s="2496"/>
      <c r="F55" s="2496"/>
      <c r="G55" s="2496"/>
      <c r="H55" s="2496"/>
      <c r="I55" s="2496"/>
      <c r="J55" s="2496"/>
      <c r="K55" s="2501"/>
      <c r="L55" s="2495"/>
      <c r="M55" s="2496"/>
      <c r="N55" s="2496"/>
      <c r="O55" s="2496"/>
      <c r="P55" s="1770"/>
    </row>
    <row r="56" spans="1:29">
      <c r="A56" s="2486"/>
      <c r="B56" s="2499"/>
      <c r="C56" s="2500"/>
      <c r="D56" s="2486"/>
      <c r="E56" s="2486"/>
      <c r="F56" s="2486"/>
      <c r="G56" s="2486"/>
      <c r="H56" s="2486"/>
      <c r="I56" s="2486"/>
      <c r="J56" s="2486"/>
      <c r="K56" s="2498"/>
      <c r="L56" s="2494"/>
      <c r="M56" s="2486"/>
      <c r="N56" s="2486"/>
      <c r="O56" s="2486"/>
    </row>
    <row r="57" spans="1:29" ht="21.75" thickBot="1">
      <c r="A57" s="658" t="s">
        <v>1698</v>
      </c>
      <c r="B57" s="385"/>
      <c r="C57" s="659"/>
      <c r="D57" s="659"/>
      <c r="E57" s="659"/>
      <c r="F57" s="660"/>
      <c r="G57" s="660"/>
      <c r="H57" s="659"/>
      <c r="I57" s="659"/>
      <c r="J57" s="659"/>
      <c r="K57" s="887"/>
      <c r="L57" s="888"/>
      <c r="M57" s="886"/>
      <c r="N57" s="886"/>
      <c r="O57" s="886"/>
      <c r="P57" s="1771"/>
      <c r="Q57" s="439"/>
    </row>
    <row r="58" spans="1:29" s="442" customFormat="1" ht="15">
      <c r="A58" s="440" t="s">
        <v>1699</v>
      </c>
      <c r="B58" s="441"/>
      <c r="C58" s="1105" t="str">
        <f>YEAR(C7)&amp;"-"&amp;MONTH(C7)</f>
        <v>2025-1</v>
      </c>
      <c r="D58" s="1104">
        <f>EDATE(C58,-1)</f>
        <v>45627</v>
      </c>
      <c r="E58" s="1104">
        <f>EDATE(D58,-1)</f>
        <v>45597</v>
      </c>
      <c r="F58" s="1104">
        <f t="shared" ref="F58:O58" si="19">EDATE(E58,-1)</f>
        <v>45566</v>
      </c>
      <c r="G58" s="1104">
        <f t="shared" si="19"/>
        <v>45536</v>
      </c>
      <c r="H58" s="1104">
        <f t="shared" si="19"/>
        <v>45505</v>
      </c>
      <c r="I58" s="1104">
        <f t="shared" si="19"/>
        <v>45474</v>
      </c>
      <c r="J58" s="1104">
        <f t="shared" si="19"/>
        <v>45444</v>
      </c>
      <c r="K58" s="1104">
        <f t="shared" si="19"/>
        <v>45413</v>
      </c>
      <c r="L58" s="1104">
        <f t="shared" si="19"/>
        <v>45383</v>
      </c>
      <c r="M58" s="1104">
        <f t="shared" si="19"/>
        <v>45352</v>
      </c>
      <c r="N58" s="1104">
        <f t="shared" si="19"/>
        <v>45323</v>
      </c>
      <c r="O58" s="1104">
        <f t="shared" si="19"/>
        <v>45292</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1700</v>
      </c>
      <c r="B60" s="450"/>
      <c r="C60" s="451"/>
      <c r="D60" s="452"/>
      <c r="E60" s="452"/>
      <c r="F60" s="452"/>
      <c r="G60" s="452"/>
      <c r="H60" s="452"/>
      <c r="I60" s="452"/>
      <c r="J60" s="452"/>
      <c r="K60" s="452"/>
      <c r="L60" s="452"/>
      <c r="M60" s="453"/>
      <c r="N60" s="452"/>
      <c r="O60" s="453"/>
      <c r="P60" s="1773"/>
      <c r="Q60" s="439"/>
    </row>
    <row r="61" spans="1:29" s="102" customFormat="1" ht="15">
      <c r="A61" s="455" t="s">
        <v>1701</v>
      </c>
      <c r="B61" s="444"/>
      <c r="C61" s="456" t="s">
        <v>1702</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1703</v>
      </c>
      <c r="B63" s="460" t="s">
        <v>1669</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1672</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1673</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1674</v>
      </c>
      <c r="B76" s="460" t="s">
        <v>1704</v>
      </c>
      <c r="C76" s="504" t="s">
        <v>1705</v>
      </c>
      <c r="D76" s="504" t="s">
        <v>1706</v>
      </c>
      <c r="E76" s="504" t="s">
        <v>1707</v>
      </c>
      <c r="F76" s="504" t="s">
        <v>1708</v>
      </c>
      <c r="G76" s="504" t="s">
        <v>1709</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1710</v>
      </c>
      <c r="C78" s="509" t="s">
        <v>1705</v>
      </c>
      <c r="D78" s="509" t="s">
        <v>1706</v>
      </c>
      <c r="E78" s="509" t="s">
        <v>1707</v>
      </c>
      <c r="F78" s="509" t="s">
        <v>1708</v>
      </c>
      <c r="G78" s="509" t="s">
        <v>1709</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1711</v>
      </c>
      <c r="C80" s="509" t="s">
        <v>1705</v>
      </c>
      <c r="D80" s="509" t="s">
        <v>1706</v>
      </c>
      <c r="E80" s="509" t="s">
        <v>1707</v>
      </c>
      <c r="F80" s="509" t="s">
        <v>1708</v>
      </c>
      <c r="G80" s="509" t="s">
        <v>1709</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1244</v>
      </c>
      <c r="C82" s="470" t="s">
        <v>1712</v>
      </c>
      <c r="D82" s="470" t="s">
        <v>1713</v>
      </c>
      <c r="E82" s="470" t="s">
        <v>1714</v>
      </c>
      <c r="F82" s="470" t="s">
        <v>1715</v>
      </c>
      <c r="G82" s="470" t="s">
        <v>1716</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1717</v>
      </c>
      <c r="C84" s="509" t="s">
        <v>1705</v>
      </c>
      <c r="D84" s="509" t="s">
        <v>1706</v>
      </c>
      <c r="E84" s="509" t="s">
        <v>1707</v>
      </c>
      <c r="F84" s="509" t="s">
        <v>1708</v>
      </c>
      <c r="G84" s="509" t="s">
        <v>1709</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1718</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1719</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1678</v>
      </c>
      <c r="B100" s="460" t="s">
        <v>1720</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1721</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1722</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1723</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1724</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1174</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1725</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1726</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1727</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1689</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1728</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1729</v>
      </c>
      <c r="C124" s="509" t="s">
        <v>1705</v>
      </c>
      <c r="D124" s="509" t="s">
        <v>1706</v>
      </c>
      <c r="E124" s="509" t="s">
        <v>1707</v>
      </c>
      <c r="F124" s="509" t="s">
        <v>1708</v>
      </c>
      <c r="G124" s="509" t="s">
        <v>1709</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1730</v>
      </c>
    </row>
    <row r="137" spans="1:17" ht="15">
      <c r="B137" s="1782" t="s">
        <v>1731</v>
      </c>
      <c r="C137" s="1783"/>
      <c r="D137" s="1783"/>
      <c r="E137" s="1783"/>
      <c r="F137" s="1783"/>
      <c r="G137" s="1784"/>
      <c r="H137" s="1785"/>
      <c r="I137" s="1786" t="s">
        <v>1732</v>
      </c>
      <c r="J137" s="1783"/>
      <c r="K137" s="1787"/>
    </row>
    <row r="138" spans="1:17" ht="15">
      <c r="B138" s="1788"/>
      <c r="C138" s="129" t="s">
        <v>1733</v>
      </c>
      <c r="D138" s="129" t="s">
        <v>1734</v>
      </c>
      <c r="E138" s="1789" t="s">
        <v>1735</v>
      </c>
      <c r="F138" s="1790" t="s">
        <v>1736</v>
      </c>
      <c r="G138" s="129" t="s">
        <v>1734</v>
      </c>
      <c r="H138" s="130" t="s">
        <v>1735</v>
      </c>
      <c r="I138" s="1791"/>
      <c r="J138" s="129" t="s">
        <v>1737</v>
      </c>
      <c r="K138" s="130" t="s">
        <v>1738</v>
      </c>
    </row>
    <row r="139" spans="1:17" ht="15">
      <c r="B139" s="814">
        <v>6</v>
      </c>
      <c r="C139" s="815">
        <v>96</v>
      </c>
      <c r="D139" s="1792" t="s">
        <v>1739</v>
      </c>
      <c r="E139" s="816">
        <v>100</v>
      </c>
      <c r="F139" s="817">
        <v>102.5</v>
      </c>
      <c r="G139" s="1792" t="s">
        <v>1739</v>
      </c>
      <c r="H139" s="818">
        <v>105</v>
      </c>
      <c r="I139" s="1793" t="s">
        <v>1740</v>
      </c>
      <c r="J139" s="815">
        <v>20</v>
      </c>
      <c r="K139" s="819">
        <f>C145/(J139-2)</f>
        <v>4.0555555555555553E-3</v>
      </c>
    </row>
    <row r="140" spans="1:17" ht="15">
      <c r="B140" s="820">
        <v>5</v>
      </c>
      <c r="C140" s="821">
        <v>100</v>
      </c>
      <c r="D140" s="821"/>
      <c r="E140" s="822"/>
      <c r="F140" s="823">
        <v>102</v>
      </c>
      <c r="G140" s="821"/>
      <c r="H140" s="824"/>
      <c r="I140" s="1794" t="s">
        <v>1741</v>
      </c>
      <c r="J140" s="263">
        <f>ROUNDUP((J139-1)/2,0)</f>
        <v>10</v>
      </c>
      <c r="K140" s="825">
        <v>100</v>
      </c>
    </row>
    <row r="141" spans="1:17" ht="15">
      <c r="B141" s="820">
        <v>4</v>
      </c>
      <c r="C141" s="821">
        <v>102</v>
      </c>
      <c r="D141" s="821"/>
      <c r="E141" s="822"/>
      <c r="F141" s="823">
        <v>101.5</v>
      </c>
      <c r="G141" s="821"/>
      <c r="H141" s="824"/>
      <c r="I141" s="1794" t="s">
        <v>1742</v>
      </c>
      <c r="J141" s="263">
        <v>1</v>
      </c>
      <c r="K141" s="826">
        <f>ROUND(100+(J141-J140)*K139*100,1)</f>
        <v>96.4</v>
      </c>
    </row>
    <row r="142" spans="1:17" ht="15">
      <c r="B142" s="820">
        <v>3</v>
      </c>
      <c r="C142" s="821">
        <v>103</v>
      </c>
      <c r="D142" s="821"/>
      <c r="E142" s="822"/>
      <c r="F142" s="823">
        <v>101</v>
      </c>
      <c r="G142" s="821"/>
      <c r="H142" s="824"/>
      <c r="I142" s="1794" t="s">
        <v>1743</v>
      </c>
      <c r="J142" s="263">
        <f>J139</f>
        <v>20</v>
      </c>
      <c r="K142" s="827">
        <v>95</v>
      </c>
    </row>
    <row r="143" spans="1:17" ht="15">
      <c r="B143" s="820">
        <v>2</v>
      </c>
      <c r="C143" s="821">
        <v>100</v>
      </c>
      <c r="D143" s="821"/>
      <c r="E143" s="822"/>
      <c r="F143" s="823">
        <v>100.5</v>
      </c>
      <c r="G143" s="821"/>
      <c r="H143" s="824"/>
      <c r="I143" s="1794" t="s">
        <v>1744</v>
      </c>
      <c r="J143" s="821">
        <v>15</v>
      </c>
      <c r="K143" s="826">
        <f>ROUND(100+(J143-J140)*K139*100,1)</f>
        <v>102</v>
      </c>
    </row>
    <row r="144" spans="1:17" ht="15">
      <c r="B144" s="820">
        <v>1</v>
      </c>
      <c r="C144" s="821">
        <v>98</v>
      </c>
      <c r="D144" s="1795" t="s">
        <v>1745</v>
      </c>
      <c r="E144" s="822">
        <v>102</v>
      </c>
      <c r="F144" s="828">
        <v>100</v>
      </c>
      <c r="G144" s="1795" t="s">
        <v>1745</v>
      </c>
      <c r="H144" s="824">
        <v>105</v>
      </c>
      <c r="I144" s="1794" t="s">
        <v>1744</v>
      </c>
      <c r="J144" s="821">
        <v>18</v>
      </c>
      <c r="K144" s="826">
        <f>ROUND(100+(J144-J140)*K139*100,1)</f>
        <v>103.2</v>
      </c>
    </row>
    <row r="145" spans="2:11" ht="15.75" thickBot="1">
      <c r="B145" s="1796" t="s">
        <v>1746</v>
      </c>
      <c r="C145" s="829">
        <f>ROUND(MAX(C139:C144)/MIN(C139:C144)-1,3)</f>
        <v>7.2999999999999995E-2</v>
      </c>
      <c r="D145" s="830"/>
      <c r="E145" s="830"/>
      <c r="F145" s="1797" t="s">
        <v>1747</v>
      </c>
      <c r="G145" s="1798"/>
      <c r="H145" s="1799"/>
      <c r="I145" s="1800" t="s">
        <v>1744</v>
      </c>
      <c r="J145" s="831">
        <v>8</v>
      </c>
      <c r="K145" s="832">
        <f>ROUND(100+(J145-J140)*K139*100,1)</f>
        <v>99.2</v>
      </c>
    </row>
    <row r="147" spans="2:11">
      <c r="B147" s="1781" t="s">
        <v>1748</v>
      </c>
    </row>
    <row r="148" spans="2:11">
      <c r="B148" s="1781" t="s">
        <v>1749</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1644</v>
      </c>
      <c r="B1" s="1734" t="s">
        <v>1750</v>
      </c>
      <c r="C1" s="1155" t="s">
        <v>1646</v>
      </c>
      <c r="D1" s="1142"/>
      <c r="E1" s="3123"/>
      <c r="F1" s="1735"/>
      <c r="G1" s="1152" t="s">
        <v>1751</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1446</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1447</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1448</v>
      </c>
      <c r="B3" s="536">
        <f>IF(C2="——",C49,ROUND(B2*10000/D3,0))</f>
        <v>0</v>
      </c>
      <c r="C3" s="344" t="s">
        <v>1752</v>
      </c>
      <c r="D3" s="343">
        <f>IF(D1="",'数据-汇总表'!E3,SUMIF('数据-汇总表'!$C19:$C33,D1,'数据-汇总表'!$E19:$E33))</f>
        <v>66988.94</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5">
      <c r="A4" s="345" t="s">
        <v>1753</v>
      </c>
      <c r="B4" s="346"/>
      <c r="C4" s="3440" t="s">
        <v>1754</v>
      </c>
      <c r="D4" s="3441"/>
      <c r="E4" s="3442" t="s">
        <v>1755</v>
      </c>
      <c r="F4" s="3443"/>
      <c r="G4" s="3440" t="s">
        <v>1756</v>
      </c>
      <c r="H4" s="3441"/>
      <c r="I4" s="3440" t="s">
        <v>1757</v>
      </c>
      <c r="J4" s="3441"/>
      <c r="K4" s="537" t="s">
        <v>1758</v>
      </c>
      <c r="L4" s="2485"/>
      <c r="M4" s="2486"/>
      <c r="N4" s="2486"/>
      <c r="O4" s="2486"/>
      <c r="P4" s="3444" t="s">
        <v>1759</v>
      </c>
      <c r="Q4" s="3445"/>
      <c r="R4" s="3450" t="s">
        <v>1755</v>
      </c>
      <c r="S4" s="3451"/>
      <c r="T4" s="3450" t="s">
        <v>1756</v>
      </c>
      <c r="U4" s="3451"/>
      <c r="V4" s="3426" t="s">
        <v>1757</v>
      </c>
      <c r="W4" s="3426"/>
      <c r="X4" s="1265"/>
      <c r="Y4" s="3450" t="s">
        <v>1759</v>
      </c>
      <c r="Z4" s="3451"/>
      <c r="AA4" s="3437" t="s">
        <v>1755</v>
      </c>
      <c r="AB4" s="3426" t="s">
        <v>1756</v>
      </c>
      <c r="AC4" s="3437" t="s">
        <v>1757</v>
      </c>
    </row>
    <row r="5" spans="1:29" ht="15">
      <c r="A5" s="348"/>
      <c r="B5" s="349"/>
      <c r="C5" s="3458" t="s">
        <v>1657</v>
      </c>
      <c r="D5" s="3459"/>
      <c r="E5" s="3465" t="s">
        <v>1658</v>
      </c>
      <c r="F5" s="3466"/>
      <c r="G5" s="3458" t="s">
        <v>1659</v>
      </c>
      <c r="H5" s="3459"/>
      <c r="I5" s="3458" t="s">
        <v>1660</v>
      </c>
      <c r="J5" s="3459"/>
      <c r="K5" s="537"/>
      <c r="L5" s="2485"/>
      <c r="M5" s="2486"/>
      <c r="N5" s="2486"/>
      <c r="O5" s="2486"/>
      <c r="P5" s="3446"/>
      <c r="Q5" s="3447"/>
      <c r="R5" s="3452"/>
      <c r="S5" s="3453"/>
      <c r="T5" s="3452"/>
      <c r="U5" s="3453"/>
      <c r="V5" s="3426"/>
      <c r="W5" s="3426"/>
      <c r="X5" s="1265"/>
      <c r="Y5" s="3452"/>
      <c r="Z5" s="3453"/>
      <c r="AA5" s="3438"/>
      <c r="AB5" s="3426"/>
      <c r="AC5" s="3438"/>
    </row>
    <row r="6" spans="1:29" ht="15.75" thickBot="1">
      <c r="A6" s="350"/>
      <c r="B6" s="351"/>
      <c r="C6" s="3456" t="s">
        <v>1661</v>
      </c>
      <c r="D6" s="3457"/>
      <c r="E6" s="3463" t="s">
        <v>1661</v>
      </c>
      <c r="F6" s="3464"/>
      <c r="G6" s="3456" t="s">
        <v>1661</v>
      </c>
      <c r="H6" s="3457"/>
      <c r="I6" s="3456" t="s">
        <v>1661</v>
      </c>
      <c r="J6" s="3457"/>
      <c r="K6" s="537" t="s">
        <v>1662</v>
      </c>
      <c r="L6" s="2485"/>
      <c r="M6" s="2486"/>
      <c r="N6" s="2486"/>
      <c r="O6" s="2486"/>
      <c r="P6" s="3448"/>
      <c r="Q6" s="3449"/>
      <c r="R6" s="3452"/>
      <c r="S6" s="3453"/>
      <c r="T6" s="3454"/>
      <c r="U6" s="3455"/>
      <c r="V6" s="3426"/>
      <c r="W6" s="3426"/>
      <c r="X6" s="1265"/>
      <c r="Y6" s="3454"/>
      <c r="Z6" s="3455"/>
      <c r="AA6" s="3439"/>
      <c r="AB6" s="3426"/>
      <c r="AC6" s="3439"/>
    </row>
    <row r="7" spans="1:29" s="102" customFormat="1" ht="15.75" thickBot="1">
      <c r="A7" s="352" t="s">
        <v>1663</v>
      </c>
      <c r="B7" s="353"/>
      <c r="C7" s="354">
        <f>'数据-取费表'!B2</f>
        <v>45677</v>
      </c>
      <c r="D7" s="355">
        <v>100</v>
      </c>
      <c r="E7" s="356"/>
      <c r="F7" s="357">
        <f>SUMIF(58:58,YEAR(E7)&amp;"-"&amp;MONTH(E7),59:59)</f>
        <v>0</v>
      </c>
      <c r="G7" s="356"/>
      <c r="H7" s="355">
        <f>SUMIF(58:58,YEAR(G7)&amp;"-"&amp;MONTH(G7),59:59)</f>
        <v>0</v>
      </c>
      <c r="I7" s="356"/>
      <c r="J7" s="355">
        <f>SUMIF(58:58,YEAR(I7)&amp;"-"&amp;MONTH(I7),59:59)</f>
        <v>0</v>
      </c>
      <c r="K7" s="38"/>
      <c r="L7" s="2487"/>
      <c r="M7" s="2438"/>
      <c r="N7" s="2438"/>
      <c r="O7" s="2438"/>
      <c r="P7" s="3460" t="s">
        <v>1664</v>
      </c>
      <c r="Q7" s="3462"/>
      <c r="R7" s="664" t="s">
        <v>14</v>
      </c>
      <c r="S7" s="665">
        <f t="shared" ref="S7:S15" si="0">F7</f>
        <v>0</v>
      </c>
      <c r="T7" s="664" t="s">
        <v>14</v>
      </c>
      <c r="U7" s="665">
        <f t="shared" ref="U7:U15" si="1">H7</f>
        <v>0</v>
      </c>
      <c r="V7" s="664" t="s">
        <v>14</v>
      </c>
      <c r="W7" s="665">
        <f t="shared" ref="W7:W15" si="2">J7</f>
        <v>0</v>
      </c>
      <c r="X7" s="666"/>
      <c r="Y7" s="3460" t="s">
        <v>1664</v>
      </c>
      <c r="Z7" s="3461"/>
      <c r="AA7" s="50" t="e">
        <f>D7/F7</f>
        <v>#DIV/0!</v>
      </c>
      <c r="AB7" s="50" t="e">
        <f>D7/H7</f>
        <v>#DIV/0!</v>
      </c>
      <c r="AC7" s="50" t="e">
        <f>D7/J7</f>
        <v>#DIV/0!</v>
      </c>
    </row>
    <row r="8" spans="1:29" s="102" customFormat="1" ht="15.75" thickBot="1">
      <c r="A8" s="352" t="s">
        <v>1665</v>
      </c>
      <c r="B8" s="353"/>
      <c r="C8" s="358"/>
      <c r="D8" s="355">
        <v>100</v>
      </c>
      <c r="E8" s="358"/>
      <c r="F8" s="357">
        <f>SUMIF(61:61,E8,62:62)-SUMIF(61:61,C8,62:62)+100</f>
        <v>100</v>
      </c>
      <c r="G8" s="358"/>
      <c r="H8" s="355">
        <f>SUMIF(61:61,G8,62:62)-SUMIF(61:61,C8,62:62)+100</f>
        <v>100</v>
      </c>
      <c r="I8" s="358"/>
      <c r="J8" s="355">
        <f>SUMIF(61:61,I8,62:62)-SUMIF(61:61,C8,62:62)+100</f>
        <v>100</v>
      </c>
      <c r="K8" s="38"/>
      <c r="L8" s="2487"/>
      <c r="M8" s="2438"/>
      <c r="N8" s="2438"/>
      <c r="O8" s="2438"/>
      <c r="P8" s="3460" t="s">
        <v>1667</v>
      </c>
      <c r="Q8" s="3461"/>
      <c r="R8" s="664" t="s">
        <v>14</v>
      </c>
      <c r="S8" s="665">
        <f t="shared" si="0"/>
        <v>100</v>
      </c>
      <c r="T8" s="664" t="s">
        <v>14</v>
      </c>
      <c r="U8" s="665">
        <f t="shared" si="1"/>
        <v>100</v>
      </c>
      <c r="V8" s="664" t="s">
        <v>14</v>
      </c>
      <c r="W8" s="665">
        <f t="shared" si="2"/>
        <v>100</v>
      </c>
      <c r="X8" s="666"/>
      <c r="Y8" s="3460" t="s">
        <v>1667</v>
      </c>
      <c r="Z8" s="3461"/>
      <c r="AA8" s="50">
        <f t="shared" ref="AA8:AA46" si="3">D8/F8</f>
        <v>1</v>
      </c>
      <c r="AB8" s="50">
        <f t="shared" ref="AB8:AB46" si="4">D8/H8</f>
        <v>1</v>
      </c>
      <c r="AC8" s="50">
        <f t="shared" ref="AC8:AC46" si="5">D8/J8</f>
        <v>1</v>
      </c>
    </row>
    <row r="9" spans="1:29" s="102" customFormat="1">
      <c r="A9" s="359" t="s">
        <v>1668</v>
      </c>
      <c r="B9" s="60" t="s">
        <v>1669</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436" t="s">
        <v>1670</v>
      </c>
      <c r="Q9" s="530" t="str">
        <f t="shared" ref="Q9:Q15" si="6">B9</f>
        <v>用途</v>
      </c>
      <c r="R9" s="664" t="s">
        <v>14</v>
      </c>
      <c r="S9" s="665">
        <f t="shared" si="0"/>
        <v>100</v>
      </c>
      <c r="T9" s="664" t="s">
        <v>14</v>
      </c>
      <c r="U9" s="665">
        <f t="shared" si="1"/>
        <v>100</v>
      </c>
      <c r="V9" s="664" t="s">
        <v>14</v>
      </c>
      <c r="W9" s="665">
        <f t="shared" si="2"/>
        <v>100</v>
      </c>
      <c r="X9" s="666"/>
      <c r="Y9" s="3300" t="s">
        <v>1671</v>
      </c>
      <c r="Z9" s="50" t="str">
        <f t="shared" ref="Z9:Z15" si="7">Q9</f>
        <v>用途</v>
      </c>
      <c r="AA9" s="50">
        <f t="shared" si="3"/>
        <v>1</v>
      </c>
      <c r="AB9" s="50">
        <f t="shared" si="4"/>
        <v>1</v>
      </c>
      <c r="AC9" s="50">
        <f t="shared" si="5"/>
        <v>1</v>
      </c>
    </row>
    <row r="10" spans="1:29" s="366" customFormat="1" ht="27">
      <c r="A10" s="363"/>
      <c r="B10" s="364" t="s">
        <v>1672</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436"/>
      <c r="Q10" s="530" t="str">
        <f t="shared" si="6"/>
        <v>土地使用年限（年）</v>
      </c>
      <c r="R10" s="664" t="s">
        <v>14</v>
      </c>
      <c r="S10" s="665">
        <f t="shared" si="0"/>
        <v>100</v>
      </c>
      <c r="T10" s="664" t="s">
        <v>14</v>
      </c>
      <c r="U10" s="665">
        <f t="shared" si="1"/>
        <v>100</v>
      </c>
      <c r="V10" s="664" t="s">
        <v>14</v>
      </c>
      <c r="W10" s="665">
        <f t="shared" si="2"/>
        <v>100</v>
      </c>
      <c r="X10" s="666"/>
      <c r="Y10" s="3300"/>
      <c r="Z10" s="50" t="str">
        <f t="shared" si="7"/>
        <v>土地使用年限（年）</v>
      </c>
      <c r="AA10" s="50">
        <f t="shared" si="3"/>
        <v>1</v>
      </c>
      <c r="AB10" s="50">
        <f t="shared" si="4"/>
        <v>1</v>
      </c>
      <c r="AC10" s="50">
        <f t="shared" si="5"/>
        <v>1</v>
      </c>
    </row>
    <row r="11" spans="1:29" ht="15">
      <c r="A11" s="367"/>
      <c r="B11" s="364" t="s">
        <v>1673</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436"/>
      <c r="Q11" s="530" t="str">
        <f t="shared" si="6"/>
        <v>容积率</v>
      </c>
      <c r="R11" s="664" t="s">
        <v>14</v>
      </c>
      <c r="S11" s="665" t="e">
        <f t="shared" si="0"/>
        <v>#N/A</v>
      </c>
      <c r="T11" s="664" t="s">
        <v>14</v>
      </c>
      <c r="U11" s="665" t="e">
        <f t="shared" si="1"/>
        <v>#N/A</v>
      </c>
      <c r="V11" s="664" t="s">
        <v>14</v>
      </c>
      <c r="W11" s="665" t="e">
        <f t="shared" si="2"/>
        <v>#N/A</v>
      </c>
      <c r="X11" s="666"/>
      <c r="Y11" s="3300"/>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436"/>
      <c r="Q12" s="530">
        <f t="shared" si="6"/>
        <v>111</v>
      </c>
      <c r="R12" s="664" t="s">
        <v>14</v>
      </c>
      <c r="S12" s="665">
        <f t="shared" si="0"/>
        <v>100</v>
      </c>
      <c r="T12" s="664" t="s">
        <v>14</v>
      </c>
      <c r="U12" s="665">
        <f t="shared" si="1"/>
        <v>100</v>
      </c>
      <c r="V12" s="664" t="s">
        <v>14</v>
      </c>
      <c r="W12" s="665">
        <f t="shared" si="2"/>
        <v>100</v>
      </c>
      <c r="X12" s="666"/>
      <c r="Y12" s="330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436"/>
      <c r="Q13" s="530">
        <f t="shared" si="6"/>
        <v>111</v>
      </c>
      <c r="R13" s="664" t="s">
        <v>14</v>
      </c>
      <c r="S13" s="665">
        <f t="shared" si="0"/>
        <v>100</v>
      </c>
      <c r="T13" s="664" t="s">
        <v>14</v>
      </c>
      <c r="U13" s="665">
        <f t="shared" si="1"/>
        <v>100</v>
      </c>
      <c r="V13" s="664" t="s">
        <v>14</v>
      </c>
      <c r="W13" s="665">
        <f t="shared" si="2"/>
        <v>100</v>
      </c>
      <c r="X13" s="666"/>
      <c r="Y13" s="3300"/>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436"/>
      <c r="Q14" s="530">
        <f t="shared" si="6"/>
        <v>111</v>
      </c>
      <c r="R14" s="664" t="s">
        <v>14</v>
      </c>
      <c r="S14" s="665">
        <f t="shared" si="0"/>
        <v>100</v>
      </c>
      <c r="T14" s="664" t="s">
        <v>14</v>
      </c>
      <c r="U14" s="665">
        <f t="shared" si="1"/>
        <v>100</v>
      </c>
      <c r="V14" s="664" t="s">
        <v>14</v>
      </c>
      <c r="W14" s="665">
        <f t="shared" si="2"/>
        <v>100</v>
      </c>
      <c r="X14" s="666"/>
      <c r="Y14" s="3300"/>
      <c r="Z14" s="50">
        <f t="shared" si="7"/>
        <v>111</v>
      </c>
      <c r="AA14" s="50">
        <f t="shared" si="3"/>
        <v>1</v>
      </c>
      <c r="AB14" s="50">
        <f t="shared" si="4"/>
        <v>1</v>
      </c>
      <c r="AC14" s="50">
        <f t="shared" si="5"/>
        <v>1</v>
      </c>
    </row>
    <row r="15" spans="1:29" ht="15">
      <c r="A15" s="379" t="s">
        <v>1674</v>
      </c>
      <c r="B15" s="58" t="s">
        <v>1761</v>
      </c>
      <c r="C15" s="1750">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434" t="s">
        <v>1675</v>
      </c>
      <c r="Q15" s="1263" t="str">
        <f t="shared" si="6"/>
        <v>商业繁华度</v>
      </c>
      <c r="R15" s="667" t="s">
        <v>14</v>
      </c>
      <c r="S15" s="668">
        <f t="shared" si="0"/>
        <v>100</v>
      </c>
      <c r="T15" s="667" t="s">
        <v>14</v>
      </c>
      <c r="U15" s="668">
        <f t="shared" si="1"/>
        <v>100</v>
      </c>
      <c r="V15" s="667" t="s">
        <v>14</v>
      </c>
      <c r="W15" s="668">
        <f t="shared" si="2"/>
        <v>100</v>
      </c>
      <c r="X15" s="1265"/>
      <c r="Y15" s="3427" t="s">
        <v>1675</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1"/>
      <c r="M16" s="2486"/>
      <c r="N16" s="2486"/>
      <c r="O16" s="2486"/>
      <c r="P16" s="3435"/>
      <c r="Q16" s="1263"/>
      <c r="R16" s="667"/>
      <c r="S16" s="668"/>
      <c r="T16" s="667"/>
      <c r="U16" s="668"/>
      <c r="V16" s="667"/>
      <c r="W16" s="668"/>
      <c r="X16" s="1265"/>
      <c r="Y16" s="3428"/>
      <c r="Z16" s="1264"/>
      <c r="AA16" s="1264">
        <v>1</v>
      </c>
      <c r="AB16" s="1264">
        <v>1</v>
      </c>
      <c r="AC16" s="1264">
        <v>1</v>
      </c>
    </row>
    <row r="17" spans="1:29" ht="15">
      <c r="A17" s="367"/>
      <c r="B17" s="390" t="s">
        <v>1243</v>
      </c>
      <c r="C17" s="1754">
        <f>估价对象房地状况!C6</f>
        <v>0</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435"/>
      <c r="Q17" s="1263" t="str">
        <f>B17</f>
        <v>交通便捷度</v>
      </c>
      <c r="R17" s="667" t="s">
        <v>14</v>
      </c>
      <c r="S17" s="668">
        <f>F17</f>
        <v>100</v>
      </c>
      <c r="T17" s="667" t="s">
        <v>14</v>
      </c>
      <c r="U17" s="668">
        <f>H17</f>
        <v>100</v>
      </c>
      <c r="V17" s="667" t="s">
        <v>14</v>
      </c>
      <c r="W17" s="668">
        <f>J17</f>
        <v>100</v>
      </c>
      <c r="X17" s="1265"/>
      <c r="Y17" s="3428"/>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1"/>
      <c r="M18" s="2486"/>
      <c r="N18" s="2486"/>
      <c r="O18" s="2486"/>
      <c r="P18" s="3435"/>
      <c r="Q18" s="1263"/>
      <c r="R18" s="667"/>
      <c r="S18" s="668"/>
      <c r="T18" s="667"/>
      <c r="U18" s="668"/>
      <c r="V18" s="667"/>
      <c r="W18" s="668"/>
      <c r="X18" s="1265"/>
      <c r="Y18" s="3428"/>
      <c r="Z18" s="1264"/>
      <c r="AA18" s="1264">
        <v>1</v>
      </c>
      <c r="AB18" s="1264">
        <v>1</v>
      </c>
      <c r="AC18" s="1264">
        <v>1</v>
      </c>
    </row>
    <row r="19" spans="1:29" ht="15">
      <c r="A19" s="367"/>
      <c r="B19" s="390" t="s">
        <v>1762</v>
      </c>
      <c r="C19" s="1754">
        <f>估价对象房地状况!C7</f>
        <v>0</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35"/>
      <c r="Q19" s="1263" t="str">
        <f>B19</f>
        <v>公共配套设施</v>
      </c>
      <c r="R19" s="667" t="s">
        <v>14</v>
      </c>
      <c r="S19" s="668">
        <f>F19</f>
        <v>100</v>
      </c>
      <c r="T19" s="667" t="s">
        <v>14</v>
      </c>
      <c r="U19" s="668">
        <f>H19</f>
        <v>100</v>
      </c>
      <c r="V19" s="667" t="s">
        <v>14</v>
      </c>
      <c r="W19" s="668">
        <f>J19</f>
        <v>100</v>
      </c>
      <c r="X19" s="1265"/>
      <c r="Y19" s="3428"/>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1"/>
      <c r="M20" s="2486"/>
      <c r="N20" s="2486"/>
      <c r="O20" s="2486"/>
      <c r="P20" s="3435"/>
      <c r="Q20" s="1263"/>
      <c r="R20" s="667"/>
      <c r="S20" s="668"/>
      <c r="T20" s="667"/>
      <c r="U20" s="668"/>
      <c r="V20" s="667"/>
      <c r="W20" s="668"/>
      <c r="X20" s="1265"/>
      <c r="Y20" s="3428"/>
      <c r="Z20" s="1264"/>
      <c r="AA20" s="1264">
        <v>1</v>
      </c>
      <c r="AB20" s="1264">
        <v>1</v>
      </c>
      <c r="AC20" s="1264">
        <v>1</v>
      </c>
    </row>
    <row r="21" spans="1:29" ht="15">
      <c r="A21" s="367"/>
      <c r="B21" s="586" t="s">
        <v>1763</v>
      </c>
      <c r="C21" s="1754">
        <f>估价对象房地状况!C8</f>
        <v>0</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35"/>
      <c r="Q21" s="1263" t="str">
        <f>B21</f>
        <v>基础设施水平</v>
      </c>
      <c r="R21" s="667" t="s">
        <v>14</v>
      </c>
      <c r="S21" s="668">
        <f>F21</f>
        <v>100</v>
      </c>
      <c r="T21" s="667" t="s">
        <v>14</v>
      </c>
      <c r="U21" s="668">
        <f>H21</f>
        <v>100</v>
      </c>
      <c r="V21" s="667" t="s">
        <v>14</v>
      </c>
      <c r="W21" s="668">
        <f>J21</f>
        <v>100</v>
      </c>
      <c r="X21" s="1265"/>
      <c r="Y21" s="3428"/>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1"/>
      <c r="M22" s="2486"/>
      <c r="N22" s="2486"/>
      <c r="O22" s="2486"/>
      <c r="P22" s="3435"/>
      <c r="Q22" s="1263"/>
      <c r="R22" s="667"/>
      <c r="S22" s="668"/>
      <c r="T22" s="667"/>
      <c r="U22" s="668"/>
      <c r="V22" s="667"/>
      <c r="W22" s="668"/>
      <c r="X22" s="1265"/>
      <c r="Y22" s="3428"/>
      <c r="Z22" s="1264"/>
      <c r="AA22" s="1264">
        <v>1</v>
      </c>
      <c r="AB22" s="1264">
        <v>1</v>
      </c>
      <c r="AC22" s="1264">
        <v>1</v>
      </c>
    </row>
    <row r="23" spans="1:29" ht="15">
      <c r="A23" s="367"/>
      <c r="B23" s="390" t="s">
        <v>1245</v>
      </c>
      <c r="C23" s="1806">
        <f>估价对象房地状况!C9</f>
        <v>0</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35"/>
      <c r="Q23" s="1263" t="str">
        <f>B23</f>
        <v>自然及人文环境</v>
      </c>
      <c r="R23" s="667" t="s">
        <v>14</v>
      </c>
      <c r="S23" s="668">
        <f>F23</f>
        <v>100</v>
      </c>
      <c r="T23" s="667" t="s">
        <v>14</v>
      </c>
      <c r="U23" s="668">
        <f>H23</f>
        <v>100</v>
      </c>
      <c r="V23" s="667" t="s">
        <v>14</v>
      </c>
      <c r="W23" s="668">
        <f>J23</f>
        <v>100</v>
      </c>
      <c r="X23" s="1265"/>
      <c r="Y23" s="3428"/>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1"/>
      <c r="M24" s="2486"/>
      <c r="N24" s="2486"/>
      <c r="O24" s="2486"/>
      <c r="P24" s="3435"/>
      <c r="Q24" s="1263"/>
      <c r="R24" s="667"/>
      <c r="S24" s="668"/>
      <c r="T24" s="667"/>
      <c r="U24" s="668"/>
      <c r="V24" s="667"/>
      <c r="W24" s="668"/>
      <c r="X24" s="1265"/>
      <c r="Y24" s="3428"/>
      <c r="Z24" s="1264"/>
      <c r="AA24" s="1264">
        <v>1</v>
      </c>
      <c r="AB24" s="1264">
        <v>1</v>
      </c>
      <c r="AC24" s="1264">
        <v>1</v>
      </c>
    </row>
    <row r="25" spans="1:29" ht="15">
      <c r="A25" s="367"/>
      <c r="B25" s="364" t="s">
        <v>1764</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435"/>
      <c r="Q25" s="1263" t="str">
        <f t="shared" ref="Q25:Q46" si="11">B25</f>
        <v>临街状况</v>
      </c>
      <c r="R25" s="667" t="s">
        <v>14</v>
      </c>
      <c r="S25" s="668">
        <f>F25</f>
        <v>100</v>
      </c>
      <c r="T25" s="667" t="s">
        <v>14</v>
      </c>
      <c r="U25" s="668">
        <f>H25</f>
        <v>100</v>
      </c>
      <c r="V25" s="667" t="s">
        <v>14</v>
      </c>
      <c r="W25" s="668">
        <f>J25</f>
        <v>100</v>
      </c>
      <c r="X25" s="1265"/>
      <c r="Y25" s="3428"/>
      <c r="Z25" s="1264" t="str">
        <f>Q25</f>
        <v>临街状况</v>
      </c>
      <c r="AA25" s="1264">
        <f t="shared" si="3"/>
        <v>1</v>
      </c>
      <c r="AB25" s="1264">
        <f t="shared" si="4"/>
        <v>1</v>
      </c>
      <c r="AC25" s="1264">
        <f t="shared" si="5"/>
        <v>1</v>
      </c>
    </row>
    <row r="26" spans="1:29" ht="15">
      <c r="A26" s="367"/>
      <c r="B26" s="1066" t="s">
        <v>1765</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35"/>
      <c r="Q26" s="1263" t="str">
        <f t="shared" si="11"/>
        <v>平面位置/可视性</v>
      </c>
      <c r="R26" s="667" t="s">
        <v>14</v>
      </c>
      <c r="S26" s="668">
        <f>F26</f>
        <v>100</v>
      </c>
      <c r="T26" s="667" t="s">
        <v>14</v>
      </c>
      <c r="U26" s="668">
        <f>H26</f>
        <v>100</v>
      </c>
      <c r="V26" s="667" t="s">
        <v>14</v>
      </c>
      <c r="W26" s="668">
        <f>J26</f>
        <v>100</v>
      </c>
      <c r="X26" s="1265"/>
      <c r="Y26" s="3428"/>
      <c r="Z26" s="1264" t="str">
        <f>Q26</f>
        <v>平面位置/可视性</v>
      </c>
      <c r="AA26" s="1264">
        <f t="shared" si="3"/>
        <v>1</v>
      </c>
      <c r="AB26" s="1264">
        <f t="shared" si="4"/>
        <v>1</v>
      </c>
      <c r="AC26" s="1264">
        <f t="shared" si="5"/>
        <v>1</v>
      </c>
    </row>
    <row r="27" spans="1:29" s="102" customFormat="1" ht="15">
      <c r="A27" s="370"/>
      <c r="B27" s="390" t="s">
        <v>1766</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8"/>
      <c r="N27" s="2438"/>
      <c r="O27" s="2438"/>
      <c r="P27" s="3435"/>
      <c r="Q27" s="530" t="str">
        <f t="shared" si="11"/>
        <v>人流量</v>
      </c>
      <c r="R27" s="664" t="s">
        <v>14</v>
      </c>
      <c r="S27" s="665">
        <f>F27</f>
        <v>100</v>
      </c>
      <c r="T27" s="664" t="s">
        <v>14</v>
      </c>
      <c r="U27" s="665">
        <f>H27</f>
        <v>100</v>
      </c>
      <c r="V27" s="664" t="s">
        <v>14</v>
      </c>
      <c r="W27" s="665">
        <f>J27</f>
        <v>100</v>
      </c>
      <c r="X27" s="666"/>
      <c r="Y27" s="3428"/>
      <c r="Z27" s="50" t="str">
        <f>Q27</f>
        <v>人流量</v>
      </c>
      <c r="AA27" s="1264">
        <f>D27/F27</f>
        <v>1</v>
      </c>
      <c r="AB27" s="1264">
        <f>D27/H27</f>
        <v>1</v>
      </c>
      <c r="AC27" s="1264">
        <f>D27/J27</f>
        <v>1</v>
      </c>
    </row>
    <row r="28" spans="1:29" ht="15">
      <c r="A28" s="367"/>
      <c r="B28" s="364" t="s">
        <v>1767</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435"/>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28"/>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435"/>
      <c r="Q29" s="1263">
        <f t="shared" si="11"/>
        <v>111</v>
      </c>
      <c r="R29" s="667" t="s">
        <v>14</v>
      </c>
      <c r="S29" s="668">
        <f t="shared" si="12"/>
        <v>100</v>
      </c>
      <c r="T29" s="667" t="s">
        <v>14</v>
      </c>
      <c r="U29" s="668">
        <f t="shared" si="13"/>
        <v>100</v>
      </c>
      <c r="V29" s="667" t="s">
        <v>14</v>
      </c>
      <c r="W29" s="668">
        <f t="shared" si="14"/>
        <v>100</v>
      </c>
      <c r="X29" s="1265"/>
      <c r="Y29" s="3428"/>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35"/>
      <c r="Q30" s="1263">
        <f t="shared" si="11"/>
        <v>111</v>
      </c>
      <c r="R30" s="667" t="s">
        <v>14</v>
      </c>
      <c r="S30" s="668">
        <f t="shared" si="12"/>
        <v>100</v>
      </c>
      <c r="T30" s="667" t="s">
        <v>14</v>
      </c>
      <c r="U30" s="668">
        <f t="shared" si="13"/>
        <v>100</v>
      </c>
      <c r="V30" s="667" t="s">
        <v>14</v>
      </c>
      <c r="W30" s="668">
        <f t="shared" si="14"/>
        <v>100</v>
      </c>
      <c r="X30" s="1265"/>
      <c r="Y30" s="3428"/>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35"/>
      <c r="Q31" s="1263">
        <f t="shared" si="11"/>
        <v>111</v>
      </c>
      <c r="R31" s="667" t="s">
        <v>14</v>
      </c>
      <c r="S31" s="668">
        <f t="shared" si="12"/>
        <v>100</v>
      </c>
      <c r="T31" s="667" t="s">
        <v>14</v>
      </c>
      <c r="U31" s="668">
        <f t="shared" si="13"/>
        <v>100</v>
      </c>
      <c r="V31" s="667" t="s">
        <v>14</v>
      </c>
      <c r="W31" s="668">
        <f t="shared" si="14"/>
        <v>100</v>
      </c>
      <c r="X31" s="1265"/>
      <c r="Y31" s="3428"/>
      <c r="Z31" s="1264">
        <f t="shared" si="15"/>
        <v>111</v>
      </c>
      <c r="AA31" s="1264">
        <f t="shared" si="3"/>
        <v>1</v>
      </c>
      <c r="AB31" s="1264">
        <f t="shared" si="4"/>
        <v>1</v>
      </c>
      <c r="AC31" s="1264">
        <f t="shared" si="5"/>
        <v>1</v>
      </c>
    </row>
    <row r="32" spans="1:29" ht="15">
      <c r="A32" s="379" t="s">
        <v>1678</v>
      </c>
      <c r="B32" s="60" t="s">
        <v>1768</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1"/>
      <c r="M32" s="2486"/>
      <c r="N32" s="2486"/>
      <c r="O32" s="2486"/>
      <c r="P32" s="3429" t="s">
        <v>1680</v>
      </c>
      <c r="Q32" s="1263" t="str">
        <f t="shared" si="11"/>
        <v>商业类型</v>
      </c>
      <c r="R32" s="667" t="s">
        <v>14</v>
      </c>
      <c r="S32" s="668">
        <f t="shared" si="12"/>
        <v>100</v>
      </c>
      <c r="T32" s="667" t="s">
        <v>14</v>
      </c>
      <c r="U32" s="668">
        <f t="shared" si="13"/>
        <v>100</v>
      </c>
      <c r="V32" s="667" t="s">
        <v>14</v>
      </c>
      <c r="W32" s="668">
        <f t="shared" si="14"/>
        <v>100</v>
      </c>
      <c r="X32" s="1265"/>
      <c r="Y32" s="3432" t="s">
        <v>1680</v>
      </c>
      <c r="Z32" s="1264" t="str">
        <f t="shared" si="15"/>
        <v>商业类型</v>
      </c>
      <c r="AA32" s="1264">
        <f t="shared" si="3"/>
        <v>1</v>
      </c>
      <c r="AB32" s="1264">
        <f t="shared" si="4"/>
        <v>1</v>
      </c>
      <c r="AC32" s="1264">
        <f t="shared" si="5"/>
        <v>1</v>
      </c>
    </row>
    <row r="33" spans="1:29" s="408" customFormat="1" ht="15">
      <c r="A33" s="406"/>
      <c r="B33" s="364" t="s">
        <v>1681</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430"/>
      <c r="Q33" s="531" t="str">
        <f t="shared" si="11"/>
        <v>项目建筑规模</v>
      </c>
      <c r="R33" s="669" t="s">
        <v>14</v>
      </c>
      <c r="S33" s="670" t="e">
        <f t="shared" si="12"/>
        <v>#N/A</v>
      </c>
      <c r="T33" s="669" t="s">
        <v>14</v>
      </c>
      <c r="U33" s="670" t="e">
        <f t="shared" si="13"/>
        <v>#N/A</v>
      </c>
      <c r="V33" s="669" t="s">
        <v>14</v>
      </c>
      <c r="W33" s="670" t="e">
        <f t="shared" si="14"/>
        <v>#N/A</v>
      </c>
      <c r="X33" s="671"/>
      <c r="Y33" s="3432"/>
      <c r="Z33" s="672" t="str">
        <f t="shared" si="15"/>
        <v>项目建筑规模</v>
      </c>
      <c r="AA33" s="1264" t="e">
        <f t="shared" si="3"/>
        <v>#N/A</v>
      </c>
      <c r="AB33" s="1264" t="e">
        <f t="shared" si="4"/>
        <v>#N/A</v>
      </c>
      <c r="AC33" s="1264" t="e">
        <f t="shared" si="5"/>
        <v>#N/A</v>
      </c>
    </row>
    <row r="34" spans="1:29" ht="15">
      <c r="A34" s="409"/>
      <c r="B34" s="364" t="s">
        <v>1682</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430"/>
      <c r="Q34" s="1263" t="str">
        <f t="shared" si="11"/>
        <v>建筑结构</v>
      </c>
      <c r="R34" s="667" t="s">
        <v>14</v>
      </c>
      <c r="S34" s="668">
        <f t="shared" si="12"/>
        <v>100</v>
      </c>
      <c r="T34" s="667" t="s">
        <v>14</v>
      </c>
      <c r="U34" s="668">
        <f t="shared" si="13"/>
        <v>100</v>
      </c>
      <c r="V34" s="667" t="s">
        <v>14</v>
      </c>
      <c r="W34" s="668">
        <f t="shared" si="14"/>
        <v>100</v>
      </c>
      <c r="X34" s="1265"/>
      <c r="Y34" s="3432"/>
      <c r="Z34" s="1264" t="str">
        <f t="shared" si="15"/>
        <v>建筑结构</v>
      </c>
      <c r="AA34" s="1264">
        <f t="shared" si="3"/>
        <v>1</v>
      </c>
      <c r="AB34" s="1264">
        <f t="shared" si="4"/>
        <v>1</v>
      </c>
      <c r="AC34" s="1264">
        <f t="shared" si="5"/>
        <v>1</v>
      </c>
    </row>
    <row r="35" spans="1:29" ht="15">
      <c r="A35" s="409"/>
      <c r="B35" s="364" t="s">
        <v>1769</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430"/>
      <c r="Q35" s="1263" t="str">
        <f t="shared" si="11"/>
        <v>公共部分装修</v>
      </c>
      <c r="R35" s="667" t="s">
        <v>14</v>
      </c>
      <c r="S35" s="668">
        <f t="shared" si="12"/>
        <v>100</v>
      </c>
      <c r="T35" s="667" t="s">
        <v>14</v>
      </c>
      <c r="U35" s="668">
        <f t="shared" si="13"/>
        <v>100</v>
      </c>
      <c r="V35" s="667" t="s">
        <v>14</v>
      </c>
      <c r="W35" s="668">
        <f t="shared" si="14"/>
        <v>100</v>
      </c>
      <c r="X35" s="1265"/>
      <c r="Y35" s="3432"/>
      <c r="Z35" s="1264" t="str">
        <f t="shared" si="15"/>
        <v>公共部分装修</v>
      </c>
      <c r="AA35" s="1264">
        <f t="shared" si="3"/>
        <v>1</v>
      </c>
      <c r="AB35" s="1264">
        <f t="shared" si="4"/>
        <v>1</v>
      </c>
      <c r="AC35" s="1264">
        <f t="shared" si="5"/>
        <v>1</v>
      </c>
    </row>
    <row r="36" spans="1:29" ht="15">
      <c r="A36" s="409"/>
      <c r="B36" s="364" t="s">
        <v>1770</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430"/>
      <c r="Q36" s="1263" t="str">
        <f t="shared" si="11"/>
        <v>成新度</v>
      </c>
      <c r="R36" s="667" t="s">
        <v>14</v>
      </c>
      <c r="S36" s="668" t="e">
        <f t="shared" si="12"/>
        <v>#N/A</v>
      </c>
      <c r="T36" s="667" t="s">
        <v>14</v>
      </c>
      <c r="U36" s="668" t="e">
        <f t="shared" si="13"/>
        <v>#N/A</v>
      </c>
      <c r="V36" s="667" t="s">
        <v>14</v>
      </c>
      <c r="W36" s="668" t="e">
        <f t="shared" si="14"/>
        <v>#N/A</v>
      </c>
      <c r="X36" s="1265"/>
      <c r="Y36" s="3432"/>
      <c r="Z36" s="1264" t="str">
        <f t="shared" si="15"/>
        <v>成新度</v>
      </c>
      <c r="AA36" s="1264" t="e">
        <f t="shared" si="3"/>
        <v>#N/A</v>
      </c>
      <c r="AB36" s="1264" t="e">
        <f t="shared" si="4"/>
        <v>#N/A</v>
      </c>
      <c r="AC36" s="1264" t="e">
        <f t="shared" si="5"/>
        <v>#N/A</v>
      </c>
    </row>
    <row r="37" spans="1:29" s="102" customFormat="1" ht="15">
      <c r="A37" s="410"/>
      <c r="B37" s="364" t="s">
        <v>1771</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8"/>
      <c r="N37" s="2438"/>
      <c r="O37" s="2438"/>
      <c r="P37" s="3430"/>
      <c r="Q37" s="530" t="str">
        <f t="shared" si="11"/>
        <v>市政基础设施</v>
      </c>
      <c r="R37" s="664" t="s">
        <v>14</v>
      </c>
      <c r="S37" s="665">
        <f t="shared" si="12"/>
        <v>100</v>
      </c>
      <c r="T37" s="664" t="s">
        <v>14</v>
      </c>
      <c r="U37" s="665">
        <f t="shared" si="13"/>
        <v>100</v>
      </c>
      <c r="V37" s="664" t="s">
        <v>14</v>
      </c>
      <c r="W37" s="665">
        <f t="shared" si="14"/>
        <v>100</v>
      </c>
      <c r="X37" s="666"/>
      <c r="Y37" s="3432"/>
      <c r="Z37" s="50" t="str">
        <f t="shared" si="15"/>
        <v>市政基础设施</v>
      </c>
      <c r="AA37" s="50">
        <f t="shared" si="3"/>
        <v>1</v>
      </c>
      <c r="AB37" s="50">
        <f t="shared" si="4"/>
        <v>1</v>
      </c>
      <c r="AC37" s="50">
        <f t="shared" si="5"/>
        <v>1</v>
      </c>
    </row>
    <row r="38" spans="1:29" ht="15">
      <c r="A38" s="409"/>
      <c r="B38" s="364" t="s">
        <v>1772</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1"/>
      <c r="M38" s="2486"/>
      <c r="N38" s="2486"/>
      <c r="O38" s="2486"/>
      <c r="P38" s="3430" t="s">
        <v>1680</v>
      </c>
      <c r="Q38" s="1263" t="str">
        <f t="shared" si="11"/>
        <v>业态</v>
      </c>
      <c r="R38" s="667" t="s">
        <v>14</v>
      </c>
      <c r="S38" s="668">
        <f t="shared" si="12"/>
        <v>100</v>
      </c>
      <c r="T38" s="667" t="s">
        <v>14</v>
      </c>
      <c r="U38" s="668">
        <f t="shared" si="13"/>
        <v>100</v>
      </c>
      <c r="V38" s="667" t="s">
        <v>14</v>
      </c>
      <c r="W38" s="668">
        <f t="shared" si="14"/>
        <v>100</v>
      </c>
      <c r="X38" s="1265"/>
      <c r="Y38" s="3432" t="s">
        <v>1680</v>
      </c>
      <c r="Z38" s="1264" t="str">
        <f t="shared" si="15"/>
        <v>业态</v>
      </c>
      <c r="AA38" s="1264">
        <f t="shared" si="3"/>
        <v>1</v>
      </c>
      <c r="AB38" s="1264">
        <f t="shared" si="4"/>
        <v>1</v>
      </c>
      <c r="AC38" s="1264">
        <f t="shared" si="5"/>
        <v>1</v>
      </c>
    </row>
    <row r="39" spans="1:29" ht="15">
      <c r="A39" s="409"/>
      <c r="B39" s="364" t="s">
        <v>1773</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430"/>
      <c r="Q39" s="1263" t="str">
        <f t="shared" si="11"/>
        <v>层高</v>
      </c>
      <c r="R39" s="667" t="s">
        <v>14</v>
      </c>
      <c r="S39" s="668">
        <f t="shared" si="12"/>
        <v>100</v>
      </c>
      <c r="T39" s="667" t="s">
        <v>14</v>
      </c>
      <c r="U39" s="668">
        <f t="shared" si="13"/>
        <v>100</v>
      </c>
      <c r="V39" s="667" t="s">
        <v>14</v>
      </c>
      <c r="W39" s="668">
        <f t="shared" si="14"/>
        <v>100</v>
      </c>
      <c r="X39" s="1265"/>
      <c r="Y39" s="3432"/>
      <c r="Z39" s="1264" t="str">
        <f t="shared" si="15"/>
        <v>层高</v>
      </c>
      <c r="AA39" s="1264">
        <f t="shared" si="3"/>
        <v>1</v>
      </c>
      <c r="AB39" s="1264">
        <f t="shared" si="4"/>
        <v>1</v>
      </c>
      <c r="AC39" s="1264">
        <f t="shared" si="5"/>
        <v>1</v>
      </c>
    </row>
    <row r="40" spans="1:29" ht="15">
      <c r="A40" s="409"/>
      <c r="B40" s="364" t="s">
        <v>1774</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30"/>
      <c r="Q40" s="1263" t="str">
        <f t="shared" si="11"/>
        <v>单套建筑面积</v>
      </c>
      <c r="R40" s="667" t="s">
        <v>14</v>
      </c>
      <c r="S40" s="668">
        <f t="shared" si="12"/>
        <v>100</v>
      </c>
      <c r="T40" s="667" t="s">
        <v>14</v>
      </c>
      <c r="U40" s="668">
        <f t="shared" si="13"/>
        <v>100</v>
      </c>
      <c r="V40" s="667" t="s">
        <v>14</v>
      </c>
      <c r="W40" s="668">
        <f t="shared" si="14"/>
        <v>100</v>
      </c>
      <c r="X40" s="1265"/>
      <c r="Y40" s="3432"/>
      <c r="Z40" s="1264" t="str">
        <f t="shared" si="15"/>
        <v>单套建筑面积</v>
      </c>
      <c r="AA40" s="1264">
        <f t="shared" si="3"/>
        <v>1</v>
      </c>
      <c r="AB40" s="1264">
        <f t="shared" si="4"/>
        <v>1</v>
      </c>
      <c r="AC40" s="1264">
        <f t="shared" si="5"/>
        <v>1</v>
      </c>
    </row>
    <row r="41" spans="1:29" s="408" customFormat="1" ht="15">
      <c r="A41" s="406"/>
      <c r="B41" s="400" t="s">
        <v>1775</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30"/>
      <c r="Q41" s="531" t="str">
        <f t="shared" si="11"/>
        <v>进深比</v>
      </c>
      <c r="R41" s="669" t="s">
        <v>14</v>
      </c>
      <c r="S41" s="670">
        <f t="shared" si="12"/>
        <v>100</v>
      </c>
      <c r="T41" s="669" t="s">
        <v>14</v>
      </c>
      <c r="U41" s="670">
        <f t="shared" si="13"/>
        <v>100</v>
      </c>
      <c r="V41" s="669" t="s">
        <v>14</v>
      </c>
      <c r="W41" s="670">
        <f t="shared" si="14"/>
        <v>100</v>
      </c>
      <c r="X41" s="671"/>
      <c r="Y41" s="3432"/>
      <c r="Z41" s="672" t="str">
        <f t="shared" si="15"/>
        <v>进深比</v>
      </c>
      <c r="AA41" s="1264">
        <f t="shared" si="3"/>
        <v>1</v>
      </c>
      <c r="AB41" s="1264">
        <f t="shared" si="4"/>
        <v>1</v>
      </c>
      <c r="AC41" s="1264">
        <f t="shared" si="5"/>
        <v>1</v>
      </c>
    </row>
    <row r="42" spans="1:29" ht="15">
      <c r="A42" s="409"/>
      <c r="B42" s="364" t="s">
        <v>1776</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1"/>
      <c r="M42" s="2486"/>
      <c r="N42" s="2486"/>
      <c r="O42" s="2486"/>
      <c r="P42" s="3430"/>
      <c r="Q42" s="1263" t="str">
        <f t="shared" si="11"/>
        <v>内部装修</v>
      </c>
      <c r="R42" s="667" t="s">
        <v>14</v>
      </c>
      <c r="S42" s="668">
        <f t="shared" si="12"/>
        <v>100</v>
      </c>
      <c r="T42" s="667" t="s">
        <v>14</v>
      </c>
      <c r="U42" s="668">
        <f t="shared" si="13"/>
        <v>100</v>
      </c>
      <c r="V42" s="667" t="s">
        <v>14</v>
      </c>
      <c r="W42" s="668">
        <f t="shared" si="14"/>
        <v>100</v>
      </c>
      <c r="X42" s="1265"/>
      <c r="Y42" s="3432"/>
      <c r="Z42" s="1264" t="str">
        <f t="shared" si="15"/>
        <v>内部装修</v>
      </c>
      <c r="AA42" s="1264">
        <f t="shared" si="3"/>
        <v>1</v>
      </c>
      <c r="AB42" s="1264">
        <f t="shared" si="4"/>
        <v>1</v>
      </c>
      <c r="AC42" s="1264">
        <f t="shared" si="5"/>
        <v>1</v>
      </c>
    </row>
    <row r="43" spans="1:29" ht="15">
      <c r="A43" s="409"/>
      <c r="B43" s="364" t="s">
        <v>1691</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430"/>
      <c r="Q43" s="1263" t="str">
        <f t="shared" si="11"/>
        <v>内部装修维护情况</v>
      </c>
      <c r="R43" s="667" t="s">
        <v>14</v>
      </c>
      <c r="S43" s="668">
        <f t="shared" si="12"/>
        <v>100</v>
      </c>
      <c r="T43" s="667" t="s">
        <v>14</v>
      </c>
      <c r="U43" s="668">
        <f t="shared" si="13"/>
        <v>100</v>
      </c>
      <c r="V43" s="667" t="s">
        <v>14</v>
      </c>
      <c r="W43" s="668">
        <f t="shared" si="14"/>
        <v>100</v>
      </c>
      <c r="X43" s="1265"/>
      <c r="Y43" s="3432"/>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430"/>
      <c r="Q44" s="530">
        <f t="shared" si="11"/>
        <v>111</v>
      </c>
      <c r="R44" s="664" t="s">
        <v>14</v>
      </c>
      <c r="S44" s="665">
        <f t="shared" si="12"/>
        <v>100</v>
      </c>
      <c r="T44" s="664" t="s">
        <v>14</v>
      </c>
      <c r="U44" s="665">
        <f t="shared" si="13"/>
        <v>100</v>
      </c>
      <c r="V44" s="664" t="s">
        <v>14</v>
      </c>
      <c r="W44" s="665">
        <f t="shared" si="14"/>
        <v>100</v>
      </c>
      <c r="X44" s="666"/>
      <c r="Y44" s="3432"/>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30"/>
      <c r="Q45" s="1263">
        <f t="shared" si="11"/>
        <v>111</v>
      </c>
      <c r="R45" s="667" t="s">
        <v>14</v>
      </c>
      <c r="S45" s="668">
        <f t="shared" si="12"/>
        <v>100</v>
      </c>
      <c r="T45" s="667" t="s">
        <v>14</v>
      </c>
      <c r="U45" s="668">
        <f t="shared" si="13"/>
        <v>100</v>
      </c>
      <c r="V45" s="667" t="s">
        <v>14</v>
      </c>
      <c r="W45" s="668">
        <f t="shared" si="14"/>
        <v>100</v>
      </c>
      <c r="X45" s="1265"/>
      <c r="Y45" s="3432"/>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31"/>
      <c r="Q46" s="1263">
        <f t="shared" si="11"/>
        <v>111</v>
      </c>
      <c r="R46" s="667" t="s">
        <v>14</v>
      </c>
      <c r="S46" s="668">
        <f t="shared" si="12"/>
        <v>100</v>
      </c>
      <c r="T46" s="667" t="s">
        <v>14</v>
      </c>
      <c r="U46" s="668">
        <f t="shared" si="13"/>
        <v>100</v>
      </c>
      <c r="V46" s="667" t="s">
        <v>14</v>
      </c>
      <c r="W46" s="668">
        <f t="shared" si="14"/>
        <v>100</v>
      </c>
      <c r="X46" s="1265"/>
      <c r="Y46" s="3433"/>
      <c r="Z46" s="1264">
        <f t="shared" si="15"/>
        <v>111</v>
      </c>
      <c r="AA46" s="1264">
        <f t="shared" si="3"/>
        <v>1</v>
      </c>
      <c r="AB46" s="1264">
        <f t="shared" si="4"/>
        <v>1</v>
      </c>
      <c r="AC46" s="1264">
        <f t="shared" si="5"/>
        <v>1</v>
      </c>
    </row>
    <row r="47" spans="1:29" ht="15">
      <c r="A47" s="416" t="s">
        <v>1692</v>
      </c>
      <c r="B47" s="417"/>
      <c r="C47" s="1081" t="s">
        <v>0</v>
      </c>
      <c r="D47" s="418"/>
      <c r="E47" s="419"/>
      <c r="F47" s="420"/>
      <c r="G47" s="421"/>
      <c r="H47" s="422"/>
      <c r="I47" s="419"/>
      <c r="J47" s="422"/>
      <c r="K47" s="674"/>
      <c r="L47" s="2493"/>
      <c r="M47" s="2486"/>
      <c r="N47" s="2486"/>
      <c r="O47" s="2486"/>
      <c r="P47" s="3425" t="str">
        <f>A47</f>
        <v>成交单价（元/平方米）</v>
      </c>
      <c r="Q47" s="3425"/>
      <c r="R47" s="3426">
        <f>E47</f>
        <v>0</v>
      </c>
      <c r="S47" s="3426"/>
      <c r="T47" s="3426">
        <f>G47</f>
        <v>0</v>
      </c>
      <c r="U47" s="3426"/>
      <c r="V47" s="3426">
        <f>I47</f>
        <v>0</v>
      </c>
      <c r="W47" s="3426"/>
      <c r="X47" s="385"/>
      <c r="Y47" s="673"/>
      <c r="Z47" s="385"/>
      <c r="AA47" s="385"/>
      <c r="AB47" s="385"/>
      <c r="AC47" s="385"/>
    </row>
    <row r="48" spans="1:29" ht="15.75" thickBot="1">
      <c r="A48" s="423" t="s">
        <v>1777</v>
      </c>
      <c r="B48" s="424"/>
      <c r="C48" s="1082" t="e">
        <f>R49</f>
        <v>#DIV/0!</v>
      </c>
      <c r="D48" s="2141" t="s">
        <v>2122</v>
      </c>
      <c r="E48" s="1083" t="e">
        <f>R48</f>
        <v>#DIV/0!</v>
      </c>
      <c r="F48" s="2142"/>
      <c r="G48" s="1082" t="e">
        <f>T48</f>
        <v>#DIV/0!</v>
      </c>
      <c r="H48" s="2142"/>
      <c r="I48" s="1083" t="e">
        <f>V48</f>
        <v>#DIV/0!</v>
      </c>
      <c r="J48" s="2142"/>
      <c r="K48" s="2144">
        <f>F48+H48+J48</f>
        <v>0</v>
      </c>
      <c r="L48" s="2493"/>
      <c r="M48" s="2486"/>
      <c r="N48" s="2486"/>
      <c r="O48" s="2486"/>
      <c r="P48" s="3425" t="str">
        <f>A48</f>
        <v>比较价值（元/平方米）</v>
      </c>
      <c r="Q48" s="3425"/>
      <c r="R48" s="3426" t="e">
        <f>IF(F1="售价",ROUND(PRODUCT(R47,AA7:AA46),0),ROUND(PRODUCT(R47,AA7:AA46),1))</f>
        <v>#DIV/0!</v>
      </c>
      <c r="S48" s="3426"/>
      <c r="T48" s="3426" t="e">
        <f>IF(F1="售价",ROUND(PRODUCT(T47,AB7:AB46),0),ROUND(PRODUCT(T47,AB7:AB46),1))</f>
        <v>#DIV/0!</v>
      </c>
      <c r="U48" s="3426"/>
      <c r="V48" s="3426" t="e">
        <f>IF(F1="售价",ROUND(PRODUCT(V47,AC7:AC46),0),ROUND(PRODUCT(V47,AC7:AC46),1))</f>
        <v>#DIV/0!</v>
      </c>
      <c r="W48" s="3426"/>
      <c r="X48" s="385"/>
      <c r="Y48" s="385"/>
      <c r="Z48" s="385"/>
      <c r="AA48" s="385"/>
      <c r="AB48" s="385"/>
      <c r="AC48" s="385"/>
    </row>
    <row r="49" spans="1:29" ht="15.75" thickBot="1">
      <c r="A49" s="427" t="s">
        <v>1778</v>
      </c>
      <c r="B49" s="428"/>
      <c r="C49" s="351" t="e">
        <f>R49</f>
        <v>#DIV/0!</v>
      </c>
      <c r="D49" s="351"/>
      <c r="E49" s="351"/>
      <c r="F49" s="351"/>
      <c r="G49" s="351"/>
      <c r="H49" s="351"/>
      <c r="I49" s="351"/>
      <c r="J49" s="351"/>
      <c r="K49" s="675"/>
      <c r="L49" s="2493"/>
      <c r="M49" s="2486"/>
      <c r="N49" s="2486"/>
      <c r="O49" s="2486"/>
      <c r="P49" s="3422" t="str">
        <f>A49</f>
        <v>估价对象XX用房的比较价值（楼面单价，元/平方米）</v>
      </c>
      <c r="Q49" s="3423"/>
      <c r="R49" s="3424" t="e">
        <f>IF(F1="售价",ROUND(IF(D48="简单平均",AVERAGE(R48:V48),R48*F48+T48*H48+V48*J48),0),ROUND(IF(D48="简单平均",AVERAGE(R48:V48),R48*F48+T48*H48+V48*J48),1))</f>
        <v>#DIV/0!</v>
      </c>
      <c r="S49" s="3424"/>
      <c r="T49" s="3424"/>
      <c r="U49" s="3424"/>
      <c r="V49" s="3424"/>
      <c r="W49" s="3424"/>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1779</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1780</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1781</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8" t="s">
        <v>1782</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5">
      <c r="A58" s="440" t="s">
        <v>1663</v>
      </c>
      <c r="B58" s="441"/>
      <c r="C58" s="1103" t="str">
        <f>YEAR(C7)&amp;"-"&amp;MONTH(C7)</f>
        <v>2025-1</v>
      </c>
      <c r="D58" s="1104">
        <f>EDATE(C58,-1)</f>
        <v>45627</v>
      </c>
      <c r="E58" s="1104">
        <f t="shared" ref="E58:N58" si="16">EDATE(D58,-1)</f>
        <v>45597</v>
      </c>
      <c r="F58" s="1104">
        <f t="shared" si="16"/>
        <v>45566</v>
      </c>
      <c r="G58" s="1104">
        <f t="shared" si="16"/>
        <v>45536</v>
      </c>
      <c r="H58" s="1104">
        <f t="shared" si="16"/>
        <v>45505</v>
      </c>
      <c r="I58" s="1104">
        <f t="shared" si="16"/>
        <v>45474</v>
      </c>
      <c r="J58" s="1104">
        <f t="shared" si="16"/>
        <v>45444</v>
      </c>
      <c r="K58" s="1104">
        <f t="shared" si="16"/>
        <v>45413</v>
      </c>
      <c r="L58" s="1104">
        <f t="shared" si="16"/>
        <v>45383</v>
      </c>
      <c r="M58" s="1104">
        <f t="shared" si="16"/>
        <v>45352</v>
      </c>
      <c r="N58" s="1104">
        <f t="shared" si="16"/>
        <v>45323</v>
      </c>
      <c r="O58" s="1104">
        <f>EDATE(N58,-1)</f>
        <v>45292</v>
      </c>
      <c r="P58" s="2508"/>
      <c r="Q58" s="2509"/>
      <c r="R58" s="2509"/>
      <c r="S58" s="2509"/>
      <c r="T58" s="2509"/>
      <c r="U58" s="2509"/>
      <c r="V58" s="2509"/>
      <c r="W58" s="2509"/>
      <c r="X58" s="2509"/>
      <c r="Y58" s="2509"/>
      <c r="Z58" s="2509"/>
      <c r="AA58" s="2509"/>
      <c r="AB58" s="2509"/>
      <c r="AC58" s="2509"/>
    </row>
    <row r="59" spans="1:29" s="102" customFormat="1" ht="15">
      <c r="A59" s="443"/>
      <c r="B59" s="444"/>
      <c r="C59" s="1102">
        <v>100</v>
      </c>
      <c r="D59" s="446"/>
      <c r="E59" s="446"/>
      <c r="F59" s="446"/>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1700</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1665</v>
      </c>
      <c r="B61" s="444"/>
      <c r="C61" s="456" t="s">
        <v>1760</v>
      </c>
      <c r="D61" s="31"/>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1703</v>
      </c>
      <c r="B63" s="460" t="s">
        <v>1669</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1672</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1673</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1674</v>
      </c>
      <c r="B76" s="460" t="s">
        <v>1704</v>
      </c>
      <c r="C76" s="504" t="s">
        <v>1705</v>
      </c>
      <c r="D76" s="504" t="s">
        <v>1706</v>
      </c>
      <c r="E76" s="504" t="s">
        <v>1707</v>
      </c>
      <c r="F76" s="504" t="s">
        <v>1708</v>
      </c>
      <c r="G76" s="504" t="s">
        <v>1709</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1710</v>
      </c>
      <c r="C78" s="509" t="s">
        <v>1705</v>
      </c>
      <c r="D78" s="509" t="s">
        <v>1706</v>
      </c>
      <c r="E78" s="509" t="s">
        <v>1707</v>
      </c>
      <c r="F78" s="509" t="s">
        <v>1708</v>
      </c>
      <c r="G78" s="509" t="s">
        <v>1709</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1711</v>
      </c>
      <c r="C80" s="509" t="s">
        <v>1705</v>
      </c>
      <c r="D80" s="509" t="s">
        <v>1706</v>
      </c>
      <c r="E80" s="509" t="s">
        <v>1707</v>
      </c>
      <c r="F80" s="509" t="s">
        <v>1708</v>
      </c>
      <c r="G80" s="509" t="s">
        <v>1709</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1763</v>
      </c>
      <c r="C82" s="581" t="s">
        <v>1783</v>
      </c>
      <c r="D82" s="581" t="s">
        <v>1784</v>
      </c>
      <c r="E82" s="581" t="s">
        <v>1785</v>
      </c>
      <c r="F82" s="581" t="s">
        <v>1786</v>
      </c>
      <c r="G82" s="581" t="s">
        <v>1787</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1717</v>
      </c>
      <c r="C84" s="509" t="s">
        <v>1705</v>
      </c>
      <c r="D84" s="509" t="s">
        <v>1706</v>
      </c>
      <c r="E84" s="509" t="s">
        <v>1707</v>
      </c>
      <c r="F84" s="509" t="s">
        <v>1708</v>
      </c>
      <c r="G84" s="509" t="s">
        <v>1709</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1788</v>
      </c>
      <c r="C86" s="485"/>
      <c r="D86" s="485"/>
      <c r="E86" s="485"/>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485"/>
      <c r="D88" s="485"/>
      <c r="E88" s="485"/>
      <c r="F88" s="1780"/>
      <c r="G88" s="485"/>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c r="D89" s="467"/>
      <c r="E89" s="467"/>
      <c r="F89" s="467"/>
      <c r="G89" s="467"/>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75"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1678</v>
      </c>
      <c r="B100" s="460" t="s">
        <v>1789</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1721</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1722</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1724</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1174</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1726</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1790</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1791</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1792</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1793</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1728</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1729</v>
      </c>
      <c r="C124" s="509" t="s">
        <v>1705</v>
      </c>
      <c r="D124" s="509" t="s">
        <v>1706</v>
      </c>
      <c r="E124" s="509" t="s">
        <v>1707</v>
      </c>
      <c r="F124" s="509" t="s">
        <v>1708</v>
      </c>
      <c r="G124" s="509" t="s">
        <v>1709</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1644</v>
      </c>
      <c r="B1" s="1808" t="s">
        <v>1794</v>
      </c>
      <c r="C1" s="1141" t="s">
        <v>1646</v>
      </c>
      <c r="D1" s="1142"/>
      <c r="E1" s="3130"/>
      <c r="F1" s="1735"/>
      <c r="G1" s="1152" t="s">
        <v>1751</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1446</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1447</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1448</v>
      </c>
      <c r="B3" s="536">
        <f>IF(C2="——",C50,ROUND(B2*10000/D3,0))</f>
        <v>0</v>
      </c>
      <c r="C3" s="344" t="s">
        <v>1752</v>
      </c>
      <c r="D3" s="343">
        <f>IF(D1="",'数据-汇总表'!E3,SUMIF('数据-汇总表'!$C19:$C33,D1,'数据-汇总表'!$E19:$E33))</f>
        <v>66988.94</v>
      </c>
      <c r="E3" s="1805"/>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5">
      <c r="A4" s="345" t="s">
        <v>1753</v>
      </c>
      <c r="B4" s="346"/>
      <c r="C4" s="3440" t="s">
        <v>1754</v>
      </c>
      <c r="D4" s="3441"/>
      <c r="E4" s="3442" t="s">
        <v>1755</v>
      </c>
      <c r="F4" s="3443"/>
      <c r="G4" s="3440" t="s">
        <v>1756</v>
      </c>
      <c r="H4" s="3441"/>
      <c r="I4" s="3440" t="s">
        <v>1757</v>
      </c>
      <c r="J4" s="3441"/>
      <c r="K4" s="537" t="s">
        <v>1758</v>
      </c>
      <c r="L4" s="2485"/>
      <c r="M4" s="2486"/>
      <c r="N4" s="2486"/>
      <c r="O4" s="2486"/>
      <c r="P4" s="3473" t="s">
        <v>1759</v>
      </c>
      <c r="Q4" s="3474"/>
      <c r="R4" s="3477" t="s">
        <v>1755</v>
      </c>
      <c r="S4" s="3478"/>
      <c r="T4" s="3477" t="s">
        <v>1756</v>
      </c>
      <c r="U4" s="3478"/>
      <c r="V4" s="3479" t="s">
        <v>1757</v>
      </c>
      <c r="W4" s="3479"/>
      <c r="X4" s="1809"/>
      <c r="Y4" s="3477" t="s">
        <v>1759</v>
      </c>
      <c r="Z4" s="3478"/>
      <c r="AA4" s="3481" t="s">
        <v>1755</v>
      </c>
      <c r="AB4" s="3481" t="s">
        <v>1756</v>
      </c>
      <c r="AC4" s="3470" t="s">
        <v>1757</v>
      </c>
    </row>
    <row r="5" spans="1:29" ht="15">
      <c r="A5" s="348"/>
      <c r="B5" s="349"/>
      <c r="C5" s="3458" t="s">
        <v>1657</v>
      </c>
      <c r="D5" s="3459"/>
      <c r="E5" s="3465" t="s">
        <v>1658</v>
      </c>
      <c r="F5" s="3466"/>
      <c r="G5" s="3458" t="s">
        <v>1659</v>
      </c>
      <c r="H5" s="3459"/>
      <c r="I5" s="3458" t="s">
        <v>1660</v>
      </c>
      <c r="J5" s="3459"/>
      <c r="K5" s="537"/>
      <c r="L5" s="2485"/>
      <c r="M5" s="2486"/>
      <c r="N5" s="2486"/>
      <c r="O5" s="2486"/>
      <c r="P5" s="3475"/>
      <c r="Q5" s="3447"/>
      <c r="R5" s="3452"/>
      <c r="S5" s="3453"/>
      <c r="T5" s="3452"/>
      <c r="U5" s="3453"/>
      <c r="V5" s="3426"/>
      <c r="W5" s="3426"/>
      <c r="X5" s="1265"/>
      <c r="Y5" s="3452"/>
      <c r="Z5" s="3453"/>
      <c r="AA5" s="3438"/>
      <c r="AB5" s="3438"/>
      <c r="AC5" s="3471"/>
    </row>
    <row r="6" spans="1:29" ht="15.75" thickBot="1">
      <c r="A6" s="350"/>
      <c r="B6" s="351"/>
      <c r="C6" s="3456" t="s">
        <v>1661</v>
      </c>
      <c r="D6" s="3457"/>
      <c r="E6" s="3463" t="s">
        <v>1661</v>
      </c>
      <c r="F6" s="3464"/>
      <c r="G6" s="3456" t="s">
        <v>1661</v>
      </c>
      <c r="H6" s="3457"/>
      <c r="I6" s="3456" t="s">
        <v>1661</v>
      </c>
      <c r="J6" s="3457"/>
      <c r="K6" s="537" t="s">
        <v>1662</v>
      </c>
      <c r="L6" s="2485"/>
      <c r="M6" s="2486"/>
      <c r="N6" s="2486"/>
      <c r="O6" s="2486"/>
      <c r="P6" s="3476"/>
      <c r="Q6" s="3449"/>
      <c r="R6" s="3452"/>
      <c r="S6" s="3453"/>
      <c r="T6" s="3454"/>
      <c r="U6" s="3455"/>
      <c r="V6" s="3426"/>
      <c r="W6" s="3426"/>
      <c r="X6" s="1265"/>
      <c r="Y6" s="3454"/>
      <c r="Z6" s="3455"/>
      <c r="AA6" s="3439"/>
      <c r="AB6" s="3439"/>
      <c r="AC6" s="3472"/>
    </row>
    <row r="7" spans="1:29" s="102" customFormat="1" ht="15.75" thickBot="1">
      <c r="A7" s="352" t="s">
        <v>1663</v>
      </c>
      <c r="B7" s="353"/>
      <c r="C7" s="354">
        <f>'数据-取费表'!B2</f>
        <v>45677</v>
      </c>
      <c r="D7" s="355">
        <v>100</v>
      </c>
      <c r="E7" s="356"/>
      <c r="F7" s="357">
        <f>SUMIF(59:59,YEAR(E7)&amp;"-"&amp;MONTH(E7),60:60)</f>
        <v>0</v>
      </c>
      <c r="G7" s="356"/>
      <c r="H7" s="355">
        <f>SUMIF(59:59,YEAR(G7)&amp;"-"&amp;MONTH(G7),60:60)</f>
        <v>0</v>
      </c>
      <c r="I7" s="356"/>
      <c r="J7" s="355">
        <f>SUMIF(59:59,YEAR(I7)&amp;"-"&amp;MONTH(I7),60:60)</f>
        <v>0</v>
      </c>
      <c r="K7" s="38"/>
      <c r="L7" s="2487"/>
      <c r="M7" s="2438"/>
      <c r="N7" s="2438"/>
      <c r="O7" s="2438"/>
      <c r="P7" s="3480" t="s">
        <v>1664</v>
      </c>
      <c r="Q7" s="3462"/>
      <c r="R7" s="664" t="s">
        <v>14</v>
      </c>
      <c r="S7" s="665">
        <f t="shared" ref="S7:S15" si="0">F7</f>
        <v>0</v>
      </c>
      <c r="T7" s="664" t="s">
        <v>14</v>
      </c>
      <c r="U7" s="665">
        <f t="shared" ref="U7:U15" si="1">H7</f>
        <v>0</v>
      </c>
      <c r="V7" s="664" t="s">
        <v>14</v>
      </c>
      <c r="W7" s="665">
        <f t="shared" ref="W7:W15" si="2">J7</f>
        <v>0</v>
      </c>
      <c r="X7" s="666"/>
      <c r="Y7" s="3460" t="s">
        <v>1664</v>
      </c>
      <c r="Z7" s="3461"/>
      <c r="AA7" s="50" t="e">
        <f>D7/F7</f>
        <v>#DIV/0!</v>
      </c>
      <c r="AB7" s="50" t="e">
        <f>D7/H7</f>
        <v>#DIV/0!</v>
      </c>
      <c r="AC7" s="802" t="e">
        <f>D7/J7</f>
        <v>#DIV/0!</v>
      </c>
    </row>
    <row r="8" spans="1:29" s="102" customFormat="1" ht="15.75" thickBot="1">
      <c r="A8" s="352" t="s">
        <v>1665</v>
      </c>
      <c r="B8" s="353"/>
      <c r="C8" s="358"/>
      <c r="D8" s="355">
        <v>100</v>
      </c>
      <c r="E8" s="358"/>
      <c r="F8" s="357">
        <f>SUMIF(62:62,E8,63:63)-SUMIF(62:62,C8,63:63)+100</f>
        <v>100</v>
      </c>
      <c r="G8" s="358"/>
      <c r="H8" s="355">
        <f>SUMIF(62:62,G8,63:63)-SUMIF(62:62,C8,63:63)+100</f>
        <v>100</v>
      </c>
      <c r="I8" s="358"/>
      <c r="J8" s="355">
        <f>SUMIF(62:62,I8,63:63)-SUMIF(62:62,C8,63:63)+100</f>
        <v>100</v>
      </c>
      <c r="K8" s="38"/>
      <c r="L8" s="2487"/>
      <c r="M8" s="2438"/>
      <c r="N8" s="2438"/>
      <c r="O8" s="2438"/>
      <c r="P8" s="3480" t="s">
        <v>1667</v>
      </c>
      <c r="Q8" s="3461"/>
      <c r="R8" s="664" t="s">
        <v>14</v>
      </c>
      <c r="S8" s="665">
        <f t="shared" si="0"/>
        <v>100</v>
      </c>
      <c r="T8" s="664" t="s">
        <v>14</v>
      </c>
      <c r="U8" s="665">
        <f t="shared" si="1"/>
        <v>100</v>
      </c>
      <c r="V8" s="664" t="s">
        <v>14</v>
      </c>
      <c r="W8" s="665">
        <f t="shared" si="2"/>
        <v>100</v>
      </c>
      <c r="X8" s="666"/>
      <c r="Y8" s="3460" t="s">
        <v>1667</v>
      </c>
      <c r="Z8" s="3461"/>
      <c r="AA8" s="50">
        <f t="shared" ref="AA8:AA47" si="3">D8/F8</f>
        <v>1</v>
      </c>
      <c r="AB8" s="50">
        <f t="shared" ref="AB8:AB47" si="4">D8/H8</f>
        <v>1</v>
      </c>
      <c r="AC8" s="802">
        <f t="shared" ref="AC8:AC47" si="5">D8/J8</f>
        <v>1</v>
      </c>
    </row>
    <row r="9" spans="1:29" s="102" customFormat="1">
      <c r="A9" s="359" t="s">
        <v>1668</v>
      </c>
      <c r="B9" s="60" t="s">
        <v>1669</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436" t="s">
        <v>1670</v>
      </c>
      <c r="Q9" s="530" t="str">
        <f t="shared" ref="Q9:Q15" si="6">B9</f>
        <v>用途</v>
      </c>
      <c r="R9" s="664" t="s">
        <v>14</v>
      </c>
      <c r="S9" s="665">
        <f t="shared" si="0"/>
        <v>100</v>
      </c>
      <c r="T9" s="664" t="s">
        <v>14</v>
      </c>
      <c r="U9" s="665">
        <f t="shared" si="1"/>
        <v>100</v>
      </c>
      <c r="V9" s="664" t="s">
        <v>14</v>
      </c>
      <c r="W9" s="665">
        <f t="shared" si="2"/>
        <v>100</v>
      </c>
      <c r="X9" s="666"/>
      <c r="Y9" s="3300" t="s">
        <v>1671</v>
      </c>
      <c r="Z9" s="50" t="str">
        <f t="shared" ref="Z9:Z15" si="7">Q9</f>
        <v>用途</v>
      </c>
      <c r="AA9" s="50">
        <f t="shared" si="3"/>
        <v>1</v>
      </c>
      <c r="AB9" s="50">
        <f t="shared" si="4"/>
        <v>1</v>
      </c>
      <c r="AC9" s="802">
        <f t="shared" si="5"/>
        <v>1</v>
      </c>
    </row>
    <row r="10" spans="1:29" s="366" customFormat="1" ht="27">
      <c r="A10" s="363"/>
      <c r="B10" s="364" t="s">
        <v>1672</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436"/>
      <c r="Q10" s="530" t="str">
        <f t="shared" si="6"/>
        <v>土地使用年限（年）</v>
      </c>
      <c r="R10" s="664" t="s">
        <v>14</v>
      </c>
      <c r="S10" s="665">
        <f t="shared" si="0"/>
        <v>100</v>
      </c>
      <c r="T10" s="664" t="s">
        <v>14</v>
      </c>
      <c r="U10" s="665">
        <f t="shared" si="1"/>
        <v>100</v>
      </c>
      <c r="V10" s="664" t="s">
        <v>14</v>
      </c>
      <c r="W10" s="665">
        <f t="shared" si="2"/>
        <v>100</v>
      </c>
      <c r="X10" s="666"/>
      <c r="Y10" s="3300"/>
      <c r="Z10" s="50" t="str">
        <f t="shared" si="7"/>
        <v>土地使用年限（年）</v>
      </c>
      <c r="AA10" s="50">
        <f t="shared" si="3"/>
        <v>1</v>
      </c>
      <c r="AB10" s="50">
        <f t="shared" si="4"/>
        <v>1</v>
      </c>
      <c r="AC10" s="802">
        <f t="shared" si="5"/>
        <v>1</v>
      </c>
    </row>
    <row r="11" spans="1:29" ht="15">
      <c r="A11" s="367"/>
      <c r="B11" s="364" t="s">
        <v>1673</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436"/>
      <c r="Q11" s="530" t="str">
        <f t="shared" si="6"/>
        <v>容积率</v>
      </c>
      <c r="R11" s="664" t="s">
        <v>14</v>
      </c>
      <c r="S11" s="665">
        <f t="shared" si="0"/>
        <v>100</v>
      </c>
      <c r="T11" s="664" t="s">
        <v>14</v>
      </c>
      <c r="U11" s="665">
        <f t="shared" si="1"/>
        <v>100</v>
      </c>
      <c r="V11" s="664" t="s">
        <v>14</v>
      </c>
      <c r="W11" s="665">
        <f t="shared" si="2"/>
        <v>100</v>
      </c>
      <c r="X11" s="666"/>
      <c r="Y11" s="3300"/>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7"/>
      <c r="M12" s="2438"/>
      <c r="N12" s="2438"/>
      <c r="O12" s="2438"/>
      <c r="P12" s="3436"/>
      <c r="Q12" s="530">
        <f t="shared" si="6"/>
        <v>111</v>
      </c>
      <c r="R12" s="664" t="s">
        <v>14</v>
      </c>
      <c r="S12" s="665">
        <f t="shared" si="0"/>
        <v>100</v>
      </c>
      <c r="T12" s="664" t="s">
        <v>14</v>
      </c>
      <c r="U12" s="665">
        <f t="shared" si="1"/>
        <v>100</v>
      </c>
      <c r="V12" s="664" t="s">
        <v>14</v>
      </c>
      <c r="W12" s="665">
        <f t="shared" si="2"/>
        <v>100</v>
      </c>
      <c r="X12" s="666"/>
      <c r="Y12" s="3300"/>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1"/>
      <c r="M13" s="2486"/>
      <c r="N13" s="2486"/>
      <c r="O13" s="2486"/>
      <c r="P13" s="3436"/>
      <c r="Q13" s="530">
        <f t="shared" si="6"/>
        <v>111</v>
      </c>
      <c r="R13" s="664" t="s">
        <v>14</v>
      </c>
      <c r="S13" s="665">
        <f t="shared" si="0"/>
        <v>100</v>
      </c>
      <c r="T13" s="664" t="s">
        <v>14</v>
      </c>
      <c r="U13" s="665">
        <f t="shared" si="1"/>
        <v>100</v>
      </c>
      <c r="V13" s="664" t="s">
        <v>14</v>
      </c>
      <c r="W13" s="665">
        <f t="shared" si="2"/>
        <v>100</v>
      </c>
      <c r="X13" s="666"/>
      <c r="Y13" s="3300"/>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1"/>
      <c r="M14" s="2486"/>
      <c r="N14" s="2486"/>
      <c r="O14" s="2486"/>
      <c r="P14" s="3436"/>
      <c r="Q14" s="530">
        <f t="shared" si="6"/>
        <v>111</v>
      </c>
      <c r="R14" s="664" t="s">
        <v>14</v>
      </c>
      <c r="S14" s="665">
        <f t="shared" si="0"/>
        <v>100</v>
      </c>
      <c r="T14" s="664" t="s">
        <v>14</v>
      </c>
      <c r="U14" s="665">
        <f t="shared" si="1"/>
        <v>100</v>
      </c>
      <c r="V14" s="664" t="s">
        <v>14</v>
      </c>
      <c r="W14" s="665">
        <f t="shared" si="2"/>
        <v>100</v>
      </c>
      <c r="X14" s="666"/>
      <c r="Y14" s="3300"/>
      <c r="Z14" s="50">
        <f t="shared" si="7"/>
        <v>111</v>
      </c>
      <c r="AA14" s="50">
        <f t="shared" si="3"/>
        <v>1</v>
      </c>
      <c r="AB14" s="50">
        <f t="shared" si="4"/>
        <v>1</v>
      </c>
      <c r="AC14" s="802">
        <f t="shared" si="5"/>
        <v>1</v>
      </c>
    </row>
    <row r="15" spans="1:29" ht="15">
      <c r="A15" s="379" t="s">
        <v>1674</v>
      </c>
      <c r="B15" s="554" t="s">
        <v>1795</v>
      </c>
      <c r="C15" s="1811">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434" t="s">
        <v>1675</v>
      </c>
      <c r="Q15" s="1263" t="str">
        <f t="shared" si="6"/>
        <v>办公集聚程度</v>
      </c>
      <c r="R15" s="667" t="s">
        <v>14</v>
      </c>
      <c r="S15" s="668">
        <f t="shared" si="0"/>
        <v>100</v>
      </c>
      <c r="T15" s="667" t="s">
        <v>14</v>
      </c>
      <c r="U15" s="668">
        <f t="shared" si="1"/>
        <v>100</v>
      </c>
      <c r="V15" s="667" t="s">
        <v>14</v>
      </c>
      <c r="W15" s="668">
        <f t="shared" si="2"/>
        <v>100</v>
      </c>
      <c r="X15" s="1265"/>
      <c r="Y15" s="3427" t="s">
        <v>1675</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1"/>
      <c r="M16" s="2486"/>
      <c r="N16" s="2486"/>
      <c r="O16" s="2486"/>
      <c r="P16" s="3435"/>
      <c r="Q16" s="1263"/>
      <c r="R16" s="667"/>
      <c r="S16" s="668"/>
      <c r="T16" s="667"/>
      <c r="U16" s="668"/>
      <c r="V16" s="667"/>
      <c r="W16" s="668"/>
      <c r="X16" s="1265"/>
      <c r="Y16" s="3428"/>
      <c r="Z16" s="1264"/>
      <c r="AA16" s="1264">
        <v>1</v>
      </c>
      <c r="AB16" s="1264">
        <v>1</v>
      </c>
      <c r="AC16" s="1812">
        <v>1</v>
      </c>
    </row>
    <row r="17" spans="1:29" ht="15">
      <c r="A17" s="367"/>
      <c r="B17" s="556" t="s">
        <v>1243</v>
      </c>
      <c r="C17" s="1813">
        <f>估价对象房地状况!C6</f>
        <v>0</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435"/>
      <c r="Q17" s="1263" t="str">
        <f>B17</f>
        <v>交通便捷度</v>
      </c>
      <c r="R17" s="667" t="s">
        <v>14</v>
      </c>
      <c r="S17" s="668">
        <f>F17</f>
        <v>100</v>
      </c>
      <c r="T17" s="667" t="s">
        <v>14</v>
      </c>
      <c r="U17" s="668">
        <f>H17</f>
        <v>100</v>
      </c>
      <c r="V17" s="667" t="s">
        <v>14</v>
      </c>
      <c r="W17" s="668">
        <f>J17</f>
        <v>100</v>
      </c>
      <c r="X17" s="1265"/>
      <c r="Y17" s="3428"/>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1"/>
      <c r="M18" s="2486"/>
      <c r="N18" s="2486"/>
      <c r="O18" s="2486"/>
      <c r="P18" s="3435"/>
      <c r="Q18" s="1263"/>
      <c r="R18" s="667"/>
      <c r="S18" s="668"/>
      <c r="T18" s="667"/>
      <c r="U18" s="668"/>
      <c r="V18" s="667"/>
      <c r="W18" s="668"/>
      <c r="X18" s="1265"/>
      <c r="Y18" s="3428"/>
      <c r="Z18" s="1264"/>
      <c r="AA18" s="1264">
        <v>1</v>
      </c>
      <c r="AB18" s="1264">
        <v>1</v>
      </c>
      <c r="AC18" s="1812">
        <v>1</v>
      </c>
    </row>
    <row r="19" spans="1:29" ht="15">
      <c r="A19" s="367"/>
      <c r="B19" s="556" t="s">
        <v>1796</v>
      </c>
      <c r="C19" s="1813">
        <f>估价对象房地状况!C7</f>
        <v>0</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35"/>
      <c r="Q19" s="1263" t="str">
        <f>B19</f>
        <v>公共配套设施</v>
      </c>
      <c r="R19" s="667" t="s">
        <v>14</v>
      </c>
      <c r="S19" s="668">
        <f>F19</f>
        <v>100</v>
      </c>
      <c r="T19" s="667" t="s">
        <v>14</v>
      </c>
      <c r="U19" s="668">
        <f>H19</f>
        <v>100</v>
      </c>
      <c r="V19" s="667" t="s">
        <v>14</v>
      </c>
      <c r="W19" s="668">
        <f>J19</f>
        <v>100</v>
      </c>
      <c r="X19" s="1265"/>
      <c r="Y19" s="3428"/>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1"/>
      <c r="M20" s="2486"/>
      <c r="N20" s="2486"/>
      <c r="O20" s="2486"/>
      <c r="P20" s="3435"/>
      <c r="Q20" s="1263"/>
      <c r="R20" s="667"/>
      <c r="S20" s="668"/>
      <c r="T20" s="667"/>
      <c r="U20" s="668"/>
      <c r="V20" s="667"/>
      <c r="W20" s="668"/>
      <c r="X20" s="1265"/>
      <c r="Y20" s="3428"/>
      <c r="Z20" s="1264"/>
      <c r="AA20" s="1264">
        <v>1</v>
      </c>
      <c r="AB20" s="1264">
        <v>1</v>
      </c>
      <c r="AC20" s="1812">
        <v>1</v>
      </c>
    </row>
    <row r="21" spans="1:29" ht="15">
      <c r="A21" s="367"/>
      <c r="B21" s="557" t="s">
        <v>1797</v>
      </c>
      <c r="C21" s="1813">
        <f>估价对象房地状况!C8</f>
        <v>0</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35"/>
      <c r="Q21" s="1263" t="str">
        <f>B21</f>
        <v>基础设施水平</v>
      </c>
      <c r="R21" s="667" t="s">
        <v>14</v>
      </c>
      <c r="S21" s="668">
        <f>F21</f>
        <v>100</v>
      </c>
      <c r="T21" s="667" t="s">
        <v>14</v>
      </c>
      <c r="U21" s="668">
        <f>H21</f>
        <v>100</v>
      </c>
      <c r="V21" s="667" t="s">
        <v>14</v>
      </c>
      <c r="W21" s="668">
        <f>J21</f>
        <v>100</v>
      </c>
      <c r="X21" s="1265"/>
      <c r="Y21" s="3428"/>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1"/>
      <c r="M22" s="2486"/>
      <c r="N22" s="2486"/>
      <c r="O22" s="2486"/>
      <c r="P22" s="3435"/>
      <c r="Q22" s="1263"/>
      <c r="R22" s="667"/>
      <c r="S22" s="668"/>
      <c r="T22" s="667"/>
      <c r="U22" s="668"/>
      <c r="V22" s="667"/>
      <c r="W22" s="668"/>
      <c r="X22" s="1265"/>
      <c r="Y22" s="3428"/>
      <c r="Z22" s="1264"/>
      <c r="AA22" s="1264">
        <v>1</v>
      </c>
      <c r="AB22" s="1264">
        <v>1</v>
      </c>
      <c r="AC22" s="1812">
        <v>1</v>
      </c>
    </row>
    <row r="23" spans="1:29" ht="15">
      <c r="A23" s="367"/>
      <c r="B23" s="556" t="s">
        <v>1798</v>
      </c>
      <c r="C23" s="1813">
        <f>估价对象房地状况!C9</f>
        <v>0</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35"/>
      <c r="Q23" s="1263" t="str">
        <f>B23</f>
        <v>环境质量</v>
      </c>
      <c r="R23" s="667" t="s">
        <v>14</v>
      </c>
      <c r="S23" s="668">
        <f>F23</f>
        <v>100</v>
      </c>
      <c r="T23" s="667" t="s">
        <v>14</v>
      </c>
      <c r="U23" s="668">
        <f>H23</f>
        <v>100</v>
      </c>
      <c r="V23" s="667" t="s">
        <v>14</v>
      </c>
      <c r="W23" s="668">
        <f>J23</f>
        <v>100</v>
      </c>
      <c r="X23" s="1265"/>
      <c r="Y23" s="3428"/>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1"/>
      <c r="M24" s="2486"/>
      <c r="N24" s="2486"/>
      <c r="O24" s="2486"/>
      <c r="P24" s="3435"/>
      <c r="Q24" s="1263"/>
      <c r="R24" s="667"/>
      <c r="S24" s="668"/>
      <c r="T24" s="667"/>
      <c r="U24" s="668"/>
      <c r="V24" s="667"/>
      <c r="W24" s="668"/>
      <c r="X24" s="1265"/>
      <c r="Y24" s="3428"/>
      <c r="Z24" s="1264"/>
      <c r="AA24" s="1264">
        <v>1</v>
      </c>
      <c r="AB24" s="1264">
        <v>1</v>
      </c>
      <c r="AC24" s="1812">
        <v>1</v>
      </c>
    </row>
    <row r="25" spans="1:29" ht="27">
      <c r="A25" s="348"/>
      <c r="B25" s="556" t="s">
        <v>1799</v>
      </c>
      <c r="C25" s="1762"/>
      <c r="D25" s="374">
        <v>100</v>
      </c>
      <c r="E25" s="373"/>
      <c r="F25" s="374">
        <f>SUMIF(87:87,E26,88:88)-SUMIF(87:87,C26,88:88)+100</f>
        <v>100</v>
      </c>
      <c r="G25" s="1762"/>
      <c r="H25" s="374">
        <f>SUMIF(87:87,G26,88:88)-SUMIF(87:87,C26,88:88)+100</f>
        <v>100</v>
      </c>
      <c r="I25" s="373"/>
      <c r="J25" s="374">
        <f>SUMIF(87:87,I26,88:88)-SUMIF(87:87,C26,88:88)+100</f>
        <v>100</v>
      </c>
      <c r="K25" s="540"/>
      <c r="L25" s="2491"/>
      <c r="M25" s="2486"/>
      <c r="N25" s="2486"/>
      <c r="O25" s="2486"/>
      <c r="P25" s="3435"/>
      <c r="Q25" s="1263" t="str">
        <f>B25</f>
        <v>毗邻道路的类型与等级</v>
      </c>
      <c r="R25" s="667" t="s">
        <v>14</v>
      </c>
      <c r="S25" s="668">
        <f>F25</f>
        <v>100</v>
      </c>
      <c r="T25" s="667" t="s">
        <v>14</v>
      </c>
      <c r="U25" s="668">
        <f>H25</f>
        <v>100</v>
      </c>
      <c r="V25" s="667" t="s">
        <v>14</v>
      </c>
      <c r="W25" s="668">
        <f>J25</f>
        <v>100</v>
      </c>
      <c r="X25" s="1265"/>
      <c r="Y25" s="3428"/>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1"/>
      <c r="M26" s="2486"/>
      <c r="N26" s="2486"/>
      <c r="O26" s="2486"/>
      <c r="P26" s="3435"/>
      <c r="Q26" s="1263"/>
      <c r="R26" s="667"/>
      <c r="S26" s="668"/>
      <c r="T26" s="667"/>
      <c r="U26" s="668"/>
      <c r="V26" s="667"/>
      <c r="W26" s="668"/>
      <c r="X26" s="1265"/>
      <c r="Y26" s="3428"/>
      <c r="Z26" s="1264"/>
      <c r="AA26" s="1264">
        <v>1</v>
      </c>
      <c r="AB26" s="1264">
        <v>1</v>
      </c>
      <c r="AC26" s="1812">
        <v>1</v>
      </c>
    </row>
    <row r="27" spans="1:29" ht="15">
      <c r="A27" s="367"/>
      <c r="B27" s="401" t="s">
        <v>1767</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435"/>
      <c r="Q27" s="1263" t="str">
        <f t="shared" ref="Q27:Q47" si="11">B27</f>
        <v>楼层</v>
      </c>
      <c r="R27" s="667" t="s">
        <v>14</v>
      </c>
      <c r="S27" s="668">
        <f>F27</f>
        <v>100</v>
      </c>
      <c r="T27" s="667" t="s">
        <v>14</v>
      </c>
      <c r="U27" s="668">
        <f>H27</f>
        <v>100</v>
      </c>
      <c r="V27" s="667" t="s">
        <v>14</v>
      </c>
      <c r="W27" s="668">
        <f>J27</f>
        <v>100</v>
      </c>
      <c r="X27" s="1265"/>
      <c r="Y27" s="3428"/>
      <c r="Z27" s="1264" t="str">
        <f>Q27</f>
        <v>楼层</v>
      </c>
      <c r="AA27" s="1264">
        <f t="shared" si="3"/>
        <v>1</v>
      </c>
      <c r="AB27" s="1264">
        <f t="shared" si="4"/>
        <v>1</v>
      </c>
      <c r="AC27" s="1812">
        <f t="shared" si="5"/>
        <v>1</v>
      </c>
    </row>
    <row r="28" spans="1:29" s="102" customFormat="1" ht="15">
      <c r="A28" s="370"/>
      <c r="B28" s="556" t="s">
        <v>1800</v>
      </c>
      <c r="C28" s="1815"/>
      <c r="D28" s="401">
        <v>100</v>
      </c>
      <c r="E28" s="1807"/>
      <c r="F28" s="401">
        <f>SUMIF(91:91,E28,92:92)-SUMIF(91:91,C28,92:92)+100</f>
        <v>100</v>
      </c>
      <c r="G28" s="1815"/>
      <c r="H28" s="401">
        <f>SUMIF(91:91,G28,92:92)-SUMIF(91:91,C28,92:92)+100</f>
        <v>100</v>
      </c>
      <c r="I28" s="1807"/>
      <c r="J28" s="401">
        <f>SUMIF(91:91,I28,92:92)-SUMIF(91:91,C28,92:92)+100</f>
        <v>100</v>
      </c>
      <c r="K28" s="538"/>
      <c r="L28" s="2487"/>
      <c r="M28" s="2438"/>
      <c r="N28" s="2438"/>
      <c r="O28" s="2438"/>
      <c r="P28" s="3435"/>
      <c r="Q28" s="530" t="str">
        <f t="shared" si="11"/>
        <v>朝向</v>
      </c>
      <c r="R28" s="664" t="s">
        <v>14</v>
      </c>
      <c r="S28" s="665">
        <f>F28</f>
        <v>100</v>
      </c>
      <c r="T28" s="664" t="s">
        <v>14</v>
      </c>
      <c r="U28" s="665">
        <f>H28</f>
        <v>100</v>
      </c>
      <c r="V28" s="664" t="s">
        <v>14</v>
      </c>
      <c r="W28" s="665">
        <f>J28</f>
        <v>100</v>
      </c>
      <c r="X28" s="666"/>
      <c r="Y28" s="3428"/>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1"/>
      <c r="M29" s="2486"/>
      <c r="N29" s="2486"/>
      <c r="O29" s="2486"/>
      <c r="P29" s="3435"/>
      <c r="Q29" s="1263">
        <f t="shared" si="11"/>
        <v>111</v>
      </c>
      <c r="R29" s="667" t="s">
        <v>14</v>
      </c>
      <c r="S29" s="668">
        <f t="shared" ref="S29:S47" si="12">F29</f>
        <v>100</v>
      </c>
      <c r="T29" s="667" t="s">
        <v>14</v>
      </c>
      <c r="U29" s="668">
        <f t="shared" ref="U29:U47" si="13">H29</f>
        <v>100</v>
      </c>
      <c r="V29" s="667" t="s">
        <v>14</v>
      </c>
      <c r="W29" s="668">
        <f t="shared" ref="W29:W47" si="14">J29</f>
        <v>100</v>
      </c>
      <c r="X29" s="1265"/>
      <c r="Y29" s="3428"/>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1"/>
      <c r="M30" s="2486"/>
      <c r="N30" s="2486"/>
      <c r="O30" s="2486"/>
      <c r="P30" s="3435"/>
      <c r="Q30" s="1263">
        <f t="shared" si="11"/>
        <v>111</v>
      </c>
      <c r="R30" s="667" t="s">
        <v>14</v>
      </c>
      <c r="S30" s="668">
        <f t="shared" si="12"/>
        <v>100</v>
      </c>
      <c r="T30" s="667" t="s">
        <v>14</v>
      </c>
      <c r="U30" s="668">
        <f t="shared" si="13"/>
        <v>100</v>
      </c>
      <c r="V30" s="667" t="s">
        <v>14</v>
      </c>
      <c r="W30" s="668">
        <f t="shared" si="14"/>
        <v>100</v>
      </c>
      <c r="X30" s="1265"/>
      <c r="Y30" s="3428"/>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1"/>
      <c r="M31" s="2486"/>
      <c r="N31" s="2486"/>
      <c r="O31" s="2486"/>
      <c r="P31" s="3435"/>
      <c r="Q31" s="1263">
        <f t="shared" si="11"/>
        <v>111</v>
      </c>
      <c r="R31" s="667" t="s">
        <v>14</v>
      </c>
      <c r="S31" s="668">
        <f t="shared" si="12"/>
        <v>100</v>
      </c>
      <c r="T31" s="667" t="s">
        <v>14</v>
      </c>
      <c r="U31" s="668">
        <f t="shared" si="13"/>
        <v>100</v>
      </c>
      <c r="V31" s="667" t="s">
        <v>14</v>
      </c>
      <c r="W31" s="668">
        <f t="shared" si="14"/>
        <v>100</v>
      </c>
      <c r="X31" s="1265"/>
      <c r="Y31" s="3428"/>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1"/>
      <c r="M32" s="2486"/>
      <c r="N32" s="2486"/>
      <c r="O32" s="2486"/>
      <c r="P32" s="3435"/>
      <c r="Q32" s="1263">
        <f t="shared" si="11"/>
        <v>111</v>
      </c>
      <c r="R32" s="667" t="s">
        <v>14</v>
      </c>
      <c r="S32" s="668">
        <f t="shared" si="12"/>
        <v>100</v>
      </c>
      <c r="T32" s="667" t="s">
        <v>14</v>
      </c>
      <c r="U32" s="668">
        <f t="shared" si="13"/>
        <v>100</v>
      </c>
      <c r="V32" s="667" t="s">
        <v>14</v>
      </c>
      <c r="W32" s="668">
        <f t="shared" si="14"/>
        <v>100</v>
      </c>
      <c r="X32" s="1265"/>
      <c r="Y32" s="3428"/>
      <c r="Z32" s="1264">
        <f t="shared" si="15"/>
        <v>111</v>
      </c>
      <c r="AA32" s="1264">
        <f t="shared" si="3"/>
        <v>1</v>
      </c>
      <c r="AB32" s="1264">
        <f t="shared" si="4"/>
        <v>1</v>
      </c>
      <c r="AC32" s="1812">
        <f t="shared" si="5"/>
        <v>1</v>
      </c>
    </row>
    <row r="33" spans="1:29" ht="15">
      <c r="A33" s="379" t="s">
        <v>1678</v>
      </c>
      <c r="B33" s="60" t="s">
        <v>1801</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1"/>
      <c r="M33" s="2486"/>
      <c r="N33" s="2486"/>
      <c r="O33" s="2486"/>
      <c r="P33" s="3429" t="s">
        <v>1680</v>
      </c>
      <c r="Q33" s="1263" t="str">
        <f t="shared" si="11"/>
        <v>建筑类型</v>
      </c>
      <c r="R33" s="667" t="s">
        <v>14</v>
      </c>
      <c r="S33" s="668">
        <f t="shared" si="12"/>
        <v>100</v>
      </c>
      <c r="T33" s="667" t="s">
        <v>14</v>
      </c>
      <c r="U33" s="668">
        <f t="shared" si="13"/>
        <v>100</v>
      </c>
      <c r="V33" s="667" t="s">
        <v>14</v>
      </c>
      <c r="W33" s="668">
        <f t="shared" si="14"/>
        <v>100</v>
      </c>
      <c r="X33" s="1265"/>
      <c r="Y33" s="3432" t="s">
        <v>1680</v>
      </c>
      <c r="Z33" s="1264" t="str">
        <f t="shared" si="15"/>
        <v>建筑类型</v>
      </c>
      <c r="AA33" s="1264">
        <f t="shared" si="3"/>
        <v>1</v>
      </c>
      <c r="AB33" s="1264">
        <f t="shared" si="4"/>
        <v>1</v>
      </c>
      <c r="AC33" s="1812">
        <f t="shared" si="5"/>
        <v>1</v>
      </c>
    </row>
    <row r="34" spans="1:29" s="408" customFormat="1" ht="15">
      <c r="A34" s="406"/>
      <c r="B34" s="364" t="s">
        <v>1681</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430"/>
      <c r="Q34" s="531" t="str">
        <f t="shared" si="11"/>
        <v>项目建筑规模</v>
      </c>
      <c r="R34" s="669" t="s">
        <v>14</v>
      </c>
      <c r="S34" s="670" t="e">
        <f t="shared" si="12"/>
        <v>#N/A</v>
      </c>
      <c r="T34" s="669" t="s">
        <v>14</v>
      </c>
      <c r="U34" s="670" t="e">
        <f t="shared" si="13"/>
        <v>#N/A</v>
      </c>
      <c r="V34" s="669" t="s">
        <v>14</v>
      </c>
      <c r="W34" s="670" t="e">
        <f t="shared" si="14"/>
        <v>#N/A</v>
      </c>
      <c r="X34" s="671"/>
      <c r="Y34" s="3432"/>
      <c r="Z34" s="672" t="str">
        <f t="shared" si="15"/>
        <v>项目建筑规模</v>
      </c>
      <c r="AA34" s="1264" t="e">
        <f t="shared" si="3"/>
        <v>#N/A</v>
      </c>
      <c r="AB34" s="1264" t="e">
        <f t="shared" si="4"/>
        <v>#N/A</v>
      </c>
      <c r="AC34" s="1812" t="e">
        <f t="shared" si="5"/>
        <v>#N/A</v>
      </c>
    </row>
    <row r="35" spans="1:29" ht="15">
      <c r="A35" s="409"/>
      <c r="B35" s="364" t="s">
        <v>1682</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430"/>
      <c r="Q35" s="1263" t="str">
        <f t="shared" si="11"/>
        <v>建筑结构</v>
      </c>
      <c r="R35" s="667" t="s">
        <v>14</v>
      </c>
      <c r="S35" s="668">
        <f t="shared" si="12"/>
        <v>100</v>
      </c>
      <c r="T35" s="667" t="s">
        <v>14</v>
      </c>
      <c r="U35" s="668">
        <f t="shared" si="13"/>
        <v>100</v>
      </c>
      <c r="V35" s="667" t="s">
        <v>14</v>
      </c>
      <c r="W35" s="668">
        <f t="shared" si="14"/>
        <v>100</v>
      </c>
      <c r="X35" s="1265"/>
      <c r="Y35" s="3432"/>
      <c r="Z35" s="1264" t="str">
        <f t="shared" si="15"/>
        <v>建筑结构</v>
      </c>
      <c r="AA35" s="1264">
        <f t="shared" si="3"/>
        <v>1</v>
      </c>
      <c r="AB35" s="1264">
        <f t="shared" si="4"/>
        <v>1</v>
      </c>
      <c r="AC35" s="1812">
        <f t="shared" si="5"/>
        <v>1</v>
      </c>
    </row>
    <row r="36" spans="1:29" ht="15">
      <c r="A36" s="409"/>
      <c r="B36" s="364" t="s">
        <v>1769</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430"/>
      <c r="Q36" s="1263" t="str">
        <f t="shared" si="11"/>
        <v>公共部分装修</v>
      </c>
      <c r="R36" s="667" t="s">
        <v>14</v>
      </c>
      <c r="S36" s="668">
        <f t="shared" si="12"/>
        <v>100</v>
      </c>
      <c r="T36" s="667" t="s">
        <v>14</v>
      </c>
      <c r="U36" s="668">
        <f t="shared" si="13"/>
        <v>100</v>
      </c>
      <c r="V36" s="667" t="s">
        <v>14</v>
      </c>
      <c r="W36" s="668">
        <f t="shared" si="14"/>
        <v>100</v>
      </c>
      <c r="X36" s="1265"/>
      <c r="Y36" s="3432"/>
      <c r="Z36" s="1264" t="str">
        <f t="shared" si="15"/>
        <v>公共部分装修</v>
      </c>
      <c r="AA36" s="1264">
        <f t="shared" si="3"/>
        <v>1</v>
      </c>
      <c r="AB36" s="1264">
        <f t="shared" si="4"/>
        <v>1</v>
      </c>
      <c r="AC36" s="1812">
        <f t="shared" si="5"/>
        <v>1</v>
      </c>
    </row>
    <row r="37" spans="1:29" ht="15">
      <c r="A37" s="409"/>
      <c r="B37" s="364" t="s">
        <v>1770</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430"/>
      <c r="Q37" s="1263" t="str">
        <f t="shared" si="11"/>
        <v>成新度</v>
      </c>
      <c r="R37" s="667" t="s">
        <v>14</v>
      </c>
      <c r="S37" s="668" t="e">
        <f t="shared" si="12"/>
        <v>#N/A</v>
      </c>
      <c r="T37" s="667" t="s">
        <v>14</v>
      </c>
      <c r="U37" s="668" t="e">
        <f t="shared" si="13"/>
        <v>#N/A</v>
      </c>
      <c r="V37" s="667" t="s">
        <v>14</v>
      </c>
      <c r="W37" s="668" t="e">
        <f t="shared" si="14"/>
        <v>#N/A</v>
      </c>
      <c r="X37" s="1265"/>
      <c r="Y37" s="3432"/>
      <c r="Z37" s="1264" t="str">
        <f t="shared" si="15"/>
        <v>成新度</v>
      </c>
      <c r="AA37" s="1264" t="e">
        <f t="shared" si="3"/>
        <v>#N/A</v>
      </c>
      <c r="AB37" s="1264" t="e">
        <f t="shared" si="4"/>
        <v>#N/A</v>
      </c>
      <c r="AC37" s="1812" t="e">
        <f t="shared" si="5"/>
        <v>#N/A</v>
      </c>
    </row>
    <row r="38" spans="1:29" s="102" customFormat="1" ht="15">
      <c r="A38" s="410"/>
      <c r="B38" s="364" t="s">
        <v>1802</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430"/>
      <c r="Q38" s="530" t="str">
        <f t="shared" si="11"/>
        <v>写字楼等级</v>
      </c>
      <c r="R38" s="664" t="s">
        <v>14</v>
      </c>
      <c r="S38" s="665">
        <f t="shared" si="12"/>
        <v>100</v>
      </c>
      <c r="T38" s="664" t="s">
        <v>14</v>
      </c>
      <c r="U38" s="665">
        <f t="shared" si="13"/>
        <v>100</v>
      </c>
      <c r="V38" s="664" t="s">
        <v>14</v>
      </c>
      <c r="W38" s="665">
        <f t="shared" si="14"/>
        <v>100</v>
      </c>
      <c r="X38" s="666"/>
      <c r="Y38" s="3432"/>
      <c r="Z38" s="50" t="str">
        <f t="shared" si="15"/>
        <v>写字楼等级</v>
      </c>
      <c r="AA38" s="50">
        <f t="shared" si="3"/>
        <v>1</v>
      </c>
      <c r="AB38" s="50">
        <f t="shared" si="4"/>
        <v>1</v>
      </c>
      <c r="AC38" s="802">
        <f t="shared" si="5"/>
        <v>1</v>
      </c>
    </row>
    <row r="39" spans="1:29" ht="15">
      <c r="A39" s="409"/>
      <c r="B39" s="364" t="s">
        <v>1803</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430" t="s">
        <v>1680</v>
      </c>
      <c r="Q39" s="1263" t="str">
        <f t="shared" si="11"/>
        <v>物业管理</v>
      </c>
      <c r="R39" s="667" t="s">
        <v>14</v>
      </c>
      <c r="S39" s="668">
        <f t="shared" si="12"/>
        <v>100</v>
      </c>
      <c r="T39" s="667" t="s">
        <v>14</v>
      </c>
      <c r="U39" s="668">
        <f t="shared" si="13"/>
        <v>100</v>
      </c>
      <c r="V39" s="667" t="s">
        <v>14</v>
      </c>
      <c r="W39" s="668">
        <f t="shared" si="14"/>
        <v>100</v>
      </c>
      <c r="X39" s="1265"/>
      <c r="Y39" s="3432" t="s">
        <v>1680</v>
      </c>
      <c r="Z39" s="1264" t="str">
        <f t="shared" si="15"/>
        <v>物业管理</v>
      </c>
      <c r="AA39" s="1264">
        <f t="shared" si="3"/>
        <v>1</v>
      </c>
      <c r="AB39" s="1264">
        <f t="shared" si="4"/>
        <v>1</v>
      </c>
      <c r="AC39" s="1812">
        <f t="shared" si="5"/>
        <v>1</v>
      </c>
    </row>
    <row r="40" spans="1:29" ht="15">
      <c r="A40" s="409"/>
      <c r="B40" s="364" t="s">
        <v>1771</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430"/>
      <c r="Q40" s="1263" t="str">
        <f t="shared" si="11"/>
        <v>市政基础设施</v>
      </c>
      <c r="R40" s="667" t="s">
        <v>14</v>
      </c>
      <c r="S40" s="668">
        <f t="shared" si="12"/>
        <v>100</v>
      </c>
      <c r="T40" s="667" t="s">
        <v>14</v>
      </c>
      <c r="U40" s="668">
        <f t="shared" si="13"/>
        <v>100</v>
      </c>
      <c r="V40" s="667" t="s">
        <v>14</v>
      </c>
      <c r="W40" s="668">
        <f t="shared" si="14"/>
        <v>100</v>
      </c>
      <c r="X40" s="1265"/>
      <c r="Y40" s="3432"/>
      <c r="Z40" s="1264" t="str">
        <f t="shared" si="15"/>
        <v>市政基础设施</v>
      </c>
      <c r="AA40" s="1264">
        <f t="shared" si="3"/>
        <v>1</v>
      </c>
      <c r="AB40" s="1264">
        <f t="shared" si="4"/>
        <v>1</v>
      </c>
      <c r="AC40" s="1812">
        <f t="shared" si="5"/>
        <v>1</v>
      </c>
    </row>
    <row r="41" spans="1:29" ht="15">
      <c r="A41" s="409"/>
      <c r="B41" s="364" t="s">
        <v>1773</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430"/>
      <c r="Q41" s="1263" t="str">
        <f t="shared" si="11"/>
        <v>层高</v>
      </c>
      <c r="R41" s="667" t="s">
        <v>14</v>
      </c>
      <c r="S41" s="668">
        <f t="shared" si="12"/>
        <v>100</v>
      </c>
      <c r="T41" s="667" t="s">
        <v>14</v>
      </c>
      <c r="U41" s="668">
        <f t="shared" si="13"/>
        <v>100</v>
      </c>
      <c r="V41" s="667" t="s">
        <v>14</v>
      </c>
      <c r="W41" s="668">
        <f t="shared" si="14"/>
        <v>100</v>
      </c>
      <c r="X41" s="1265"/>
      <c r="Y41" s="3432"/>
      <c r="Z41" s="1264" t="str">
        <f t="shared" si="15"/>
        <v>层高</v>
      </c>
      <c r="AA41" s="1264">
        <f t="shared" si="3"/>
        <v>1</v>
      </c>
      <c r="AB41" s="1264">
        <f t="shared" si="4"/>
        <v>1</v>
      </c>
      <c r="AC41" s="1812">
        <f t="shared" si="5"/>
        <v>1</v>
      </c>
    </row>
    <row r="42" spans="1:29" s="408" customFormat="1" ht="15">
      <c r="A42" s="406"/>
      <c r="B42" s="400" t="s">
        <v>1804</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30"/>
      <c r="Q42" s="531" t="str">
        <f t="shared" si="11"/>
        <v>单套建筑面积</v>
      </c>
      <c r="R42" s="669" t="s">
        <v>14</v>
      </c>
      <c r="S42" s="670">
        <f t="shared" si="12"/>
        <v>100</v>
      </c>
      <c r="T42" s="669" t="s">
        <v>14</v>
      </c>
      <c r="U42" s="670">
        <f t="shared" si="13"/>
        <v>100</v>
      </c>
      <c r="V42" s="669" t="s">
        <v>14</v>
      </c>
      <c r="W42" s="670">
        <f t="shared" si="14"/>
        <v>100</v>
      </c>
      <c r="X42" s="671"/>
      <c r="Y42" s="3432"/>
      <c r="Z42" s="672" t="str">
        <f t="shared" si="15"/>
        <v>单套建筑面积</v>
      </c>
      <c r="AA42" s="1264">
        <f t="shared" si="3"/>
        <v>1</v>
      </c>
      <c r="AB42" s="1264">
        <f t="shared" si="4"/>
        <v>1</v>
      </c>
      <c r="AC42" s="1812">
        <f t="shared" si="5"/>
        <v>1</v>
      </c>
    </row>
    <row r="43" spans="1:29" ht="15">
      <c r="A43" s="409"/>
      <c r="B43" s="364" t="s">
        <v>1776</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430"/>
      <c r="Q43" s="1263" t="str">
        <f t="shared" si="11"/>
        <v>内部装修</v>
      </c>
      <c r="R43" s="667" t="s">
        <v>14</v>
      </c>
      <c r="S43" s="668">
        <f t="shared" si="12"/>
        <v>100</v>
      </c>
      <c r="T43" s="667" t="s">
        <v>14</v>
      </c>
      <c r="U43" s="668">
        <f t="shared" si="13"/>
        <v>100</v>
      </c>
      <c r="V43" s="667" t="s">
        <v>14</v>
      </c>
      <c r="W43" s="668">
        <f t="shared" si="14"/>
        <v>100</v>
      </c>
      <c r="X43" s="1265"/>
      <c r="Y43" s="3432"/>
      <c r="Z43" s="1264" t="str">
        <f t="shared" si="15"/>
        <v>内部装修</v>
      </c>
      <c r="AA43" s="1264">
        <f t="shared" si="3"/>
        <v>1</v>
      </c>
      <c r="AB43" s="1264">
        <f t="shared" si="4"/>
        <v>1</v>
      </c>
      <c r="AC43" s="1812">
        <f t="shared" si="5"/>
        <v>1</v>
      </c>
    </row>
    <row r="44" spans="1:29" ht="15">
      <c r="A44" s="409"/>
      <c r="B44" s="364" t="s">
        <v>1691</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1"/>
      <c r="M44" s="2486"/>
      <c r="N44" s="2486"/>
      <c r="O44" s="2486"/>
      <c r="P44" s="3430"/>
      <c r="Q44" s="1263" t="str">
        <f t="shared" si="11"/>
        <v>内部装修维护情况</v>
      </c>
      <c r="R44" s="667" t="s">
        <v>14</v>
      </c>
      <c r="S44" s="668">
        <f t="shared" si="12"/>
        <v>100</v>
      </c>
      <c r="T44" s="667" t="s">
        <v>14</v>
      </c>
      <c r="U44" s="668">
        <f t="shared" si="13"/>
        <v>100</v>
      </c>
      <c r="V44" s="667" t="s">
        <v>14</v>
      </c>
      <c r="W44" s="668">
        <f t="shared" si="14"/>
        <v>100</v>
      </c>
      <c r="X44" s="1265"/>
      <c r="Y44" s="3432"/>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8"/>
      <c r="N45" s="2438"/>
      <c r="O45" s="2438"/>
      <c r="P45" s="3430"/>
      <c r="Q45" s="530">
        <f t="shared" si="11"/>
        <v>111</v>
      </c>
      <c r="R45" s="664" t="s">
        <v>14</v>
      </c>
      <c r="S45" s="665">
        <f t="shared" si="12"/>
        <v>100</v>
      </c>
      <c r="T45" s="664" t="s">
        <v>14</v>
      </c>
      <c r="U45" s="665">
        <f t="shared" si="13"/>
        <v>100</v>
      </c>
      <c r="V45" s="664" t="s">
        <v>14</v>
      </c>
      <c r="W45" s="665">
        <f t="shared" si="14"/>
        <v>100</v>
      </c>
      <c r="X45" s="666"/>
      <c r="Y45" s="3432"/>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430"/>
      <c r="Q46" s="1263">
        <f t="shared" si="11"/>
        <v>111</v>
      </c>
      <c r="R46" s="667" t="s">
        <v>14</v>
      </c>
      <c r="S46" s="668">
        <f t="shared" si="12"/>
        <v>100</v>
      </c>
      <c r="T46" s="667" t="s">
        <v>14</v>
      </c>
      <c r="U46" s="668">
        <f t="shared" si="13"/>
        <v>100</v>
      </c>
      <c r="V46" s="667" t="s">
        <v>14</v>
      </c>
      <c r="W46" s="668">
        <f t="shared" si="14"/>
        <v>100</v>
      </c>
      <c r="X46" s="1265"/>
      <c r="Y46" s="3432"/>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431"/>
      <c r="Q47" s="1263">
        <f t="shared" si="11"/>
        <v>111</v>
      </c>
      <c r="R47" s="667" t="s">
        <v>14</v>
      </c>
      <c r="S47" s="668">
        <f t="shared" si="12"/>
        <v>100</v>
      </c>
      <c r="T47" s="667" t="s">
        <v>14</v>
      </c>
      <c r="U47" s="668">
        <f t="shared" si="13"/>
        <v>100</v>
      </c>
      <c r="V47" s="667" t="s">
        <v>14</v>
      </c>
      <c r="W47" s="668">
        <f t="shared" si="14"/>
        <v>100</v>
      </c>
      <c r="X47" s="1265"/>
      <c r="Y47" s="3433"/>
      <c r="Z47" s="1264">
        <f t="shared" si="15"/>
        <v>111</v>
      </c>
      <c r="AA47" s="1264">
        <f t="shared" si="3"/>
        <v>1</v>
      </c>
      <c r="AB47" s="1264">
        <f t="shared" si="4"/>
        <v>1</v>
      </c>
      <c r="AC47" s="1812">
        <f t="shared" si="5"/>
        <v>1</v>
      </c>
    </row>
    <row r="48" spans="1:29" ht="15">
      <c r="A48" s="416" t="s">
        <v>1692</v>
      </c>
      <c r="B48" s="417"/>
      <c r="C48" s="1081" t="s">
        <v>0</v>
      </c>
      <c r="D48" s="418"/>
      <c r="E48" s="419"/>
      <c r="F48" s="420"/>
      <c r="G48" s="421"/>
      <c r="H48" s="422"/>
      <c r="I48" s="419"/>
      <c r="J48" s="422"/>
      <c r="K48" s="674"/>
      <c r="L48" s="2493"/>
      <c r="M48" s="2486"/>
      <c r="N48" s="2486"/>
      <c r="O48" s="2486"/>
      <c r="P48" s="3436" t="str">
        <f>A48</f>
        <v>成交单价（元/平方米）</v>
      </c>
      <c r="Q48" s="3425"/>
      <c r="R48" s="3426">
        <f>E48</f>
        <v>0</v>
      </c>
      <c r="S48" s="3426"/>
      <c r="T48" s="3426">
        <f>G48</f>
        <v>0</v>
      </c>
      <c r="U48" s="3426"/>
      <c r="V48" s="3426">
        <f>I48</f>
        <v>0</v>
      </c>
      <c r="W48" s="3426"/>
      <c r="X48" s="385"/>
      <c r="Y48" s="673"/>
      <c r="Z48" s="385"/>
      <c r="AA48" s="385"/>
      <c r="AB48" s="385"/>
      <c r="AC48" s="555"/>
    </row>
    <row r="49" spans="1:29" ht="15.75" thickBot="1">
      <c r="A49" s="423" t="s">
        <v>1777</v>
      </c>
      <c r="B49" s="424"/>
      <c r="C49" s="1082" t="e">
        <f>R50</f>
        <v>#DIV/0!</v>
      </c>
      <c r="D49" s="2141" t="s">
        <v>2122</v>
      </c>
      <c r="E49" s="1083" t="e">
        <f>R49</f>
        <v>#DIV/0!</v>
      </c>
      <c r="F49" s="2142"/>
      <c r="G49" s="1082" t="e">
        <f>T49</f>
        <v>#DIV/0!</v>
      </c>
      <c r="H49" s="2142"/>
      <c r="I49" s="1083" t="e">
        <f>V49</f>
        <v>#DIV/0!</v>
      </c>
      <c r="J49" s="2142"/>
      <c r="K49" s="2144">
        <f>F49+H49+J49</f>
        <v>0</v>
      </c>
      <c r="L49" s="2493"/>
      <c r="M49" s="2486"/>
      <c r="N49" s="2486"/>
      <c r="O49" s="2486"/>
      <c r="P49" s="3436" t="str">
        <f>A49</f>
        <v>比较价值（元/平方米）</v>
      </c>
      <c r="Q49" s="3425"/>
      <c r="R49" s="3426" t="e">
        <f>IF(F1="售价",ROUND(PRODUCT(R48,AA7:AA47),0),ROUND(PRODUCT(R48,AA7:AA47),1))</f>
        <v>#DIV/0!</v>
      </c>
      <c r="S49" s="3426"/>
      <c r="T49" s="3426" t="e">
        <f>IF(F1="售价",ROUND(PRODUCT(T48,AB7:AB47),0),ROUND(PRODUCT(T48,AB7:AB47),1))</f>
        <v>#DIV/0!</v>
      </c>
      <c r="U49" s="3426"/>
      <c r="V49" s="3426" t="e">
        <f>IF(F1="售价",ROUND(PRODUCT(V48,AC7:AC47),0),ROUND(PRODUCT(V48,AC7:AC47),1))</f>
        <v>#DIV/0!</v>
      </c>
      <c r="W49" s="3426"/>
      <c r="X49" s="385"/>
      <c r="Y49" s="385"/>
      <c r="Z49" s="385"/>
      <c r="AA49" s="385"/>
      <c r="AB49" s="385"/>
      <c r="AC49" s="555"/>
    </row>
    <row r="50" spans="1:29" ht="15.75" thickBot="1">
      <c r="A50" s="427" t="s">
        <v>1778</v>
      </c>
      <c r="B50" s="428"/>
      <c r="C50" s="351" t="e">
        <f>R50</f>
        <v>#DIV/0!</v>
      </c>
      <c r="D50" s="351"/>
      <c r="E50" s="351"/>
      <c r="F50" s="351"/>
      <c r="G50" s="351"/>
      <c r="H50" s="351"/>
      <c r="I50" s="351"/>
      <c r="J50" s="429"/>
      <c r="K50" s="675"/>
      <c r="L50" s="2493"/>
      <c r="M50" s="2486"/>
      <c r="N50" s="2486"/>
      <c r="O50" s="2486"/>
      <c r="P50" s="3467" t="str">
        <f>A50</f>
        <v>估价对象XX用房的比较价值（楼面单价，元/平方米）</v>
      </c>
      <c r="Q50" s="3468"/>
      <c r="R50" s="3469" t="e">
        <f>IF(F1="售价",ROUND(IF(D49="简单平均",AVERAGE(R49:V49),R49*F49+T49*H49+V49*J49),0),ROUND(IF(D49="简单平均",AVERAGE(R49:V49),R49*F49+T49*H49+V49*J49),1))</f>
        <v>#DIV/0!</v>
      </c>
      <c r="S50" s="3469"/>
      <c r="T50" s="3469"/>
      <c r="U50" s="3469"/>
      <c r="V50" s="3469"/>
      <c r="W50" s="3469"/>
      <c r="X50" s="1798"/>
      <c r="Y50" s="1798"/>
      <c r="Z50" s="1798"/>
      <c r="AA50" s="1798"/>
      <c r="AB50" s="1798"/>
      <c r="AC50" s="1799"/>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1779</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1780</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1781</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8" t="s">
        <v>1782</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5">
      <c r="A59" s="440" t="s">
        <v>1663</v>
      </c>
      <c r="B59" s="441"/>
      <c r="C59" s="1103" t="str">
        <f>YEAR(C7)&amp;"-"&amp;MONTH(C7)</f>
        <v>2025-1</v>
      </c>
      <c r="D59" s="1104">
        <f>EDATE(C59,-1)</f>
        <v>45627</v>
      </c>
      <c r="E59" s="1104">
        <f>EDATE(D59,-1)</f>
        <v>45597</v>
      </c>
      <c r="F59" s="1104">
        <f t="shared" ref="F59:O59" si="16">EDATE(E59,-1)</f>
        <v>45566</v>
      </c>
      <c r="G59" s="1104">
        <f t="shared" si="16"/>
        <v>45536</v>
      </c>
      <c r="H59" s="1104">
        <f t="shared" si="16"/>
        <v>45505</v>
      </c>
      <c r="I59" s="1104">
        <f t="shared" si="16"/>
        <v>45474</v>
      </c>
      <c r="J59" s="1104">
        <f t="shared" si="16"/>
        <v>45444</v>
      </c>
      <c r="K59" s="1104">
        <f t="shared" si="16"/>
        <v>45413</v>
      </c>
      <c r="L59" s="1104">
        <f t="shared" si="16"/>
        <v>45383</v>
      </c>
      <c r="M59" s="1104">
        <f t="shared" si="16"/>
        <v>45352</v>
      </c>
      <c r="N59" s="1104">
        <f t="shared" si="16"/>
        <v>45323</v>
      </c>
      <c r="O59" s="1104">
        <f t="shared" si="16"/>
        <v>45292</v>
      </c>
      <c r="P59" s="2526"/>
      <c r="Q59" s="2509"/>
      <c r="R59" s="2509"/>
      <c r="S59" s="2509"/>
      <c r="T59" s="2509"/>
      <c r="U59" s="2509"/>
      <c r="V59" s="2509"/>
      <c r="W59" s="2509"/>
      <c r="X59" s="2509"/>
      <c r="Y59" s="2509"/>
      <c r="Z59" s="2509"/>
      <c r="AA59" s="2509"/>
      <c r="AB59" s="2509"/>
      <c r="AC59" s="2509"/>
    </row>
    <row r="60" spans="1:29" s="102" customFormat="1" ht="15">
      <c r="A60" s="443"/>
      <c r="B60" s="444"/>
      <c r="C60" s="1102">
        <v>100</v>
      </c>
      <c r="D60" s="446"/>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1700</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1665</v>
      </c>
      <c r="B62" s="444"/>
      <c r="C62" s="456" t="s">
        <v>1760</v>
      </c>
      <c r="D62" s="31"/>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1703</v>
      </c>
      <c r="B64" s="460" t="s">
        <v>1669</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1672</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1673</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1674</v>
      </c>
      <c r="B77" s="460" t="s">
        <v>1805</v>
      </c>
      <c r="C77" s="504" t="s">
        <v>1705</v>
      </c>
      <c r="D77" s="504" t="s">
        <v>1706</v>
      </c>
      <c r="E77" s="504" t="s">
        <v>1707</v>
      </c>
      <c r="F77" s="504" t="s">
        <v>1708</v>
      </c>
      <c r="G77" s="504" t="s">
        <v>1709</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1710</v>
      </c>
      <c r="C79" s="509" t="s">
        <v>1705</v>
      </c>
      <c r="D79" s="509" t="s">
        <v>1706</v>
      </c>
      <c r="E79" s="509" t="s">
        <v>1707</v>
      </c>
      <c r="F79" s="509" t="s">
        <v>1708</v>
      </c>
      <c r="G79" s="509" t="s">
        <v>1709</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1711</v>
      </c>
      <c r="C81" s="509" t="s">
        <v>1705</v>
      </c>
      <c r="D81" s="509" t="s">
        <v>1706</v>
      </c>
      <c r="E81" s="509" t="s">
        <v>1707</v>
      </c>
      <c r="F81" s="509" t="s">
        <v>1708</v>
      </c>
      <c r="G81" s="509" t="s">
        <v>1709</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1797</v>
      </c>
      <c r="C83" s="581" t="s">
        <v>1783</v>
      </c>
      <c r="D83" s="581" t="s">
        <v>1784</v>
      </c>
      <c r="E83" s="581" t="s">
        <v>1785</v>
      </c>
      <c r="F83" s="581" t="s">
        <v>1786</v>
      </c>
      <c r="G83" s="581" t="s">
        <v>1787</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1806</v>
      </c>
      <c r="C85" s="509" t="s">
        <v>1705</v>
      </c>
      <c r="D85" s="509" t="s">
        <v>1706</v>
      </c>
      <c r="E85" s="509" t="s">
        <v>1707</v>
      </c>
      <c r="F85" s="509" t="s">
        <v>1708</v>
      </c>
      <c r="G85" s="509" t="s">
        <v>1709</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1807</v>
      </c>
      <c r="C87" s="485"/>
      <c r="D87" s="485"/>
      <c r="E87" s="485"/>
      <c r="F87" s="485"/>
      <c r="G87" s="485"/>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485"/>
      <c r="D89" s="485"/>
      <c r="E89" s="485"/>
      <c r="F89" s="1780"/>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1678</v>
      </c>
      <c r="B101" s="460" t="s">
        <v>1720</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1721</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1722</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1724</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1174</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1808</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1725</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1726</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1809</v>
      </c>
      <c r="C119" s="513"/>
      <c r="D119" s="513"/>
      <c r="E119" s="513"/>
      <c r="F119" s="513"/>
      <c r="G119" s="513"/>
      <c r="H119" s="513"/>
      <c r="I119" s="513"/>
      <c r="J119" s="513"/>
      <c r="K119" s="513"/>
      <c r="L119" s="1816"/>
      <c r="M119" s="1817"/>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1792</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1728</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1729</v>
      </c>
      <c r="C125" s="509" t="s">
        <v>1705</v>
      </c>
      <c r="D125" s="509" t="s">
        <v>1706</v>
      </c>
      <c r="E125" s="509" t="s">
        <v>1707</v>
      </c>
      <c r="F125" s="509" t="s">
        <v>1708</v>
      </c>
      <c r="G125" s="509" t="s">
        <v>1709</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85" zoomScaleNormal="60" zoomScaleSheetLayoutView="85" workbookViewId="0">
      <selection activeCell="M19" sqref="M1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1644</v>
      </c>
      <c r="B1" s="1808" t="s">
        <v>1810</v>
      </c>
      <c r="C1" s="1141" t="s">
        <v>1646</v>
      </c>
      <c r="D1" s="1142" t="s">
        <v>3</v>
      </c>
      <c r="E1" s="3130" t="s">
        <v>3485</v>
      </c>
      <c r="F1" s="1735" t="s">
        <v>3483</v>
      </c>
      <c r="G1" s="1152" t="s">
        <v>1751</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1446</v>
      </c>
      <c r="B2" s="1085">
        <f>IF(E1="项目模式",IF(C2="——",ROUND(C43*D3/10000,0),ROUND(C43*D3/10000,0)-D2),IF(E1="单套模式",IF(C2="——",ROUND(C43*D3/10000,4),ROUND(C43*D3/10000,4)-D2)))</f>
        <v>8</v>
      </c>
      <c r="C2" s="1737" t="s">
        <v>43</v>
      </c>
      <c r="D2" s="854" t="e">
        <f ca="1">IF(E1="项目模式",SUMIF(INDIRECT("'"&amp;F2&amp;"'"&amp;"!A:A"),"承租人权益价值",INDIRECT("'"&amp;F2&amp;"'"&amp;"!c:c")),SUMIF(INDIRECT("'"&amp;F2&amp;"'"&amp;"!A:A"),"承租人权益价值（单套）",INDIRECT("'"&amp;F2&amp;"'"&amp;"!c:c")))</f>
        <v>#REF!</v>
      </c>
      <c r="E2" s="1738" t="s">
        <v>1447</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1448</v>
      </c>
      <c r="B3" s="536">
        <f>IF(C2="——",C43,ROUND(B2*10000/D3,0))</f>
        <v>1.2</v>
      </c>
      <c r="C3" s="344" t="s">
        <v>1752</v>
      </c>
      <c r="D3" s="343">
        <f>IF(D1="",'数据-汇总表'!E3,SUMIF('数据-汇总表'!$C19:$C33,D1,'数据-汇总表'!$E19:$E33))</f>
        <v>66988.94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1753</v>
      </c>
      <c r="B4" s="346"/>
      <c r="C4" s="3440" t="s">
        <v>1754</v>
      </c>
      <c r="D4" s="3441"/>
      <c r="E4" s="3442" t="s">
        <v>1755</v>
      </c>
      <c r="F4" s="3443"/>
      <c r="G4" s="3440" t="s">
        <v>1756</v>
      </c>
      <c r="H4" s="3441"/>
      <c r="I4" s="3440" t="s">
        <v>1757</v>
      </c>
      <c r="J4" s="3441"/>
      <c r="K4" s="537" t="s">
        <v>1758</v>
      </c>
      <c r="L4" s="860"/>
      <c r="M4" s="861"/>
      <c r="N4" s="861"/>
      <c r="O4" s="861"/>
      <c r="P4" s="3444" t="s">
        <v>1759</v>
      </c>
      <c r="Q4" s="3445"/>
      <c r="R4" s="3450" t="s">
        <v>1755</v>
      </c>
      <c r="S4" s="3451"/>
      <c r="T4" s="3450" t="s">
        <v>1756</v>
      </c>
      <c r="U4" s="3451"/>
      <c r="V4" s="3426" t="s">
        <v>1757</v>
      </c>
      <c r="W4" s="3426"/>
      <c r="X4" s="1265"/>
      <c r="Y4" s="3450" t="s">
        <v>1759</v>
      </c>
      <c r="Z4" s="3451"/>
      <c r="AA4" s="3437" t="s">
        <v>1755</v>
      </c>
      <c r="AB4" s="3438" t="s">
        <v>1756</v>
      </c>
      <c r="AC4" s="3437" t="s">
        <v>1757</v>
      </c>
    </row>
    <row r="5" spans="1:29" ht="15">
      <c r="A5" s="348"/>
      <c r="B5" s="349"/>
      <c r="C5" s="3458" t="s">
        <v>1657</v>
      </c>
      <c r="D5" s="3459"/>
      <c r="E5" s="3484" t="s">
        <v>3486</v>
      </c>
      <c r="F5" s="3466"/>
      <c r="G5" s="3483" t="s">
        <v>3520</v>
      </c>
      <c r="H5" s="3459"/>
      <c r="I5" s="3483" t="s">
        <v>3487</v>
      </c>
      <c r="J5" s="3459"/>
      <c r="K5" s="537"/>
      <c r="L5" s="860"/>
      <c r="M5" s="861"/>
      <c r="N5" s="861"/>
      <c r="O5" s="861"/>
      <c r="P5" s="3446"/>
      <c r="Q5" s="3447"/>
      <c r="R5" s="3452"/>
      <c r="S5" s="3453"/>
      <c r="T5" s="3452"/>
      <c r="U5" s="3453"/>
      <c r="V5" s="3426"/>
      <c r="W5" s="3426"/>
      <c r="X5" s="1265"/>
      <c r="Y5" s="3452"/>
      <c r="Z5" s="3453"/>
      <c r="AA5" s="3438"/>
      <c r="AB5" s="3438"/>
      <c r="AC5" s="3438"/>
    </row>
    <row r="6" spans="1:29" ht="15.75" thickBot="1">
      <c r="A6" s="350"/>
      <c r="B6" s="351"/>
      <c r="C6" s="3456" t="s">
        <v>1661</v>
      </c>
      <c r="D6" s="3457"/>
      <c r="E6" s="3463" t="s">
        <v>1661</v>
      </c>
      <c r="F6" s="3464"/>
      <c r="G6" s="3456" t="s">
        <v>1661</v>
      </c>
      <c r="H6" s="3457"/>
      <c r="I6" s="3456" t="s">
        <v>1661</v>
      </c>
      <c r="J6" s="3457"/>
      <c r="K6" s="537" t="s">
        <v>1662</v>
      </c>
      <c r="L6" s="860"/>
      <c r="M6" s="861"/>
      <c r="N6" s="861"/>
      <c r="O6" s="861"/>
      <c r="P6" s="3448"/>
      <c r="Q6" s="3449"/>
      <c r="R6" s="3452"/>
      <c r="S6" s="3453"/>
      <c r="T6" s="3454"/>
      <c r="U6" s="3455"/>
      <c r="V6" s="3426"/>
      <c r="W6" s="3426"/>
      <c r="X6" s="1265"/>
      <c r="Y6" s="3454"/>
      <c r="Z6" s="3455"/>
      <c r="AA6" s="3439"/>
      <c r="AB6" s="3439"/>
      <c r="AC6" s="3439"/>
    </row>
    <row r="7" spans="1:29" s="102" customFormat="1" ht="15.75" thickBot="1">
      <c r="A7" s="352" t="s">
        <v>1663</v>
      </c>
      <c r="B7" s="353"/>
      <c r="C7" s="354">
        <f>'数据-取费表'!B2</f>
        <v>45677</v>
      </c>
      <c r="D7" s="355">
        <v>100</v>
      </c>
      <c r="E7" s="356">
        <f>C7</f>
        <v>45677</v>
      </c>
      <c r="F7" s="357">
        <f>SUMIF(52:52,YEAR(E7)&amp;"-"&amp;MONTH(E7),53:53)</f>
        <v>100</v>
      </c>
      <c r="G7" s="356">
        <f>C7</f>
        <v>45677</v>
      </c>
      <c r="H7" s="355">
        <f>SUMIF(52:52,YEAR(G7)&amp;"-"&amp;MONTH(G7),53:53)</f>
        <v>100</v>
      </c>
      <c r="I7" s="356">
        <f>C7</f>
        <v>45677</v>
      </c>
      <c r="J7" s="355">
        <f>SUMIF(52:52,YEAR(I7)&amp;"-"&amp;MONTH(I7),53:53)</f>
        <v>100</v>
      </c>
      <c r="K7" s="38"/>
      <c r="L7" s="862"/>
      <c r="M7" s="863"/>
      <c r="N7" s="863"/>
      <c r="O7" s="863"/>
      <c r="P7" s="3460" t="s">
        <v>1664</v>
      </c>
      <c r="Q7" s="3462"/>
      <c r="R7" s="664" t="s">
        <v>14</v>
      </c>
      <c r="S7" s="665">
        <f t="shared" ref="S7:S15" si="0">F7</f>
        <v>100</v>
      </c>
      <c r="T7" s="664" t="s">
        <v>14</v>
      </c>
      <c r="U7" s="665">
        <f t="shared" ref="U7:U15" si="1">H7</f>
        <v>100</v>
      </c>
      <c r="V7" s="664" t="s">
        <v>14</v>
      </c>
      <c r="W7" s="665">
        <f t="shared" ref="W7:W15" si="2">J7</f>
        <v>100</v>
      </c>
      <c r="X7" s="666"/>
      <c r="Y7" s="3460" t="s">
        <v>1664</v>
      </c>
      <c r="Z7" s="3461"/>
      <c r="AA7" s="50">
        <f>D7/F7</f>
        <v>1</v>
      </c>
      <c r="AB7" s="50">
        <f>D7/H7</f>
        <v>1</v>
      </c>
      <c r="AC7" s="50">
        <f>D7/J7</f>
        <v>1</v>
      </c>
    </row>
    <row r="8" spans="1:29" s="102" customFormat="1" ht="15.75" thickBot="1">
      <c r="A8" s="352" t="s">
        <v>1665</v>
      </c>
      <c r="B8" s="353"/>
      <c r="C8" s="358" t="s">
        <v>3488</v>
      </c>
      <c r="D8" s="355">
        <v>100</v>
      </c>
      <c r="E8" s="358" t="s">
        <v>3489</v>
      </c>
      <c r="F8" s="357">
        <f>SUMIF(55:55,E8,56:56)-SUMIF(55:55,C8,56:56)+100</f>
        <v>102</v>
      </c>
      <c r="G8" s="358" t="s">
        <v>3489</v>
      </c>
      <c r="H8" s="355">
        <f>SUMIF(55:55,G8,56:56)-SUMIF(55:55,C8,56:56)+100</f>
        <v>102</v>
      </c>
      <c r="I8" s="358" t="s">
        <v>3489</v>
      </c>
      <c r="J8" s="355">
        <f>SUMIF(55:55,I8,56:56)-SUMIF(55:55,C8,56:56)+100</f>
        <v>102</v>
      </c>
      <c r="K8" s="38"/>
      <c r="L8" s="862"/>
      <c r="M8" s="863"/>
      <c r="N8" s="863"/>
      <c r="O8" s="863"/>
      <c r="P8" s="3460" t="s">
        <v>1667</v>
      </c>
      <c r="Q8" s="3461"/>
      <c r="R8" s="664" t="s">
        <v>14</v>
      </c>
      <c r="S8" s="665">
        <f t="shared" si="0"/>
        <v>102</v>
      </c>
      <c r="T8" s="664" t="s">
        <v>14</v>
      </c>
      <c r="U8" s="665">
        <f t="shared" si="1"/>
        <v>102</v>
      </c>
      <c r="V8" s="664" t="s">
        <v>14</v>
      </c>
      <c r="W8" s="665">
        <f t="shared" si="2"/>
        <v>102</v>
      </c>
      <c r="X8" s="666"/>
      <c r="Y8" s="3460" t="s">
        <v>1667</v>
      </c>
      <c r="Z8" s="3461"/>
      <c r="AA8" s="50">
        <f t="shared" ref="AA8:AA40" si="3">D8/F8</f>
        <v>0.98039215686274506</v>
      </c>
      <c r="AB8" s="50">
        <f t="shared" ref="AB8:AB40" si="4">D8/H8</f>
        <v>0.98039215686274506</v>
      </c>
      <c r="AC8" s="50">
        <f t="shared" ref="AC8:AC40" si="5">D8/J8</f>
        <v>0.98039215686274506</v>
      </c>
    </row>
    <row r="9" spans="1:29" s="102" customFormat="1" ht="15" thickBot="1">
      <c r="A9" s="359" t="s">
        <v>1668</v>
      </c>
      <c r="B9" s="60" t="s">
        <v>1669</v>
      </c>
      <c r="C9" s="3202" t="s">
        <v>3509</v>
      </c>
      <c r="D9" s="59">
        <v>100</v>
      </c>
      <c r="E9" s="362" t="s">
        <v>3</v>
      </c>
      <c r="F9" s="59">
        <f>SUMIF(57:57,E9,58:58)-SUMIF(57:57,C9,58:58)+100</f>
        <v>100</v>
      </c>
      <c r="G9" s="361" t="s">
        <v>3</v>
      </c>
      <c r="H9" s="59">
        <f>SUMIF(57:57,G9,58:58)-SUMIF(57:57,C9,58:58)+100</f>
        <v>100</v>
      </c>
      <c r="I9" s="361" t="s">
        <v>3</v>
      </c>
      <c r="J9" s="59">
        <f>SUMIF(57:57,I9,58:58)-SUMIF(57:57,C9,58:58)+100</f>
        <v>100</v>
      </c>
      <c r="K9" s="38"/>
      <c r="L9" s="862"/>
      <c r="M9" s="863"/>
      <c r="N9" s="863"/>
      <c r="O9" s="864"/>
      <c r="P9" s="3425" t="s">
        <v>1670</v>
      </c>
      <c r="Q9" s="530" t="str">
        <f t="shared" ref="Q9:Q15" si="6">B9</f>
        <v>用途</v>
      </c>
      <c r="R9" s="664" t="s">
        <v>14</v>
      </c>
      <c r="S9" s="665">
        <f t="shared" si="0"/>
        <v>100</v>
      </c>
      <c r="T9" s="664" t="s">
        <v>14</v>
      </c>
      <c r="U9" s="665">
        <f t="shared" si="1"/>
        <v>100</v>
      </c>
      <c r="V9" s="664" t="s">
        <v>14</v>
      </c>
      <c r="W9" s="665">
        <f t="shared" si="2"/>
        <v>100</v>
      </c>
      <c r="X9" s="666"/>
      <c r="Y9" s="3300" t="s">
        <v>1671</v>
      </c>
      <c r="Z9" s="50" t="str">
        <f t="shared" ref="Z9:Z15" si="7">Q9</f>
        <v>用途</v>
      </c>
      <c r="AA9" s="50">
        <f t="shared" si="3"/>
        <v>1</v>
      </c>
      <c r="AB9" s="50">
        <f t="shared" si="4"/>
        <v>1</v>
      </c>
      <c r="AC9" s="50">
        <f t="shared" si="5"/>
        <v>1</v>
      </c>
    </row>
    <row r="10" spans="1:29" s="366" customFormat="1" ht="27" hidden="1">
      <c r="A10" s="363"/>
      <c r="B10" s="364" t="s">
        <v>1672</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425"/>
      <c r="Q10" s="530" t="str">
        <f t="shared" si="6"/>
        <v>土地使用年限（年）</v>
      </c>
      <c r="R10" s="664" t="s">
        <v>14</v>
      </c>
      <c r="S10" s="665">
        <f t="shared" si="0"/>
        <v>100</v>
      </c>
      <c r="T10" s="664" t="s">
        <v>14</v>
      </c>
      <c r="U10" s="665">
        <f t="shared" si="1"/>
        <v>100</v>
      </c>
      <c r="V10" s="664" t="s">
        <v>14</v>
      </c>
      <c r="W10" s="665">
        <f t="shared" si="2"/>
        <v>100</v>
      </c>
      <c r="X10" s="666"/>
      <c r="Y10" s="3300"/>
      <c r="Z10" s="50" t="str">
        <f t="shared" si="7"/>
        <v>土地使用年限（年）</v>
      </c>
      <c r="AA10" s="50">
        <f t="shared" si="3"/>
        <v>1</v>
      </c>
      <c r="AB10" s="50">
        <f t="shared" si="4"/>
        <v>1</v>
      </c>
      <c r="AC10" s="50">
        <f t="shared" si="5"/>
        <v>1</v>
      </c>
    </row>
    <row r="11" spans="1:29" ht="15.75" hidden="1" thickBot="1">
      <c r="A11" s="367"/>
      <c r="B11" s="364" t="s">
        <v>1673</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25"/>
      <c r="Q11" s="530" t="str">
        <f t="shared" si="6"/>
        <v>容积率</v>
      </c>
      <c r="R11" s="664" t="s">
        <v>14</v>
      </c>
      <c r="S11" s="665">
        <f t="shared" si="0"/>
        <v>100</v>
      </c>
      <c r="T11" s="664" t="s">
        <v>14</v>
      </c>
      <c r="U11" s="665">
        <f t="shared" si="1"/>
        <v>100</v>
      </c>
      <c r="V11" s="664" t="s">
        <v>14</v>
      </c>
      <c r="W11" s="665">
        <f t="shared" si="2"/>
        <v>100</v>
      </c>
      <c r="X11" s="666"/>
      <c r="Y11" s="3300"/>
      <c r="Z11" s="50" t="str">
        <f t="shared" si="7"/>
        <v>容积率</v>
      </c>
      <c r="AA11" s="50">
        <f t="shared" si="3"/>
        <v>1</v>
      </c>
      <c r="AB11" s="50">
        <f t="shared" si="4"/>
        <v>1</v>
      </c>
      <c r="AC11" s="50">
        <f t="shared" si="5"/>
        <v>1</v>
      </c>
    </row>
    <row r="12" spans="1:29" s="102" customFormat="1" ht="15" hidden="1">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25"/>
      <c r="Q12" s="530">
        <f t="shared" si="6"/>
        <v>111</v>
      </c>
      <c r="R12" s="664" t="s">
        <v>14</v>
      </c>
      <c r="S12" s="665">
        <f t="shared" si="0"/>
        <v>100</v>
      </c>
      <c r="T12" s="664" t="s">
        <v>14</v>
      </c>
      <c r="U12" s="665">
        <f t="shared" si="1"/>
        <v>100</v>
      </c>
      <c r="V12" s="664" t="s">
        <v>14</v>
      </c>
      <c r="W12" s="665">
        <f t="shared" si="2"/>
        <v>100</v>
      </c>
      <c r="X12" s="666"/>
      <c r="Y12" s="3300"/>
      <c r="Z12" s="50">
        <f t="shared" si="7"/>
        <v>111</v>
      </c>
      <c r="AA12" s="50">
        <f>D12/F12</f>
        <v>1</v>
      </c>
      <c r="AB12" s="50">
        <f>D12/H12</f>
        <v>1</v>
      </c>
      <c r="AC12" s="50">
        <f>D12/J12</f>
        <v>1</v>
      </c>
    </row>
    <row r="13" spans="1:29" ht="15" hidden="1">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25"/>
      <c r="Q13" s="530">
        <f t="shared" si="6"/>
        <v>111</v>
      </c>
      <c r="R13" s="664" t="s">
        <v>14</v>
      </c>
      <c r="S13" s="665">
        <f t="shared" si="0"/>
        <v>100</v>
      </c>
      <c r="T13" s="664" t="s">
        <v>14</v>
      </c>
      <c r="U13" s="665">
        <f t="shared" si="1"/>
        <v>100</v>
      </c>
      <c r="V13" s="664" t="s">
        <v>14</v>
      </c>
      <c r="W13" s="665">
        <f t="shared" si="2"/>
        <v>100</v>
      </c>
      <c r="X13" s="666"/>
      <c r="Y13" s="3300"/>
      <c r="Z13" s="50">
        <f t="shared" si="7"/>
        <v>111</v>
      </c>
      <c r="AA13" s="50">
        <f t="shared" si="3"/>
        <v>1</v>
      </c>
      <c r="AB13" s="50">
        <f t="shared" si="4"/>
        <v>1</v>
      </c>
      <c r="AC13" s="50">
        <f t="shared" si="5"/>
        <v>1</v>
      </c>
    </row>
    <row r="14" spans="1:29" ht="15.75" hidden="1"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25"/>
      <c r="Q14" s="530">
        <f t="shared" si="6"/>
        <v>111</v>
      </c>
      <c r="R14" s="664" t="s">
        <v>14</v>
      </c>
      <c r="S14" s="665">
        <f t="shared" si="0"/>
        <v>100</v>
      </c>
      <c r="T14" s="664" t="s">
        <v>14</v>
      </c>
      <c r="U14" s="665">
        <f t="shared" si="1"/>
        <v>100</v>
      </c>
      <c r="V14" s="664" t="s">
        <v>14</v>
      </c>
      <c r="W14" s="665">
        <f t="shared" si="2"/>
        <v>100</v>
      </c>
      <c r="X14" s="666"/>
      <c r="Y14" s="3300"/>
      <c r="Z14" s="50">
        <f t="shared" si="7"/>
        <v>111</v>
      </c>
      <c r="AA14" s="50">
        <f t="shared" si="3"/>
        <v>1</v>
      </c>
      <c r="AB14" s="50">
        <f t="shared" si="4"/>
        <v>1</v>
      </c>
      <c r="AC14" s="50">
        <f t="shared" si="5"/>
        <v>1</v>
      </c>
    </row>
    <row r="15" spans="1:29" ht="15">
      <c r="A15" s="379" t="s">
        <v>1674</v>
      </c>
      <c r="B15" s="58" t="s">
        <v>1811</v>
      </c>
      <c r="C15" s="1819">
        <f>估价对象房地状况!G3</f>
        <v>0</v>
      </c>
      <c r="D15" s="380">
        <v>100</v>
      </c>
      <c r="E15" s="381"/>
      <c r="F15" s="382">
        <f>SUMIF(70:70,E16,71:71)-SUMIF(70:70,C16,71:71)+100</f>
        <v>100</v>
      </c>
      <c r="G15" s="383"/>
      <c r="H15" s="380">
        <f>SUMIF(70:70,G16,71:71)-SUMIF(70:70,C16,71:71)+100</f>
        <v>100</v>
      </c>
      <c r="I15" s="381"/>
      <c r="J15" s="380">
        <f>SUMIF(70:70,I16,71:71)-SUMIF(70:70,C16,71:71)+100</f>
        <v>100</v>
      </c>
      <c r="K15" s="540">
        <v>2</v>
      </c>
      <c r="L15" s="870"/>
      <c r="M15" s="861"/>
      <c r="N15" s="861"/>
      <c r="O15" s="869"/>
      <c r="P15" s="3427" t="s">
        <v>1675</v>
      </c>
      <c r="Q15" s="1263" t="str">
        <f t="shared" si="6"/>
        <v>产业集聚程度</v>
      </c>
      <c r="R15" s="667" t="s">
        <v>14</v>
      </c>
      <c r="S15" s="668">
        <f t="shared" si="0"/>
        <v>100</v>
      </c>
      <c r="T15" s="667" t="s">
        <v>14</v>
      </c>
      <c r="U15" s="668">
        <f t="shared" si="1"/>
        <v>100</v>
      </c>
      <c r="V15" s="667" t="s">
        <v>14</v>
      </c>
      <c r="W15" s="668">
        <f t="shared" si="2"/>
        <v>100</v>
      </c>
      <c r="X15" s="1265"/>
      <c r="Y15" s="3427" t="s">
        <v>1675</v>
      </c>
      <c r="Z15" s="1264" t="str">
        <f t="shared" si="7"/>
        <v>产业集聚程度</v>
      </c>
      <c r="AA15" s="1264">
        <f t="shared" si="3"/>
        <v>1</v>
      </c>
      <c r="AB15" s="1264">
        <f t="shared" si="4"/>
        <v>1</v>
      </c>
      <c r="AC15" s="1264">
        <f t="shared" si="5"/>
        <v>1</v>
      </c>
    </row>
    <row r="16" spans="1:29" ht="15">
      <c r="A16" s="367"/>
      <c r="B16" s="385"/>
      <c r="C16" s="386" t="s">
        <v>3390</v>
      </c>
      <c r="D16" s="387"/>
      <c r="E16" s="386" t="s">
        <v>3390</v>
      </c>
      <c r="F16" s="388"/>
      <c r="G16" s="386" t="s">
        <v>3390</v>
      </c>
      <c r="H16" s="389"/>
      <c r="I16" s="386" t="s">
        <v>3390</v>
      </c>
      <c r="J16" s="387"/>
      <c r="K16" s="541"/>
      <c r="L16" s="870"/>
      <c r="M16" s="861"/>
      <c r="N16" s="861"/>
      <c r="O16" s="869"/>
      <c r="P16" s="3428"/>
      <c r="Q16" s="1263"/>
      <c r="R16" s="667"/>
      <c r="S16" s="668"/>
      <c r="T16" s="667"/>
      <c r="U16" s="668"/>
      <c r="V16" s="667"/>
      <c r="W16" s="668"/>
      <c r="X16" s="1265"/>
      <c r="Y16" s="3428"/>
      <c r="Z16" s="1264"/>
      <c r="AA16" s="1264">
        <v>1</v>
      </c>
      <c r="AB16" s="1264">
        <v>1</v>
      </c>
      <c r="AC16" s="1264">
        <v>1</v>
      </c>
    </row>
    <row r="17" spans="1:29" ht="15">
      <c r="A17" s="367"/>
      <c r="B17" s="390" t="s">
        <v>1243</v>
      </c>
      <c r="C17" s="1754">
        <f>估价对象房地状况!G4</f>
        <v>0</v>
      </c>
      <c r="D17" s="389">
        <v>100</v>
      </c>
      <c r="E17" s="391"/>
      <c r="F17" s="392">
        <f>SUMIF(72:72,E18,73:73)-SUMIF(72:72,C18,73:73)+100</f>
        <v>100</v>
      </c>
      <c r="G17" s="393"/>
      <c r="H17" s="394">
        <f>SUMIF(72:72,G18,73:73)-SUMIF(72:72,C18,73:73)+100</f>
        <v>100</v>
      </c>
      <c r="I17" s="391"/>
      <c r="J17" s="394">
        <f>SUMIF(72:72,I18,73:73)-SUMIF(72:72,C18,73:73)+100</f>
        <v>100</v>
      </c>
      <c r="K17" s="540">
        <v>2</v>
      </c>
      <c r="L17" s="870"/>
      <c r="M17" s="861"/>
      <c r="N17" s="861"/>
      <c r="O17" s="869"/>
      <c r="P17" s="3428"/>
      <c r="Q17" s="1263" t="str">
        <f>B17</f>
        <v>交通便捷度</v>
      </c>
      <c r="R17" s="667" t="s">
        <v>14</v>
      </c>
      <c r="S17" s="668">
        <f>F17</f>
        <v>100</v>
      </c>
      <c r="T17" s="667" t="s">
        <v>14</v>
      </c>
      <c r="U17" s="668">
        <f>H17</f>
        <v>100</v>
      </c>
      <c r="V17" s="667" t="s">
        <v>14</v>
      </c>
      <c r="W17" s="668">
        <f>J17</f>
        <v>100</v>
      </c>
      <c r="X17" s="1265"/>
      <c r="Y17" s="3428"/>
      <c r="Z17" s="1264" t="str">
        <f>Q17</f>
        <v>交通便捷度</v>
      </c>
      <c r="AA17" s="1264">
        <f t="shared" si="3"/>
        <v>1</v>
      </c>
      <c r="AB17" s="1264">
        <f t="shared" si="4"/>
        <v>1</v>
      </c>
      <c r="AC17" s="1264">
        <f t="shared" si="5"/>
        <v>1</v>
      </c>
    </row>
    <row r="18" spans="1:29" ht="15">
      <c r="A18" s="367"/>
      <c r="B18" s="395"/>
      <c r="C18" s="1755" t="str">
        <f>基准地价修正!C84</f>
        <v>一般</v>
      </c>
      <c r="D18" s="389"/>
      <c r="E18" s="1755" t="s">
        <v>3391</v>
      </c>
      <c r="F18" s="392"/>
      <c r="G18" s="1755" t="s">
        <v>3391</v>
      </c>
      <c r="H18" s="387"/>
      <c r="I18" s="1755" t="s">
        <v>3391</v>
      </c>
      <c r="J18" s="387"/>
      <c r="K18" s="541"/>
      <c r="L18" s="870"/>
      <c r="M18" s="861"/>
      <c r="N18" s="861"/>
      <c r="O18" s="869"/>
      <c r="P18" s="3428"/>
      <c r="Q18" s="1263"/>
      <c r="R18" s="667"/>
      <c r="S18" s="668"/>
      <c r="T18" s="667"/>
      <c r="U18" s="668"/>
      <c r="V18" s="667"/>
      <c r="W18" s="668"/>
      <c r="X18" s="1265"/>
      <c r="Y18" s="3428"/>
      <c r="Z18" s="1264"/>
      <c r="AA18" s="1264">
        <v>1</v>
      </c>
      <c r="AB18" s="1264">
        <v>1</v>
      </c>
      <c r="AC18" s="1264">
        <v>1</v>
      </c>
    </row>
    <row r="19" spans="1:29" ht="15">
      <c r="A19" s="367"/>
      <c r="B19" s="390" t="s">
        <v>1796</v>
      </c>
      <c r="C19" s="1754">
        <f>估价对象房地状况!G5</f>
        <v>0</v>
      </c>
      <c r="D19" s="394">
        <v>100</v>
      </c>
      <c r="E19" s="396"/>
      <c r="F19" s="397">
        <f>SUMIF(74:74,E20,75:75)-SUMIF(74:74,C20,75:75)+100</f>
        <v>100</v>
      </c>
      <c r="G19" s="398"/>
      <c r="H19" s="389">
        <f>SUMIF(74:74,G20,75:75)-SUMIF(74:74,C20,75:75)+100</f>
        <v>100</v>
      </c>
      <c r="I19" s="396"/>
      <c r="J19" s="389">
        <f>SUMIF(74:74,I20,75:75)-SUMIF(74:74,C20,75:75)+100</f>
        <v>100</v>
      </c>
      <c r="K19" s="540">
        <v>2</v>
      </c>
      <c r="L19" s="870"/>
      <c r="M19" s="861"/>
      <c r="N19" s="861"/>
      <c r="O19" s="869"/>
      <c r="P19" s="3428"/>
      <c r="Q19" s="1263" t="str">
        <f>B19</f>
        <v>公共配套设施</v>
      </c>
      <c r="R19" s="667" t="s">
        <v>14</v>
      </c>
      <c r="S19" s="668">
        <f>F19</f>
        <v>100</v>
      </c>
      <c r="T19" s="667" t="s">
        <v>14</v>
      </c>
      <c r="U19" s="668">
        <f>H19</f>
        <v>100</v>
      </c>
      <c r="V19" s="667" t="s">
        <v>14</v>
      </c>
      <c r="W19" s="668">
        <f>J19</f>
        <v>100</v>
      </c>
      <c r="X19" s="1265"/>
      <c r="Y19" s="3428"/>
      <c r="Z19" s="1264" t="str">
        <f>Q19</f>
        <v>公共配套设施</v>
      </c>
      <c r="AA19" s="1264">
        <f t="shared" si="3"/>
        <v>1</v>
      </c>
      <c r="AB19" s="1264">
        <f t="shared" si="4"/>
        <v>1</v>
      </c>
      <c r="AC19" s="1264">
        <f t="shared" si="5"/>
        <v>1</v>
      </c>
    </row>
    <row r="20" spans="1:29" ht="15">
      <c r="A20" s="367"/>
      <c r="B20" s="395"/>
      <c r="C20" s="386" t="str">
        <f>基准地价修正!C87</f>
        <v>一般</v>
      </c>
      <c r="D20" s="387"/>
      <c r="E20" s="1752" t="s">
        <v>3391</v>
      </c>
      <c r="F20" s="388"/>
      <c r="G20" s="1751" t="s">
        <v>3391</v>
      </c>
      <c r="H20" s="387"/>
      <c r="I20" s="1752" t="s">
        <v>3391</v>
      </c>
      <c r="J20" s="387"/>
      <c r="K20" s="541"/>
      <c r="L20" s="870"/>
      <c r="M20" s="861"/>
      <c r="N20" s="861"/>
      <c r="O20" s="869"/>
      <c r="P20" s="3428"/>
      <c r="Q20" s="1263"/>
      <c r="R20" s="667"/>
      <c r="S20" s="668"/>
      <c r="T20" s="667"/>
      <c r="U20" s="668"/>
      <c r="V20" s="667"/>
      <c r="W20" s="668"/>
      <c r="X20" s="1265"/>
      <c r="Y20" s="3428"/>
      <c r="Z20" s="1264"/>
      <c r="AA20" s="1264">
        <v>1</v>
      </c>
      <c r="AB20" s="1264">
        <v>1</v>
      </c>
      <c r="AC20" s="1264">
        <v>1</v>
      </c>
    </row>
    <row r="21" spans="1:29" ht="15">
      <c r="A21" s="367"/>
      <c r="B21" s="586" t="s">
        <v>1797</v>
      </c>
      <c r="C21" s="1754">
        <f>估价对象房地状况!G6</f>
        <v>0</v>
      </c>
      <c r="D21" s="389">
        <v>100</v>
      </c>
      <c r="E21" s="396"/>
      <c r="F21" s="397">
        <f>SUMIF(76:76,E22,77:77)-SUMIF(76:76,C22,77:77)+100</f>
        <v>100</v>
      </c>
      <c r="G21" s="398"/>
      <c r="H21" s="389">
        <f>SUMIF(76:76,G22,77:77)-SUMIF(76:76,C22,77:77)+100</f>
        <v>100</v>
      </c>
      <c r="I21" s="396"/>
      <c r="J21" s="389">
        <f>SUMIF(76:76,I22,77:77)-SUMIF(76:76,C22,77:77)+100</f>
        <v>100</v>
      </c>
      <c r="K21" s="540">
        <v>2</v>
      </c>
      <c r="L21" s="870"/>
      <c r="M21" s="861"/>
      <c r="N21" s="861"/>
      <c r="O21" s="869"/>
      <c r="P21" s="3428"/>
      <c r="Q21" s="1263" t="str">
        <f>B21</f>
        <v>基础设施水平</v>
      </c>
      <c r="R21" s="667" t="s">
        <v>14</v>
      </c>
      <c r="S21" s="668">
        <f>F21</f>
        <v>100</v>
      </c>
      <c r="T21" s="667" t="s">
        <v>14</v>
      </c>
      <c r="U21" s="668">
        <f>H21</f>
        <v>100</v>
      </c>
      <c r="V21" s="667" t="s">
        <v>14</v>
      </c>
      <c r="W21" s="668">
        <f>J21</f>
        <v>100</v>
      </c>
      <c r="X21" s="1265"/>
      <c r="Y21" s="3428"/>
      <c r="Z21" s="1264" t="str">
        <f>Q21</f>
        <v>基础设施水平</v>
      </c>
      <c r="AA21" s="1264">
        <f t="shared" ref="AA21" si="8">D21/F21</f>
        <v>1</v>
      </c>
      <c r="AB21" s="1264">
        <f t="shared" ref="AB21" si="9">D21/H21</f>
        <v>1</v>
      </c>
      <c r="AC21" s="1264">
        <f t="shared" ref="AC21" si="10">D21/J21</f>
        <v>1</v>
      </c>
    </row>
    <row r="22" spans="1:29" ht="15">
      <c r="A22" s="367"/>
      <c r="B22" s="586"/>
      <c r="C22" s="1755" t="s">
        <v>3513</v>
      </c>
      <c r="D22" s="387"/>
      <c r="E22" s="386" t="s">
        <v>3513</v>
      </c>
      <c r="F22" s="388"/>
      <c r="G22" s="386" t="s">
        <v>3513</v>
      </c>
      <c r="H22" s="387"/>
      <c r="I22" s="386" t="s">
        <v>3513</v>
      </c>
      <c r="J22" s="387"/>
      <c r="K22" s="1064"/>
      <c r="L22" s="870"/>
      <c r="M22" s="861"/>
      <c r="N22" s="861"/>
      <c r="O22" s="869"/>
      <c r="P22" s="3428"/>
      <c r="Q22" s="1263"/>
      <c r="R22" s="667"/>
      <c r="S22" s="668"/>
      <c r="T22" s="667"/>
      <c r="U22" s="668"/>
      <c r="V22" s="667"/>
      <c r="W22" s="668"/>
      <c r="X22" s="1265"/>
      <c r="Y22" s="3428"/>
      <c r="Z22" s="1264"/>
      <c r="AA22" s="1264">
        <v>1</v>
      </c>
      <c r="AB22" s="1264">
        <v>1</v>
      </c>
      <c r="AC22" s="1264">
        <v>1</v>
      </c>
    </row>
    <row r="23" spans="1:29" ht="15">
      <c r="A23" s="367"/>
      <c r="B23" s="390" t="s">
        <v>1798</v>
      </c>
      <c r="C23" s="1754">
        <f>估价对象房地状况!G7</f>
        <v>0</v>
      </c>
      <c r="D23" s="389">
        <v>100</v>
      </c>
      <c r="E23" s="391"/>
      <c r="F23" s="392">
        <f>SUMIF(78:78,E24,79:79)-SUMIF(78:78,C24,79:79)+100</f>
        <v>100</v>
      </c>
      <c r="G23" s="393"/>
      <c r="H23" s="389">
        <f>SUMIF(78:78,G24,79:79)-SUMIF(78:78,C24,79:79)+100</f>
        <v>100</v>
      </c>
      <c r="I23" s="391"/>
      <c r="J23" s="389">
        <f>SUMIF(78:78,I24,79:79)-SUMIF(78:78,C24,79:79)+100</f>
        <v>100</v>
      </c>
      <c r="K23" s="540">
        <v>2</v>
      </c>
      <c r="L23" s="870"/>
      <c r="M23" s="861"/>
      <c r="N23" s="861"/>
      <c r="O23" s="869"/>
      <c r="P23" s="3428"/>
      <c r="Q23" s="1263" t="str">
        <f>B23</f>
        <v>环境质量</v>
      </c>
      <c r="R23" s="667" t="s">
        <v>14</v>
      </c>
      <c r="S23" s="668">
        <f>F23</f>
        <v>100</v>
      </c>
      <c r="T23" s="667" t="s">
        <v>14</v>
      </c>
      <c r="U23" s="668">
        <f>H23</f>
        <v>100</v>
      </c>
      <c r="V23" s="667" t="s">
        <v>14</v>
      </c>
      <c r="W23" s="668">
        <f>J23</f>
        <v>100</v>
      </c>
      <c r="X23" s="1265"/>
      <c r="Y23" s="3428"/>
      <c r="Z23" s="1264" t="str">
        <f>Q23</f>
        <v>环境质量</v>
      </c>
      <c r="AA23" s="1264">
        <f t="shared" si="3"/>
        <v>1</v>
      </c>
      <c r="AB23" s="1264">
        <f t="shared" si="4"/>
        <v>1</v>
      </c>
      <c r="AC23" s="1264">
        <f t="shared" si="5"/>
        <v>1</v>
      </c>
    </row>
    <row r="24" spans="1:29" ht="15.75" thickBot="1">
      <c r="A24" s="367"/>
      <c r="B24" s="586"/>
      <c r="C24" s="386" t="str">
        <f>基准地价修正!C90</f>
        <v>一般</v>
      </c>
      <c r="D24" s="387"/>
      <c r="E24" s="1752" t="s">
        <v>3391</v>
      </c>
      <c r="F24" s="388"/>
      <c r="G24" s="1751" t="s">
        <v>3391</v>
      </c>
      <c r="H24" s="387"/>
      <c r="I24" s="1752" t="s">
        <v>3391</v>
      </c>
      <c r="J24" s="387"/>
      <c r="K24" s="541"/>
      <c r="L24" s="870"/>
      <c r="M24" s="861"/>
      <c r="N24" s="861"/>
      <c r="O24" s="869"/>
      <c r="P24" s="3428"/>
      <c r="Q24" s="1263"/>
      <c r="R24" s="667"/>
      <c r="S24" s="668"/>
      <c r="T24" s="667"/>
      <c r="U24" s="668"/>
      <c r="V24" s="667"/>
      <c r="W24" s="668"/>
      <c r="X24" s="1265"/>
      <c r="Y24" s="3428"/>
      <c r="Z24" s="1264"/>
      <c r="AA24" s="1264">
        <v>1</v>
      </c>
      <c r="AB24" s="1264">
        <v>1</v>
      </c>
      <c r="AC24" s="1264">
        <v>1</v>
      </c>
    </row>
    <row r="25" spans="1:29" ht="15" hidden="1">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28"/>
      <c r="Q25" s="1263">
        <f>B25</f>
        <v>111</v>
      </c>
      <c r="R25" s="667" t="s">
        <v>14</v>
      </c>
      <c r="S25" s="668">
        <f>F25</f>
        <v>100</v>
      </c>
      <c r="T25" s="667" t="s">
        <v>14</v>
      </c>
      <c r="U25" s="668">
        <f>H25</f>
        <v>100</v>
      </c>
      <c r="V25" s="667" t="s">
        <v>14</v>
      </c>
      <c r="W25" s="668">
        <f>J25</f>
        <v>100</v>
      </c>
      <c r="X25" s="1265"/>
      <c r="Y25" s="3428"/>
      <c r="Z25" s="1264">
        <f>Q25</f>
        <v>111</v>
      </c>
      <c r="AA25" s="1264">
        <f t="shared" si="3"/>
        <v>1</v>
      </c>
      <c r="AB25" s="1264">
        <f t="shared" si="4"/>
        <v>1</v>
      </c>
      <c r="AC25" s="1264">
        <f t="shared" si="5"/>
        <v>1</v>
      </c>
    </row>
    <row r="26" spans="1:29" ht="15" hidden="1">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28"/>
      <c r="Q26" s="1263">
        <f t="shared" ref="Q26:Q40" si="11">B26</f>
        <v>111</v>
      </c>
      <c r="R26" s="667" t="s">
        <v>14</v>
      </c>
      <c r="S26" s="668">
        <f>F26</f>
        <v>100</v>
      </c>
      <c r="T26" s="667" t="s">
        <v>14</v>
      </c>
      <c r="U26" s="668">
        <f>H26</f>
        <v>100</v>
      </c>
      <c r="V26" s="667" t="s">
        <v>14</v>
      </c>
      <c r="W26" s="668">
        <f>J26</f>
        <v>100</v>
      </c>
      <c r="X26" s="1265"/>
      <c r="Y26" s="3428"/>
      <c r="Z26" s="1264">
        <f>Q26</f>
        <v>111</v>
      </c>
      <c r="AA26" s="1264">
        <f t="shared" si="3"/>
        <v>1</v>
      </c>
      <c r="AB26" s="1264">
        <f t="shared" si="4"/>
        <v>1</v>
      </c>
      <c r="AC26" s="1264">
        <f t="shared" si="5"/>
        <v>1</v>
      </c>
    </row>
    <row r="27" spans="1:29" s="102" customFormat="1" ht="15" hidden="1">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28"/>
      <c r="Q27" s="530">
        <f t="shared" si="11"/>
        <v>111</v>
      </c>
      <c r="R27" s="664" t="s">
        <v>14</v>
      </c>
      <c r="S27" s="665">
        <f>F27</f>
        <v>100</v>
      </c>
      <c r="T27" s="664" t="s">
        <v>14</v>
      </c>
      <c r="U27" s="665">
        <f>H27</f>
        <v>100</v>
      </c>
      <c r="V27" s="664" t="s">
        <v>14</v>
      </c>
      <c r="W27" s="665">
        <f>J27</f>
        <v>100</v>
      </c>
      <c r="X27" s="666"/>
      <c r="Y27" s="3428"/>
      <c r="Z27" s="50">
        <f>Q27</f>
        <v>111</v>
      </c>
      <c r="AA27" s="1264">
        <f>D27/F27</f>
        <v>1</v>
      </c>
      <c r="AB27" s="1264">
        <f>D27/H27</f>
        <v>1</v>
      </c>
      <c r="AC27" s="1264">
        <f>D27/J27</f>
        <v>1</v>
      </c>
    </row>
    <row r="28" spans="1:29" ht="15.75" hidden="1"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28"/>
      <c r="Q28" s="1263">
        <f t="shared" si="11"/>
        <v>111</v>
      </c>
      <c r="R28" s="667" t="s">
        <v>14</v>
      </c>
      <c r="S28" s="668">
        <f t="shared" ref="S28:S40" si="12">F28</f>
        <v>100</v>
      </c>
      <c r="T28" s="667" t="s">
        <v>14</v>
      </c>
      <c r="U28" s="668">
        <f t="shared" ref="U28:U40" si="13">H28</f>
        <v>100</v>
      </c>
      <c r="V28" s="667" t="s">
        <v>14</v>
      </c>
      <c r="W28" s="668">
        <f t="shared" ref="W28:W40" si="14">J28</f>
        <v>100</v>
      </c>
      <c r="X28" s="1265"/>
      <c r="Y28" s="3428"/>
      <c r="Z28" s="1264">
        <f t="shared" ref="Z28:Z40" si="15">Q28</f>
        <v>111</v>
      </c>
      <c r="AA28" s="1264">
        <f t="shared" si="3"/>
        <v>1</v>
      </c>
      <c r="AB28" s="1264">
        <f t="shared" si="4"/>
        <v>1</v>
      </c>
      <c r="AC28" s="1264">
        <f t="shared" si="5"/>
        <v>1</v>
      </c>
    </row>
    <row r="29" spans="1:29" ht="28.5">
      <c r="A29" s="404" t="s">
        <v>1678</v>
      </c>
      <c r="B29" s="60" t="s">
        <v>1801</v>
      </c>
      <c r="C29" s="1764" t="s">
        <v>3516</v>
      </c>
      <c r="D29" s="405">
        <v>100</v>
      </c>
      <c r="E29" s="1764" t="s">
        <v>3516</v>
      </c>
      <c r="F29" s="400">
        <f>SUMIF(88:88,E29,89:89)-SUMIF(88:88,C29,89:89)+100</f>
        <v>100</v>
      </c>
      <c r="G29" s="1764" t="s">
        <v>3516</v>
      </c>
      <c r="H29" s="374">
        <f>SUMIF(88:88,G29,89:89)-SUMIF(88:88,C29,89:89)+100</f>
        <v>100</v>
      </c>
      <c r="I29" s="1764" t="s">
        <v>3516</v>
      </c>
      <c r="J29" s="405">
        <f>SUMIF(88:88,I29,89:89)-SUMIF(88:88,C29,89:89)+100</f>
        <v>100</v>
      </c>
      <c r="K29" s="538">
        <v>2</v>
      </c>
      <c r="L29" s="870"/>
      <c r="M29" s="861"/>
      <c r="N29" s="861"/>
      <c r="O29" s="869"/>
      <c r="P29" s="3482" t="s">
        <v>1680</v>
      </c>
      <c r="Q29" s="1263" t="str">
        <f t="shared" si="11"/>
        <v>建筑类型</v>
      </c>
      <c r="R29" s="667" t="s">
        <v>14</v>
      </c>
      <c r="S29" s="668">
        <f t="shared" si="12"/>
        <v>100</v>
      </c>
      <c r="T29" s="667" t="s">
        <v>14</v>
      </c>
      <c r="U29" s="668">
        <f t="shared" si="13"/>
        <v>100</v>
      </c>
      <c r="V29" s="667" t="s">
        <v>14</v>
      </c>
      <c r="W29" s="668">
        <f t="shared" si="14"/>
        <v>100</v>
      </c>
      <c r="X29" s="1265"/>
      <c r="Y29" s="3432" t="s">
        <v>1680</v>
      </c>
      <c r="Z29" s="1264" t="str">
        <f t="shared" si="15"/>
        <v>建筑类型</v>
      </c>
      <c r="AA29" s="1264">
        <f t="shared" si="3"/>
        <v>1</v>
      </c>
      <c r="AB29" s="1264">
        <f t="shared" si="4"/>
        <v>1</v>
      </c>
      <c r="AC29" s="1264">
        <f t="shared" si="5"/>
        <v>1</v>
      </c>
    </row>
    <row r="30" spans="1:29" s="408" customFormat="1" ht="15">
      <c r="A30" s="406"/>
      <c r="B30" s="364" t="s">
        <v>1681</v>
      </c>
      <c r="C30" s="407"/>
      <c r="D30" s="119">
        <v>100</v>
      </c>
      <c r="E30" s="369"/>
      <c r="F30" s="364">
        <f>LOOKUP(E30,91:91,92:92)-LOOKUP(C30,91:91,92:92)+100</f>
        <v>100</v>
      </c>
      <c r="G30" s="368"/>
      <c r="H30" s="119">
        <f>LOOKUP(G30,91:91,92:92)-LOOKUP(C30,91:91,92:92)+100</f>
        <v>100</v>
      </c>
      <c r="I30" s="368"/>
      <c r="J30" s="119">
        <f>LOOKUP(I30,91:91,92:92)-LOOKUP(C30,91:91,92:92)+100</f>
        <v>100</v>
      </c>
      <c r="K30" s="539"/>
      <c r="L30" s="868"/>
      <c r="M30" s="871"/>
      <c r="N30" s="871"/>
      <c r="O30" s="872"/>
      <c r="P30" s="3432"/>
      <c r="Q30" s="531" t="str">
        <f t="shared" si="11"/>
        <v>项目建筑规模</v>
      </c>
      <c r="R30" s="669" t="s">
        <v>14</v>
      </c>
      <c r="S30" s="670">
        <f t="shared" si="12"/>
        <v>100</v>
      </c>
      <c r="T30" s="669" t="s">
        <v>14</v>
      </c>
      <c r="U30" s="670">
        <f t="shared" si="13"/>
        <v>100</v>
      </c>
      <c r="V30" s="669" t="s">
        <v>14</v>
      </c>
      <c r="W30" s="670">
        <f t="shared" si="14"/>
        <v>100</v>
      </c>
      <c r="X30" s="671"/>
      <c r="Y30" s="3432"/>
      <c r="Z30" s="672" t="str">
        <f t="shared" si="15"/>
        <v>项目建筑规模</v>
      </c>
      <c r="AA30" s="1264">
        <f t="shared" si="3"/>
        <v>1</v>
      </c>
      <c r="AB30" s="1264">
        <f t="shared" si="4"/>
        <v>1</v>
      </c>
      <c r="AC30" s="1264">
        <f t="shared" si="5"/>
        <v>1</v>
      </c>
    </row>
    <row r="31" spans="1:29" ht="15">
      <c r="A31" s="409"/>
      <c r="B31" s="364" t="s">
        <v>1682</v>
      </c>
      <c r="C31" s="399" t="s">
        <v>3397</v>
      </c>
      <c r="D31" s="374">
        <v>100</v>
      </c>
      <c r="E31" s="399" t="s">
        <v>3397</v>
      </c>
      <c r="F31" s="400">
        <f>SUMIF(93:93,E31,94:94)-SUMIF(93:93,C31,94:94)+100</f>
        <v>100</v>
      </c>
      <c r="G31" s="399" t="s">
        <v>3397</v>
      </c>
      <c r="H31" s="374">
        <f>SUMIF(93:93,G31,94:94)-SUMIF(93:93,C31,94:94)+100</f>
        <v>100</v>
      </c>
      <c r="I31" s="399" t="s">
        <v>3397</v>
      </c>
      <c r="J31" s="374">
        <f>SUMIF(93:93,I31,94:94)-SUMIF(93:93,C31,94:94)+100</f>
        <v>100</v>
      </c>
      <c r="K31" s="538">
        <v>1</v>
      </c>
      <c r="L31" s="870"/>
      <c r="M31" s="861"/>
      <c r="N31" s="861"/>
      <c r="O31" s="869"/>
      <c r="P31" s="3432"/>
      <c r="Q31" s="1263" t="str">
        <f t="shared" si="11"/>
        <v>建筑结构</v>
      </c>
      <c r="R31" s="667" t="s">
        <v>14</v>
      </c>
      <c r="S31" s="668">
        <f t="shared" si="12"/>
        <v>100</v>
      </c>
      <c r="T31" s="667" t="s">
        <v>14</v>
      </c>
      <c r="U31" s="668">
        <f t="shared" si="13"/>
        <v>100</v>
      </c>
      <c r="V31" s="667" t="s">
        <v>14</v>
      </c>
      <c r="W31" s="668">
        <f t="shared" si="14"/>
        <v>100</v>
      </c>
      <c r="X31" s="1265"/>
      <c r="Y31" s="3432"/>
      <c r="Z31" s="1264" t="str">
        <f t="shared" si="15"/>
        <v>建筑结构</v>
      </c>
      <c r="AA31" s="1264">
        <f t="shared" si="3"/>
        <v>1</v>
      </c>
      <c r="AB31" s="1264">
        <f t="shared" si="4"/>
        <v>1</v>
      </c>
      <c r="AC31" s="1264">
        <f t="shared" si="5"/>
        <v>1</v>
      </c>
    </row>
    <row r="32" spans="1:29" ht="15">
      <c r="A32" s="409"/>
      <c r="B32" s="364" t="s">
        <v>1769</v>
      </c>
      <c r="C32" s="399" t="s">
        <v>3499</v>
      </c>
      <c r="D32" s="374">
        <v>100</v>
      </c>
      <c r="E32" s="399" t="s">
        <v>3499</v>
      </c>
      <c r="F32" s="400">
        <f>SUMIF(95:95,E32,96:96)-SUMIF(95:95,C32,96:96)+100</f>
        <v>100</v>
      </c>
      <c r="G32" s="399" t="s">
        <v>3499</v>
      </c>
      <c r="H32" s="374">
        <f>SUMIF(95:95,G32,96:96)-SUMIF(95:95,C32,96:96)+100</f>
        <v>100</v>
      </c>
      <c r="I32" s="399" t="s">
        <v>3499</v>
      </c>
      <c r="J32" s="374">
        <f>SUMIF(95:95,I32,96:96)-SUMIF(95:95,C32,96:96)+100</f>
        <v>100</v>
      </c>
      <c r="K32" s="538">
        <v>1</v>
      </c>
      <c r="L32" s="870"/>
      <c r="M32" s="861"/>
      <c r="N32" s="861"/>
      <c r="O32" s="869"/>
      <c r="P32" s="3432"/>
      <c r="Q32" s="1263" t="str">
        <f t="shared" si="11"/>
        <v>公共部分装修</v>
      </c>
      <c r="R32" s="667" t="s">
        <v>14</v>
      </c>
      <c r="S32" s="668">
        <f t="shared" si="12"/>
        <v>100</v>
      </c>
      <c r="T32" s="667" t="s">
        <v>14</v>
      </c>
      <c r="U32" s="668">
        <f t="shared" si="13"/>
        <v>100</v>
      </c>
      <c r="V32" s="667" t="s">
        <v>14</v>
      </c>
      <c r="W32" s="668">
        <f t="shared" si="14"/>
        <v>100</v>
      </c>
      <c r="X32" s="1265"/>
      <c r="Y32" s="3432"/>
      <c r="Z32" s="1264" t="str">
        <f t="shared" si="15"/>
        <v>公共部分装修</v>
      </c>
      <c r="AA32" s="1264">
        <f t="shared" si="3"/>
        <v>1</v>
      </c>
      <c r="AB32" s="1264">
        <f t="shared" si="4"/>
        <v>1</v>
      </c>
      <c r="AC32" s="1264">
        <f t="shared" si="5"/>
        <v>1</v>
      </c>
    </row>
    <row r="33" spans="1:29" ht="15">
      <c r="A33" s="409"/>
      <c r="B33" s="364" t="s">
        <v>1770</v>
      </c>
      <c r="C33" s="3198">
        <f>'数据-取费表'!N6</f>
        <v>0.69</v>
      </c>
      <c r="D33" s="374">
        <v>100</v>
      </c>
      <c r="E33" s="411">
        <v>0.8</v>
      </c>
      <c r="F33" s="400">
        <f>LOOKUP(E33,98:98,99:99)-LOOKUP(C33,98:98,99:99)+100</f>
        <v>100</v>
      </c>
      <c r="G33" s="411">
        <v>0.7</v>
      </c>
      <c r="H33" s="400">
        <f>LOOKUP(G33,98:98,99:99)-LOOKUP(C33,98:98,99:99)+100</f>
        <v>100</v>
      </c>
      <c r="I33" s="411">
        <v>0.8</v>
      </c>
      <c r="J33" s="374">
        <f>LOOKUP(I33,98:98,99:99)-LOOKUP(C33,98:98,99:99)+100</f>
        <v>100</v>
      </c>
      <c r="K33" s="538">
        <v>0</v>
      </c>
      <c r="L33" s="870"/>
      <c r="M33" s="861"/>
      <c r="N33" s="861"/>
      <c r="O33" s="869"/>
      <c r="P33" s="3432"/>
      <c r="Q33" s="1263" t="str">
        <f t="shared" si="11"/>
        <v>成新度</v>
      </c>
      <c r="R33" s="667" t="s">
        <v>14</v>
      </c>
      <c r="S33" s="668">
        <f t="shared" si="12"/>
        <v>100</v>
      </c>
      <c r="T33" s="667" t="s">
        <v>14</v>
      </c>
      <c r="U33" s="668">
        <f t="shared" si="13"/>
        <v>100</v>
      </c>
      <c r="V33" s="667" t="s">
        <v>14</v>
      </c>
      <c r="W33" s="668">
        <f t="shared" si="14"/>
        <v>100</v>
      </c>
      <c r="X33" s="1265"/>
      <c r="Y33" s="3432"/>
      <c r="Z33" s="1264" t="str">
        <f t="shared" si="15"/>
        <v>成新度</v>
      </c>
      <c r="AA33" s="1264">
        <f t="shared" si="3"/>
        <v>1</v>
      </c>
      <c r="AB33" s="1264">
        <f t="shared" si="4"/>
        <v>1</v>
      </c>
      <c r="AC33" s="1264">
        <f t="shared" si="5"/>
        <v>1</v>
      </c>
    </row>
    <row r="34" spans="1:29" s="102" customFormat="1" ht="15">
      <c r="A34" s="410"/>
      <c r="B34" s="364" t="s">
        <v>1803</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v>1</v>
      </c>
      <c r="L34" s="862"/>
      <c r="M34" s="863"/>
      <c r="N34" s="863"/>
      <c r="O34" s="864"/>
      <c r="P34" s="3432"/>
      <c r="Q34" s="530" t="str">
        <f t="shared" si="11"/>
        <v>物业管理</v>
      </c>
      <c r="R34" s="664" t="s">
        <v>14</v>
      </c>
      <c r="S34" s="665">
        <f t="shared" si="12"/>
        <v>100</v>
      </c>
      <c r="T34" s="664" t="s">
        <v>14</v>
      </c>
      <c r="U34" s="665">
        <f t="shared" si="13"/>
        <v>100</v>
      </c>
      <c r="V34" s="664" t="s">
        <v>14</v>
      </c>
      <c r="W34" s="665">
        <f t="shared" si="14"/>
        <v>100</v>
      </c>
      <c r="X34" s="666"/>
      <c r="Y34" s="3432"/>
      <c r="Z34" s="50" t="str">
        <f t="shared" si="15"/>
        <v>物业管理</v>
      </c>
      <c r="AA34" s="50">
        <f t="shared" si="3"/>
        <v>1</v>
      </c>
      <c r="AB34" s="50">
        <f t="shared" si="4"/>
        <v>1</v>
      </c>
      <c r="AC34" s="50">
        <f t="shared" si="5"/>
        <v>1</v>
      </c>
    </row>
    <row r="35" spans="1:29" ht="15">
      <c r="A35" s="409"/>
      <c r="B35" s="364" t="s">
        <v>1771</v>
      </c>
      <c r="C35" s="399" t="s">
        <v>3513</v>
      </c>
      <c r="D35" s="374">
        <v>100</v>
      </c>
      <c r="E35" s="399" t="s">
        <v>3513</v>
      </c>
      <c r="F35" s="400">
        <f>SUMIF(102:102,E35,103:103)-SUMIF(102:102,C35,103:103)+100</f>
        <v>100</v>
      </c>
      <c r="G35" s="399" t="s">
        <v>3513</v>
      </c>
      <c r="H35" s="374">
        <f>SUMIF(102:102,G35,103:103)-SUMIF(102:102,C35,103:103)+100</f>
        <v>100</v>
      </c>
      <c r="I35" s="399" t="s">
        <v>3513</v>
      </c>
      <c r="J35" s="374">
        <f>SUMIF(102:102,I35,103:103)-SUMIF(102:102,C35,103:103)+100</f>
        <v>100</v>
      </c>
      <c r="K35" s="538">
        <v>1</v>
      </c>
      <c r="L35" s="870"/>
      <c r="M35" s="861"/>
      <c r="N35" s="861"/>
      <c r="O35" s="869"/>
      <c r="P35" s="3432" t="s">
        <v>1680</v>
      </c>
      <c r="Q35" s="1263" t="str">
        <f t="shared" si="11"/>
        <v>市政基础设施</v>
      </c>
      <c r="R35" s="667" t="s">
        <v>14</v>
      </c>
      <c r="S35" s="668">
        <f t="shared" si="12"/>
        <v>100</v>
      </c>
      <c r="T35" s="667" t="s">
        <v>14</v>
      </c>
      <c r="U35" s="668">
        <f t="shared" si="13"/>
        <v>100</v>
      </c>
      <c r="V35" s="667" t="s">
        <v>14</v>
      </c>
      <c r="W35" s="668">
        <f t="shared" si="14"/>
        <v>100</v>
      </c>
      <c r="X35" s="1265"/>
      <c r="Y35" s="3432" t="s">
        <v>1680</v>
      </c>
      <c r="Z35" s="1264" t="str">
        <f t="shared" si="15"/>
        <v>市政基础设施</v>
      </c>
      <c r="AA35" s="1264">
        <f t="shared" si="3"/>
        <v>1</v>
      </c>
      <c r="AB35" s="1264">
        <f t="shared" si="4"/>
        <v>1</v>
      </c>
      <c r="AC35" s="1264">
        <f t="shared" si="5"/>
        <v>1</v>
      </c>
    </row>
    <row r="36" spans="1:29" ht="15">
      <c r="A36" s="409"/>
      <c r="B36" s="364" t="s">
        <v>1776</v>
      </c>
      <c r="C36" s="399" t="s">
        <v>3499</v>
      </c>
      <c r="D36" s="374">
        <v>100</v>
      </c>
      <c r="E36" s="399" t="s">
        <v>3499</v>
      </c>
      <c r="F36" s="400">
        <f>SUMIF(104:104,E36,105:105)-SUMIF(104:104,C36,105:105)+100</f>
        <v>100</v>
      </c>
      <c r="G36" s="399" t="s">
        <v>3499</v>
      </c>
      <c r="H36" s="374">
        <f>SUMIF(104:104,G36,105:105)-SUMIF(104:104,C36,105:105)+100</f>
        <v>100</v>
      </c>
      <c r="I36" s="399" t="s">
        <v>3499</v>
      </c>
      <c r="J36" s="374">
        <f>SUMIF(104:104,I36,105:105)-SUMIF(104:104,C36,105:105)+100</f>
        <v>100</v>
      </c>
      <c r="K36" s="538">
        <v>1</v>
      </c>
      <c r="L36" s="870"/>
      <c r="M36" s="861"/>
      <c r="N36" s="861"/>
      <c r="O36" s="869"/>
      <c r="P36" s="3432"/>
      <c r="Q36" s="1263" t="str">
        <f t="shared" si="11"/>
        <v>内部装修</v>
      </c>
      <c r="R36" s="667" t="s">
        <v>14</v>
      </c>
      <c r="S36" s="668">
        <f t="shared" si="12"/>
        <v>100</v>
      </c>
      <c r="T36" s="667" t="s">
        <v>14</v>
      </c>
      <c r="U36" s="668">
        <f t="shared" si="13"/>
        <v>100</v>
      </c>
      <c r="V36" s="667" t="s">
        <v>14</v>
      </c>
      <c r="W36" s="668">
        <f t="shared" si="14"/>
        <v>100</v>
      </c>
      <c r="X36" s="1265"/>
      <c r="Y36" s="3432"/>
      <c r="Z36" s="1264" t="str">
        <f t="shared" si="15"/>
        <v>内部装修</v>
      </c>
      <c r="AA36" s="1264">
        <f t="shared" si="3"/>
        <v>1</v>
      </c>
      <c r="AB36" s="1264">
        <f t="shared" si="4"/>
        <v>1</v>
      </c>
      <c r="AC36" s="1264">
        <f t="shared" si="5"/>
        <v>1</v>
      </c>
    </row>
    <row r="37" spans="1:29" ht="15.75" thickBot="1">
      <c r="A37" s="409"/>
      <c r="B37" s="364" t="s">
        <v>1812</v>
      </c>
      <c r="C37" s="542" t="s">
        <v>3391</v>
      </c>
      <c r="D37" s="374">
        <v>100</v>
      </c>
      <c r="E37" s="542" t="s">
        <v>3391</v>
      </c>
      <c r="F37" s="400">
        <f>SUMIF(106:106,E37,107:107)-SUMIF(106:106,C37,107:107)+100</f>
        <v>100</v>
      </c>
      <c r="G37" s="542" t="s">
        <v>3391</v>
      </c>
      <c r="H37" s="374">
        <f>SUMIF(106:106,G37,107:107)-SUMIF(106:106,C37,107:107)+100</f>
        <v>100</v>
      </c>
      <c r="I37" s="542" t="s">
        <v>3391</v>
      </c>
      <c r="J37" s="374">
        <f>SUMIF(106:106,I37,107:107)-SUMIF(106:106,C37,107:107)+100</f>
        <v>100</v>
      </c>
      <c r="K37" s="538">
        <v>1</v>
      </c>
      <c r="L37" s="870"/>
      <c r="M37" s="861"/>
      <c r="N37" s="861"/>
      <c r="O37" s="869"/>
      <c r="P37" s="3432"/>
      <c r="Q37" s="1263" t="str">
        <f t="shared" si="11"/>
        <v>内部装修状况</v>
      </c>
      <c r="R37" s="667" t="s">
        <v>14</v>
      </c>
      <c r="S37" s="668">
        <f t="shared" si="12"/>
        <v>100</v>
      </c>
      <c r="T37" s="667" t="s">
        <v>14</v>
      </c>
      <c r="U37" s="668">
        <f t="shared" si="13"/>
        <v>100</v>
      </c>
      <c r="V37" s="667" t="s">
        <v>14</v>
      </c>
      <c r="W37" s="668">
        <f t="shared" si="14"/>
        <v>100</v>
      </c>
      <c r="X37" s="1265"/>
      <c r="Y37" s="3432"/>
      <c r="Z37" s="1264" t="str">
        <f t="shared" si="15"/>
        <v>内部装修状况</v>
      </c>
      <c r="AA37" s="1264">
        <f t="shared" si="3"/>
        <v>1</v>
      </c>
      <c r="AB37" s="1264">
        <f t="shared" si="4"/>
        <v>1</v>
      </c>
      <c r="AC37" s="1264">
        <f t="shared" si="5"/>
        <v>1</v>
      </c>
    </row>
    <row r="38" spans="1:29" s="408" customFormat="1" ht="15" hidden="1">
      <c r="A38" s="406"/>
      <c r="B38" s="3199"/>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32"/>
      <c r="Q38" s="531">
        <f t="shared" si="11"/>
        <v>0</v>
      </c>
      <c r="R38" s="669" t="s">
        <v>14</v>
      </c>
      <c r="S38" s="670">
        <f t="shared" si="12"/>
        <v>100</v>
      </c>
      <c r="T38" s="669" t="s">
        <v>14</v>
      </c>
      <c r="U38" s="670">
        <f t="shared" si="13"/>
        <v>100</v>
      </c>
      <c r="V38" s="669" t="s">
        <v>14</v>
      </c>
      <c r="W38" s="670">
        <f t="shared" si="14"/>
        <v>100</v>
      </c>
      <c r="X38" s="671"/>
      <c r="Y38" s="3432"/>
      <c r="Z38" s="672">
        <f t="shared" si="15"/>
        <v>0</v>
      </c>
      <c r="AA38" s="1264">
        <f t="shared" si="3"/>
        <v>1</v>
      </c>
      <c r="AB38" s="1264">
        <f t="shared" si="4"/>
        <v>1</v>
      </c>
      <c r="AC38" s="1264">
        <f t="shared" si="5"/>
        <v>1</v>
      </c>
    </row>
    <row r="39" spans="1:29" ht="15" hidden="1">
      <c r="A39" s="409"/>
      <c r="B39" s="3199"/>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32"/>
      <c r="Q39" s="1263">
        <f t="shared" si="11"/>
        <v>0</v>
      </c>
      <c r="R39" s="667" t="s">
        <v>14</v>
      </c>
      <c r="S39" s="668">
        <f t="shared" si="12"/>
        <v>100</v>
      </c>
      <c r="T39" s="667" t="s">
        <v>14</v>
      </c>
      <c r="U39" s="668">
        <f t="shared" si="13"/>
        <v>100</v>
      </c>
      <c r="V39" s="667" t="s">
        <v>14</v>
      </c>
      <c r="W39" s="668">
        <f t="shared" si="14"/>
        <v>100</v>
      </c>
      <c r="X39" s="1265"/>
      <c r="Y39" s="3432"/>
      <c r="Z39" s="1264">
        <f t="shared" si="15"/>
        <v>0</v>
      </c>
      <c r="AA39" s="1264">
        <f t="shared" si="3"/>
        <v>1</v>
      </c>
      <c r="AB39" s="1264">
        <f t="shared" si="4"/>
        <v>1</v>
      </c>
      <c r="AC39" s="1264">
        <f t="shared" si="5"/>
        <v>1</v>
      </c>
    </row>
    <row r="40" spans="1:29" ht="15.75" hidden="1" thickBot="1">
      <c r="A40" s="415"/>
      <c r="B40" s="1749"/>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33"/>
      <c r="Q40" s="1263">
        <f t="shared" si="11"/>
        <v>0</v>
      </c>
      <c r="R40" s="667" t="s">
        <v>14</v>
      </c>
      <c r="S40" s="668">
        <f t="shared" si="12"/>
        <v>100</v>
      </c>
      <c r="T40" s="667" t="s">
        <v>14</v>
      </c>
      <c r="U40" s="668">
        <f t="shared" si="13"/>
        <v>100</v>
      </c>
      <c r="V40" s="667" t="s">
        <v>14</v>
      </c>
      <c r="W40" s="668">
        <f t="shared" si="14"/>
        <v>100</v>
      </c>
      <c r="X40" s="1265"/>
      <c r="Y40" s="3433"/>
      <c r="Z40" s="1264">
        <f t="shared" si="15"/>
        <v>0</v>
      </c>
      <c r="AA40" s="1264">
        <f t="shared" si="3"/>
        <v>1</v>
      </c>
      <c r="AB40" s="1264">
        <f t="shared" si="4"/>
        <v>1</v>
      </c>
      <c r="AC40" s="1264">
        <f t="shared" si="5"/>
        <v>1</v>
      </c>
    </row>
    <row r="41" spans="1:29" ht="15">
      <c r="A41" s="416" t="s">
        <v>1692</v>
      </c>
      <c r="B41" s="417"/>
      <c r="C41" s="1081" t="s">
        <v>0</v>
      </c>
      <c r="D41" s="418"/>
      <c r="E41" s="419">
        <v>1.2</v>
      </c>
      <c r="F41" s="420"/>
      <c r="G41" s="421">
        <v>1.1000000000000001</v>
      </c>
      <c r="H41" s="422"/>
      <c r="I41" s="419">
        <v>1.4</v>
      </c>
      <c r="J41" s="422"/>
      <c r="K41" s="674"/>
      <c r="L41" s="873"/>
      <c r="M41" s="861"/>
      <c r="N41" s="861"/>
      <c r="O41" s="861"/>
      <c r="P41" s="3425" t="str">
        <f>A41</f>
        <v>成交单价（元/平方米）</v>
      </c>
      <c r="Q41" s="3425"/>
      <c r="R41" s="3426">
        <f>E41</f>
        <v>1.2</v>
      </c>
      <c r="S41" s="3426"/>
      <c r="T41" s="3426">
        <f>G41</f>
        <v>1.1000000000000001</v>
      </c>
      <c r="U41" s="3426"/>
      <c r="V41" s="3426">
        <f>I41</f>
        <v>1.4</v>
      </c>
      <c r="W41" s="3426"/>
      <c r="X41" s="385"/>
      <c r="Y41" s="673"/>
      <c r="Z41" s="385"/>
      <c r="AA41" s="385"/>
      <c r="AB41" s="385"/>
      <c r="AC41" s="385"/>
    </row>
    <row r="42" spans="1:29" ht="15.75" thickBot="1">
      <c r="A42" s="423" t="s">
        <v>1777</v>
      </c>
      <c r="B42" s="424"/>
      <c r="C42" s="1082">
        <f>R43</f>
        <v>1.2</v>
      </c>
      <c r="D42" s="2141" t="s">
        <v>2122</v>
      </c>
      <c r="E42" s="1083">
        <f>R42</f>
        <v>1.2</v>
      </c>
      <c r="F42" s="2142"/>
      <c r="G42" s="1082">
        <f>T42</f>
        <v>1.1000000000000001</v>
      </c>
      <c r="H42" s="2142"/>
      <c r="I42" s="1083">
        <f>V42</f>
        <v>1.4</v>
      </c>
      <c r="J42" s="2142"/>
      <c r="K42" s="2144">
        <f>F42+H42+J42</f>
        <v>0</v>
      </c>
      <c r="L42" s="873"/>
      <c r="M42" s="861"/>
      <c r="N42" s="861"/>
      <c r="O42" s="861"/>
      <c r="P42" s="3425" t="str">
        <f>A42</f>
        <v>比较价值（元/平方米）</v>
      </c>
      <c r="Q42" s="3425"/>
      <c r="R42" s="3426">
        <f>IF(F1="售价",ROUND(PRODUCT(R41,AA7:AA40),0),ROUND(PRODUCT(R41,AA7:AA40),1))</f>
        <v>1.2</v>
      </c>
      <c r="S42" s="3426"/>
      <c r="T42" s="3426">
        <f>IF(F1="售价",ROUND(PRODUCT(T41,AB7:AB40),0),ROUND(PRODUCT(T41,AB7:AB40),1))</f>
        <v>1.1000000000000001</v>
      </c>
      <c r="U42" s="3426"/>
      <c r="V42" s="3426">
        <f>IF(F1="售价",ROUND(PRODUCT(V41,AC7:AC40),0),ROUND(PRODUCT(V41,AC7:AC40),1))</f>
        <v>1.4</v>
      </c>
      <c r="W42" s="3426"/>
      <c r="X42" s="385"/>
      <c r="Y42" s="385"/>
      <c r="Z42" s="385"/>
      <c r="AA42" s="385"/>
      <c r="AB42" s="385"/>
      <c r="AC42" s="385"/>
    </row>
    <row r="43" spans="1:29" ht="15.75" thickBot="1">
      <c r="A43" s="427" t="s">
        <v>1778</v>
      </c>
      <c r="B43" s="428"/>
      <c r="C43" s="351">
        <f>R43</f>
        <v>1.2</v>
      </c>
      <c r="D43" s="351"/>
      <c r="E43" s="351"/>
      <c r="F43" s="351"/>
      <c r="G43" s="351"/>
      <c r="H43" s="351"/>
      <c r="I43" s="351"/>
      <c r="J43" s="351"/>
      <c r="K43" s="675"/>
      <c r="L43" s="873"/>
      <c r="M43" s="861"/>
      <c r="N43" s="861"/>
      <c r="O43" s="861"/>
      <c r="P43" s="3422" t="str">
        <f>A43</f>
        <v>估价对象XX用房的比较价值（楼面单价，元/平方米）</v>
      </c>
      <c r="Q43" s="3423"/>
      <c r="R43" s="3424">
        <f>IF(F1="售价",ROUND(IF(D42="简单平均",AVERAGE(R42:V42),R42*F42+T42*H42+V42*J42),0),ROUND(IF(D42="简单平均",AVERAGE(R42:V42),R42*F42+T42*H42+V42*J42),1))</f>
        <v>1.2</v>
      </c>
      <c r="S43" s="3424"/>
      <c r="T43" s="3424"/>
      <c r="U43" s="3424"/>
      <c r="V43" s="3424"/>
      <c r="W43" s="3424"/>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1779</v>
      </c>
      <c r="D46" s="433"/>
      <c r="E46" s="434">
        <f>IF(E41&lt;E42,E42/E41-1,E41/E42-1)</f>
        <v>0</v>
      </c>
      <c r="F46" s="435" t="str">
        <f>IF(OR(E46&gt;=0.3,E46&lt;=-0.3),"超过30%","")</f>
        <v/>
      </c>
      <c r="G46" s="434">
        <f>IF(G41&lt;G42,G42/G41-1,G41/G42-1)</f>
        <v>0</v>
      </c>
      <c r="H46" s="435" t="str">
        <f>IF(OR(G46&gt;=0.3,G46&lt;=-0.3),"超过30%","")</f>
        <v/>
      </c>
      <c r="I46" s="434">
        <f>IF(I41&lt;I42,I42/I41-1,I41/I42-1)</f>
        <v>0</v>
      </c>
      <c r="J46" s="435" t="str">
        <f>IF(OR(I46&gt;=0.3,I46&lt;=-0.3),"超过30%","")</f>
        <v/>
      </c>
      <c r="K46" s="2498"/>
      <c r="L46" s="836"/>
      <c r="M46" s="861"/>
      <c r="N46" s="861"/>
      <c r="O46" s="861"/>
    </row>
    <row r="47" spans="1:29" ht="13.5" customHeight="1">
      <c r="A47" s="2486"/>
      <c r="B47" s="2486"/>
      <c r="C47" s="432" t="s">
        <v>1780</v>
      </c>
      <c r="D47" s="436"/>
      <c r="E47" s="434">
        <f>IF(E42&lt;G42,G42/E42-1,E42/G42-1)</f>
        <v>9.0909090909090828E-2</v>
      </c>
      <c r="F47" s="435" t="str">
        <f>IF(OR(E47&gt;=0.2,E47&lt;=-0.2),"超过20%","")</f>
        <v/>
      </c>
      <c r="G47" s="434">
        <f>IF(G42&lt;I42,I42/G42-1,G42/I42-1)</f>
        <v>0.27272727272727249</v>
      </c>
      <c r="H47" s="435" t="str">
        <f>IF(OR(G47&gt;=0.2,G47&lt;=-0.2),"超过20%","")</f>
        <v>超过20%</v>
      </c>
      <c r="I47" s="434">
        <f>IF(I42&lt;E42,E42/I42-1,I42/E42-1)</f>
        <v>0.16666666666666674</v>
      </c>
      <c r="J47" s="435" t="str">
        <f>IF(OR(I47&gt;=0.2,I47&lt;=-0.2),"超过20%","")</f>
        <v/>
      </c>
      <c r="K47" s="2498"/>
      <c r="L47" s="836"/>
      <c r="M47" s="861"/>
      <c r="N47" s="861"/>
      <c r="O47" s="861"/>
    </row>
    <row r="48" spans="1:29" s="437" customFormat="1" ht="13.5" customHeight="1">
      <c r="A48" s="2496"/>
      <c r="B48" s="2496"/>
      <c r="C48" s="432" t="s">
        <v>1781</v>
      </c>
      <c r="D48" s="436"/>
      <c r="E48" s="434">
        <f>IF(E41&lt;G41,G41/E41-1,E41/G41-1)</f>
        <v>9.0909090909090828E-2</v>
      </c>
      <c r="F48" s="435" t="str">
        <f>IF(OR(E48&gt;=0.3,E48&lt;=-0.3),"超过30%","")</f>
        <v/>
      </c>
      <c r="G48" s="434">
        <f>IF(G41&lt;I41,I41/G41-1,G41/I41-1)</f>
        <v>0.27272727272727249</v>
      </c>
      <c r="H48" s="435" t="str">
        <f>IF(OR(G48&gt;=0.3,G48&lt;=-0.3),"超过30%","")</f>
        <v/>
      </c>
      <c r="I48" s="434">
        <f>IF(I41&lt;E41,E41/I41-1,I41/E41-1)</f>
        <v>0.16666666666666674</v>
      </c>
      <c r="J48" s="435" t="str">
        <f>IF(OR(I48&gt;=0.3,I48&lt;=-0.3),"超过30%","")</f>
        <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1.75" thickBot="1">
      <c r="A51" s="658" t="s">
        <v>1782</v>
      </c>
      <c r="B51" s="385"/>
      <c r="C51" s="659"/>
      <c r="D51" s="659"/>
      <c r="E51" s="659"/>
      <c r="F51" s="660"/>
      <c r="G51" s="660"/>
      <c r="H51" s="659"/>
      <c r="I51" s="659"/>
      <c r="J51" s="659"/>
      <c r="K51" s="887"/>
      <c r="L51" s="888"/>
      <c r="M51" s="886"/>
      <c r="N51" s="886"/>
      <c r="O51" s="886"/>
      <c r="P51" s="438"/>
      <c r="Q51" s="439"/>
    </row>
    <row r="52" spans="1:17" s="442" customFormat="1" ht="15">
      <c r="A52" s="440" t="s">
        <v>1663</v>
      </c>
      <c r="B52" s="441"/>
      <c r="C52" s="1103" t="str">
        <f>YEAR(C7)&amp;"-"&amp;MONTH(C7)</f>
        <v>2025-1</v>
      </c>
      <c r="D52" s="1104">
        <f>EDATE(C52,-1)</f>
        <v>45627</v>
      </c>
      <c r="E52" s="1104">
        <f t="shared" ref="E52:O52" si="16">EDATE(D52,-1)</f>
        <v>45597</v>
      </c>
      <c r="F52" s="1104">
        <f t="shared" si="16"/>
        <v>45566</v>
      </c>
      <c r="G52" s="1104">
        <f t="shared" si="16"/>
        <v>45536</v>
      </c>
      <c r="H52" s="1104">
        <f t="shared" si="16"/>
        <v>45505</v>
      </c>
      <c r="I52" s="1104">
        <f t="shared" si="16"/>
        <v>45474</v>
      </c>
      <c r="J52" s="1104">
        <f t="shared" si="16"/>
        <v>45444</v>
      </c>
      <c r="K52" s="1104">
        <f t="shared" si="16"/>
        <v>45413</v>
      </c>
      <c r="L52" s="1104">
        <f t="shared" si="16"/>
        <v>45383</v>
      </c>
      <c r="M52" s="1104">
        <f t="shared" si="16"/>
        <v>45352</v>
      </c>
      <c r="N52" s="1104">
        <f t="shared" si="16"/>
        <v>45323</v>
      </c>
      <c r="O52" s="1104">
        <f t="shared" si="16"/>
        <v>45292</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1700</v>
      </c>
      <c r="B54" s="450"/>
      <c r="C54" s="451"/>
      <c r="D54" s="452"/>
      <c r="E54" s="452"/>
      <c r="F54" s="452"/>
      <c r="G54" s="452"/>
      <c r="H54" s="452"/>
      <c r="I54" s="452"/>
      <c r="J54" s="452"/>
      <c r="K54" s="452"/>
      <c r="L54" s="452"/>
      <c r="M54" s="453"/>
      <c r="N54" s="2537"/>
      <c r="O54" s="2538"/>
      <c r="P54" s="439"/>
      <c r="Q54" s="439"/>
    </row>
    <row r="55" spans="1:17" s="102" customFormat="1" ht="15">
      <c r="A55" s="455" t="s">
        <v>1665</v>
      </c>
      <c r="B55" s="444"/>
      <c r="C55" s="456" t="s">
        <v>1760</v>
      </c>
      <c r="D55" s="3204" t="s">
        <v>3489</v>
      </c>
      <c r="E55" s="31"/>
      <c r="F55" s="31"/>
      <c r="G55" s="31"/>
      <c r="H55" s="31"/>
      <c r="I55" s="31"/>
      <c r="J55" s="31"/>
      <c r="K55" s="31"/>
      <c r="L55" s="457"/>
      <c r="M55" s="458"/>
      <c r="N55" s="878"/>
      <c r="O55" s="878"/>
      <c r="P55" s="459"/>
      <c r="Q55" s="439"/>
    </row>
    <row r="56" spans="1:17" s="102" customFormat="1" ht="15.75" thickBot="1">
      <c r="A56" s="455"/>
      <c r="B56" s="444"/>
      <c r="C56" s="563">
        <v>100</v>
      </c>
      <c r="D56" s="3203">
        <v>102</v>
      </c>
      <c r="E56" s="446"/>
      <c r="F56" s="446"/>
      <c r="G56" s="446"/>
      <c r="H56" s="446"/>
      <c r="I56" s="446"/>
      <c r="J56" s="446"/>
      <c r="K56" s="446"/>
      <c r="L56" s="446"/>
      <c r="M56" s="448"/>
      <c r="N56" s="878"/>
      <c r="O56" s="878"/>
      <c r="P56" s="439"/>
      <c r="Q56" s="439"/>
    </row>
    <row r="57" spans="1:17">
      <c r="A57" s="379" t="s">
        <v>1703</v>
      </c>
      <c r="B57" s="460" t="s">
        <v>1669</v>
      </c>
      <c r="C57" s="461" t="str">
        <f>C9</f>
        <v>工业</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1672</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1673</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1674</v>
      </c>
      <c r="B70" s="460" t="s">
        <v>1813</v>
      </c>
      <c r="C70" s="504" t="s">
        <v>1705</v>
      </c>
      <c r="D70" s="504" t="s">
        <v>1706</v>
      </c>
      <c r="E70" s="504" t="s">
        <v>1707</v>
      </c>
      <c r="F70" s="504" t="s">
        <v>1708</v>
      </c>
      <c r="G70" s="504" t="s">
        <v>1709</v>
      </c>
      <c r="H70" s="461"/>
      <c r="I70" s="461"/>
      <c r="J70" s="461"/>
      <c r="K70" s="505"/>
      <c r="L70" s="506"/>
      <c r="M70" s="507"/>
      <c r="N70" s="879"/>
      <c r="O70" s="879"/>
      <c r="P70" s="508"/>
      <c r="Q70" s="439"/>
    </row>
    <row r="71" spans="1:17" ht="15.75" thickBot="1">
      <c r="A71" s="367"/>
      <c r="B71" s="474"/>
      <c r="C71" s="475">
        <v>100</v>
      </c>
      <c r="D71" s="475">
        <f>C71-$K15</f>
        <v>98</v>
      </c>
      <c r="E71" s="475">
        <f>D71-$K15</f>
        <v>96</v>
      </c>
      <c r="F71" s="475">
        <f>E71-$K15</f>
        <v>94</v>
      </c>
      <c r="G71" s="475">
        <f>F71-$K15</f>
        <v>92</v>
      </c>
      <c r="H71" s="475"/>
      <c r="I71" s="475"/>
      <c r="J71" s="475"/>
      <c r="K71" s="475"/>
      <c r="L71" s="475"/>
      <c r="M71" s="476"/>
      <c r="N71" s="880"/>
      <c r="O71" s="880"/>
      <c r="P71" s="40"/>
      <c r="Q71" s="439"/>
    </row>
    <row r="72" spans="1:17" ht="15.75" thickTop="1">
      <c r="A72" s="367"/>
      <c r="B72" s="469" t="s">
        <v>1710</v>
      </c>
      <c r="C72" s="509" t="s">
        <v>1705</v>
      </c>
      <c r="D72" s="509" t="s">
        <v>1706</v>
      </c>
      <c r="E72" s="509" t="s">
        <v>1707</v>
      </c>
      <c r="F72" s="509" t="s">
        <v>1708</v>
      </c>
      <c r="G72" s="509" t="s">
        <v>1709</v>
      </c>
      <c r="H72" s="470"/>
      <c r="I72" s="470"/>
      <c r="J72" s="470"/>
      <c r="K72" s="471"/>
      <c r="L72" s="472"/>
      <c r="M72" s="473"/>
      <c r="N72" s="879"/>
      <c r="O72" s="879"/>
      <c r="P72" s="40"/>
      <c r="Q72" s="439"/>
    </row>
    <row r="73" spans="1:17" ht="15.75" thickBot="1">
      <c r="A73" s="367"/>
      <c r="B73" s="474"/>
      <c r="C73" s="475">
        <v>100</v>
      </c>
      <c r="D73" s="475">
        <f>C73-$K17</f>
        <v>98</v>
      </c>
      <c r="E73" s="475">
        <f>D73-$K17</f>
        <v>96</v>
      </c>
      <c r="F73" s="475">
        <f>E73-$K17</f>
        <v>94</v>
      </c>
      <c r="G73" s="475">
        <f>F73-$K17</f>
        <v>92</v>
      </c>
      <c r="H73" s="475"/>
      <c r="I73" s="475"/>
      <c r="J73" s="475"/>
      <c r="K73" s="475"/>
      <c r="L73" s="475"/>
      <c r="M73" s="476"/>
      <c r="N73" s="880"/>
      <c r="O73" s="880"/>
      <c r="P73" s="40"/>
      <c r="Q73" s="439"/>
    </row>
    <row r="74" spans="1:17" ht="15.75" thickTop="1">
      <c r="A74" s="367"/>
      <c r="B74" s="469" t="s">
        <v>1711</v>
      </c>
      <c r="C74" s="509" t="s">
        <v>1705</v>
      </c>
      <c r="D74" s="509" t="s">
        <v>1706</v>
      </c>
      <c r="E74" s="509" t="s">
        <v>1707</v>
      </c>
      <c r="F74" s="509" t="s">
        <v>1708</v>
      </c>
      <c r="G74" s="509" t="s">
        <v>1709</v>
      </c>
      <c r="H74" s="470"/>
      <c r="I74" s="470"/>
      <c r="J74" s="470"/>
      <c r="K74" s="471"/>
      <c r="L74" s="472"/>
      <c r="M74" s="473"/>
      <c r="N74" s="879"/>
      <c r="O74" s="879"/>
      <c r="P74" s="40"/>
      <c r="Q74" s="439"/>
    </row>
    <row r="75" spans="1:17" ht="15.75" thickBot="1">
      <c r="A75" s="367"/>
      <c r="B75" s="474"/>
      <c r="C75" s="475">
        <v>100</v>
      </c>
      <c r="D75" s="475">
        <f>C75-$K19</f>
        <v>98</v>
      </c>
      <c r="E75" s="475">
        <f>D75-$K19</f>
        <v>96</v>
      </c>
      <c r="F75" s="475">
        <f>E75-$K19</f>
        <v>94</v>
      </c>
      <c r="G75" s="475">
        <f>F75-$K19</f>
        <v>92</v>
      </c>
      <c r="H75" s="475"/>
      <c r="I75" s="475"/>
      <c r="J75" s="475"/>
      <c r="K75" s="475"/>
      <c r="L75" s="475"/>
      <c r="M75" s="476"/>
      <c r="N75" s="880"/>
      <c r="O75" s="880"/>
      <c r="P75" s="40"/>
      <c r="Q75" s="439"/>
    </row>
    <row r="76" spans="1:17" ht="15.75" thickTop="1">
      <c r="A76" s="367"/>
      <c r="B76" s="477" t="s">
        <v>1797</v>
      </c>
      <c r="C76" s="581" t="s">
        <v>1783</v>
      </c>
      <c r="D76" s="581" t="s">
        <v>1784</v>
      </c>
      <c r="E76" s="581" t="s">
        <v>1785</v>
      </c>
      <c r="F76" s="581" t="s">
        <v>1786</v>
      </c>
      <c r="G76" s="581" t="s">
        <v>1787</v>
      </c>
      <c r="H76" s="470"/>
      <c r="I76" s="470"/>
      <c r="J76" s="470"/>
      <c r="K76" s="470"/>
      <c r="L76" s="470"/>
      <c r="M76" s="1063"/>
      <c r="N76" s="880"/>
      <c r="O76" s="880"/>
      <c r="P76" s="40"/>
      <c r="Q76" s="439"/>
    </row>
    <row r="77" spans="1:17" ht="15.75" thickBot="1">
      <c r="A77" s="367"/>
      <c r="B77" s="477"/>
      <c r="C77" s="475">
        <v>100</v>
      </c>
      <c r="D77" s="475">
        <f>C77-$K21</f>
        <v>98</v>
      </c>
      <c r="E77" s="475">
        <f>D77-$K21</f>
        <v>96</v>
      </c>
      <c r="F77" s="475">
        <f>E77-$K21</f>
        <v>94</v>
      </c>
      <c r="G77" s="475">
        <f>F77-$K21</f>
        <v>92</v>
      </c>
      <c r="H77" s="581"/>
      <c r="I77" s="581"/>
      <c r="J77" s="581"/>
      <c r="K77" s="581"/>
      <c r="L77" s="581"/>
      <c r="M77" s="389"/>
      <c r="N77" s="880"/>
      <c r="O77" s="880"/>
      <c r="P77" s="40"/>
      <c r="Q77" s="439"/>
    </row>
    <row r="78" spans="1:17" ht="15.75" thickTop="1">
      <c r="A78" s="367"/>
      <c r="B78" s="469" t="s">
        <v>1806</v>
      </c>
      <c r="C78" s="509" t="s">
        <v>1705</v>
      </c>
      <c r="D78" s="509" t="s">
        <v>1706</v>
      </c>
      <c r="E78" s="509" t="s">
        <v>1707</v>
      </c>
      <c r="F78" s="509" t="s">
        <v>1708</v>
      </c>
      <c r="G78" s="509" t="s">
        <v>1709</v>
      </c>
      <c r="H78" s="470"/>
      <c r="I78" s="470"/>
      <c r="J78" s="470"/>
      <c r="K78" s="471"/>
      <c r="L78" s="472"/>
      <c r="M78" s="473"/>
      <c r="N78" s="879"/>
      <c r="O78" s="879"/>
      <c r="P78" s="40"/>
      <c r="Q78" s="439"/>
    </row>
    <row r="79" spans="1:17" ht="15.75" thickBot="1">
      <c r="A79" s="367"/>
      <c r="B79" s="474"/>
      <c r="C79" s="475">
        <v>100</v>
      </c>
      <c r="D79" s="475">
        <f>C79-$K23</f>
        <v>98</v>
      </c>
      <c r="E79" s="475">
        <f>D79-$K23</f>
        <v>96</v>
      </c>
      <c r="F79" s="475">
        <f>E79-$K23</f>
        <v>94</v>
      </c>
      <c r="G79" s="475">
        <f>F79-$K23</f>
        <v>92</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1678</v>
      </c>
      <c r="B88" s="460" t="s">
        <v>1720</v>
      </c>
      <c r="C88" s="3197" t="s">
        <v>3517</v>
      </c>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98</v>
      </c>
      <c r="E89" s="475">
        <f t="shared" si="19"/>
        <v>96</v>
      </c>
      <c r="F89" s="475">
        <f t="shared" si="19"/>
        <v>94</v>
      </c>
      <c r="G89" s="475">
        <f t="shared" si="19"/>
        <v>92</v>
      </c>
      <c r="H89" s="475">
        <f t="shared" si="19"/>
        <v>90</v>
      </c>
      <c r="I89" s="475">
        <f t="shared" si="19"/>
        <v>88</v>
      </c>
      <c r="J89" s="475">
        <f t="shared" si="19"/>
        <v>86</v>
      </c>
      <c r="K89" s="475">
        <f t="shared" si="19"/>
        <v>84</v>
      </c>
      <c r="L89" s="475">
        <f t="shared" si="19"/>
        <v>82</v>
      </c>
      <c r="M89" s="476">
        <f t="shared" si="19"/>
        <v>80</v>
      </c>
      <c r="N89" s="880"/>
      <c r="O89" s="880"/>
      <c r="P89" s="40"/>
      <c r="Q89" s="439"/>
    </row>
    <row r="90" spans="1:17" ht="29.25" thickTop="1">
      <c r="A90" s="367"/>
      <c r="B90" s="469" t="s">
        <v>1721</v>
      </c>
      <c r="C90" s="509" t="str">
        <f>C91&amp;"(含)"&amp;"-"&amp;D91</f>
        <v>0(含)-2000</v>
      </c>
      <c r="D90" s="509" t="str">
        <f t="shared" ref="D90:L90" si="20">D91&amp;"(含)"&amp;"-"&amp;E91</f>
        <v>2000(含)-4000</v>
      </c>
      <c r="E90" s="509" t="str">
        <f t="shared" si="20"/>
        <v>4000(含)-6000</v>
      </c>
      <c r="F90" s="509" t="str">
        <f t="shared" si="20"/>
        <v>6000(含)-8000</v>
      </c>
      <c r="G90" s="509" t="str">
        <f t="shared" si="20"/>
        <v>8000(含)-10000</v>
      </c>
      <c r="H90" s="509" t="str">
        <f t="shared" si="20"/>
        <v>10000(含)-12000</v>
      </c>
      <c r="I90" s="509" t="str">
        <f t="shared" si="20"/>
        <v>12000(含)-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v>0</v>
      </c>
      <c r="D91" s="6">
        <v>2000</v>
      </c>
      <c r="E91" s="6">
        <v>4000</v>
      </c>
      <c r="F91" s="6">
        <v>6000</v>
      </c>
      <c r="G91" s="6">
        <v>8000</v>
      </c>
      <c r="H91" s="6">
        <v>10000</v>
      </c>
      <c r="I91" s="6">
        <v>12000</v>
      </c>
      <c r="J91" s="524"/>
      <c r="K91" s="524"/>
      <c r="L91" s="525"/>
      <c r="M91" s="526"/>
      <c r="N91" s="881"/>
      <c r="O91" s="881"/>
      <c r="P91" s="489"/>
      <c r="Q91" s="490"/>
    </row>
    <row r="92" spans="1:17" s="408" customFormat="1" ht="15.75" thickBot="1">
      <c r="A92" s="484"/>
      <c r="B92" s="474"/>
      <c r="C92" s="491">
        <v>100</v>
      </c>
      <c r="D92" s="491">
        <v>100</v>
      </c>
      <c r="E92" s="491">
        <v>100</v>
      </c>
      <c r="F92" s="491">
        <v>100</v>
      </c>
      <c r="G92" s="491">
        <v>100</v>
      </c>
      <c r="H92" s="491">
        <v>100</v>
      </c>
      <c r="I92" s="491">
        <v>100</v>
      </c>
      <c r="J92" s="467"/>
      <c r="K92" s="467"/>
      <c r="L92" s="467"/>
      <c r="M92" s="468"/>
      <c r="N92" s="880"/>
      <c r="O92" s="880"/>
      <c r="P92" s="489"/>
      <c r="Q92" s="490"/>
    </row>
    <row r="93" spans="1:17" ht="15" thickTop="1">
      <c r="A93" s="409"/>
      <c r="B93" s="469" t="s">
        <v>1722</v>
      </c>
      <c r="C93" s="3201" t="s">
        <v>3490</v>
      </c>
      <c r="D93" s="3201" t="s">
        <v>3514</v>
      </c>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99</v>
      </c>
      <c r="E94" s="475">
        <f t="shared" si="21"/>
        <v>98</v>
      </c>
      <c r="F94" s="475">
        <f t="shared" si="21"/>
        <v>97</v>
      </c>
      <c r="G94" s="475">
        <f t="shared" si="21"/>
        <v>96</v>
      </c>
      <c r="H94" s="475">
        <f t="shared" si="21"/>
        <v>95</v>
      </c>
      <c r="I94" s="475">
        <f t="shared" si="21"/>
        <v>94</v>
      </c>
      <c r="J94" s="475">
        <f t="shared" si="21"/>
        <v>93</v>
      </c>
      <c r="K94" s="475">
        <f t="shared" si="21"/>
        <v>92</v>
      </c>
      <c r="L94" s="475">
        <f t="shared" si="21"/>
        <v>91</v>
      </c>
      <c r="M94" s="476">
        <f t="shared" si="21"/>
        <v>90</v>
      </c>
      <c r="N94" s="880"/>
      <c r="O94" s="880"/>
      <c r="P94" s="40"/>
      <c r="Q94" s="439"/>
    </row>
    <row r="95" spans="1:17" ht="15" thickTop="1">
      <c r="A95" s="409"/>
      <c r="B95" s="469" t="s">
        <v>1724</v>
      </c>
      <c r="C95" s="3201" t="s">
        <v>3491</v>
      </c>
      <c r="D95" s="3201" t="s">
        <v>3492</v>
      </c>
      <c r="E95" s="3201" t="s">
        <v>3493</v>
      </c>
      <c r="F95" s="3196" t="s">
        <v>3518</v>
      </c>
      <c r="G95" s="513"/>
      <c r="H95" s="513"/>
      <c r="I95" s="513"/>
      <c r="J95" s="513"/>
      <c r="K95" s="514"/>
      <c r="L95" s="515"/>
      <c r="M95" s="516"/>
      <c r="N95" s="879"/>
      <c r="O95" s="879"/>
      <c r="P95" s="40"/>
      <c r="Q95" s="439"/>
    </row>
    <row r="96" spans="1:17" ht="15.75" thickBot="1">
      <c r="A96" s="367"/>
      <c r="B96" s="474"/>
      <c r="C96" s="475">
        <v>100</v>
      </c>
      <c r="D96" s="475">
        <f t="shared" ref="D96:M96" si="22">C96-$K32</f>
        <v>99</v>
      </c>
      <c r="E96" s="475">
        <f t="shared" si="22"/>
        <v>98</v>
      </c>
      <c r="F96" s="475">
        <f t="shared" si="22"/>
        <v>97</v>
      </c>
      <c r="G96" s="475">
        <f t="shared" si="22"/>
        <v>96</v>
      </c>
      <c r="H96" s="475">
        <f t="shared" si="22"/>
        <v>95</v>
      </c>
      <c r="I96" s="475">
        <f t="shared" si="22"/>
        <v>94</v>
      </c>
      <c r="J96" s="475">
        <f t="shared" si="22"/>
        <v>93</v>
      </c>
      <c r="K96" s="475">
        <f t="shared" si="22"/>
        <v>92</v>
      </c>
      <c r="L96" s="475">
        <f t="shared" si="22"/>
        <v>91</v>
      </c>
      <c r="M96" s="476">
        <f t="shared" si="22"/>
        <v>90</v>
      </c>
      <c r="N96" s="880"/>
      <c r="O96" s="880"/>
      <c r="P96" s="40"/>
      <c r="Q96" s="439"/>
    </row>
    <row r="97" spans="1:17" ht="15" thickTop="1">
      <c r="A97" s="409"/>
      <c r="B97" s="469" t="s">
        <v>1174</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1725</v>
      </c>
      <c r="C100" s="3201" t="s">
        <v>3494</v>
      </c>
      <c r="D100" s="3201" t="s">
        <v>3495</v>
      </c>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99</v>
      </c>
      <c r="E101" s="475">
        <f t="shared" ref="E101:M101" si="24">D101-$K34</f>
        <v>98</v>
      </c>
      <c r="F101" s="475">
        <f t="shared" si="24"/>
        <v>97</v>
      </c>
      <c r="G101" s="475">
        <f t="shared" si="24"/>
        <v>96</v>
      </c>
      <c r="H101" s="475">
        <f t="shared" si="24"/>
        <v>95</v>
      </c>
      <c r="I101" s="475">
        <f t="shared" si="24"/>
        <v>94</v>
      </c>
      <c r="J101" s="475">
        <f t="shared" si="24"/>
        <v>93</v>
      </c>
      <c r="K101" s="475">
        <f t="shared" si="24"/>
        <v>92</v>
      </c>
      <c r="L101" s="475">
        <f t="shared" si="24"/>
        <v>91</v>
      </c>
      <c r="M101" s="475">
        <f t="shared" si="24"/>
        <v>90</v>
      </c>
      <c r="N101" s="881"/>
      <c r="O101" s="881"/>
      <c r="P101" s="489"/>
      <c r="Q101" s="490"/>
    </row>
    <row r="102" spans="1:17" ht="15" thickTop="1">
      <c r="A102" s="409"/>
      <c r="B102" s="469" t="s">
        <v>1726</v>
      </c>
      <c r="C102" s="3201" t="s">
        <v>3496</v>
      </c>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99</v>
      </c>
      <c r="E103" s="475">
        <f t="shared" si="25"/>
        <v>98</v>
      </c>
      <c r="F103" s="475">
        <f t="shared" si="25"/>
        <v>97</v>
      </c>
      <c r="G103" s="475">
        <f t="shared" si="25"/>
        <v>96</v>
      </c>
      <c r="H103" s="475">
        <f t="shared" si="25"/>
        <v>95</v>
      </c>
      <c r="I103" s="475">
        <f t="shared" si="25"/>
        <v>94</v>
      </c>
      <c r="J103" s="475">
        <f t="shared" si="25"/>
        <v>93</v>
      </c>
      <c r="K103" s="475">
        <f t="shared" si="25"/>
        <v>92</v>
      </c>
      <c r="L103" s="475">
        <f t="shared" si="25"/>
        <v>91</v>
      </c>
      <c r="M103" s="476">
        <f t="shared" si="25"/>
        <v>90</v>
      </c>
      <c r="N103" s="880"/>
      <c r="O103" s="880"/>
      <c r="P103" s="40"/>
      <c r="Q103" s="439"/>
    </row>
    <row r="104" spans="1:17" ht="15" thickTop="1">
      <c r="A104" s="409"/>
      <c r="B104" s="469" t="s">
        <v>1728</v>
      </c>
      <c r="C104" s="3205" t="s">
        <v>3497</v>
      </c>
      <c r="D104" s="3205" t="s">
        <v>3498</v>
      </c>
      <c r="E104" s="3205" t="s">
        <v>3499</v>
      </c>
      <c r="F104" s="3206" t="s">
        <v>3500</v>
      </c>
      <c r="G104" s="485" t="s">
        <v>3501</v>
      </c>
      <c r="H104" s="513"/>
      <c r="I104" s="513"/>
      <c r="J104" s="513"/>
      <c r="K104" s="514"/>
      <c r="L104" s="515"/>
      <c r="M104" s="516"/>
      <c r="N104" s="879"/>
      <c r="O104" s="879"/>
      <c r="P104" s="40"/>
      <c r="Q104" s="439"/>
    </row>
    <row r="105" spans="1:17" ht="15.75" thickBot="1">
      <c r="A105" s="367"/>
      <c r="B105" s="474"/>
      <c r="C105" s="475">
        <v>100</v>
      </c>
      <c r="D105" s="475">
        <f>C105-$K36</f>
        <v>99</v>
      </c>
      <c r="E105" s="475">
        <f>D105-$K36</f>
        <v>98</v>
      </c>
      <c r="F105" s="475">
        <f>E105-$K36</f>
        <v>97</v>
      </c>
      <c r="G105" s="475">
        <f>F105-$K36</f>
        <v>96</v>
      </c>
      <c r="H105" s="475"/>
      <c r="I105" s="475"/>
      <c r="J105" s="475"/>
      <c r="K105" s="475"/>
      <c r="L105" s="475"/>
      <c r="M105" s="476"/>
      <c r="N105" s="880"/>
      <c r="O105" s="880"/>
      <c r="P105" s="40"/>
      <c r="Q105" s="439"/>
    </row>
    <row r="106" spans="1:17" ht="15" thickTop="1">
      <c r="A106" s="409"/>
      <c r="B106" s="560" t="s">
        <v>1814</v>
      </c>
      <c r="C106" s="509" t="s">
        <v>1705</v>
      </c>
      <c r="D106" s="509" t="s">
        <v>1706</v>
      </c>
      <c r="E106" s="509" t="s">
        <v>1707</v>
      </c>
      <c r="F106" s="509" t="s">
        <v>1708</v>
      </c>
      <c r="G106" s="509" t="s">
        <v>1709</v>
      </c>
      <c r="H106" s="470"/>
      <c r="I106" s="470"/>
      <c r="J106" s="470"/>
      <c r="K106" s="471"/>
      <c r="L106" s="472"/>
      <c r="M106" s="473"/>
      <c r="N106" s="880"/>
      <c r="O106" s="880"/>
      <c r="P106" s="561"/>
      <c r="Q106" s="562"/>
    </row>
    <row r="107" spans="1:17" ht="15.75" thickBot="1">
      <c r="A107" s="367"/>
      <c r="B107" s="474"/>
      <c r="C107" s="512">
        <v>100</v>
      </c>
      <c r="D107" s="475">
        <f t="shared" ref="D107:M107" si="26">C107-$K37</f>
        <v>99</v>
      </c>
      <c r="E107" s="475">
        <f t="shared" si="26"/>
        <v>98</v>
      </c>
      <c r="F107" s="475">
        <f t="shared" si="26"/>
        <v>97</v>
      </c>
      <c r="G107" s="475">
        <f t="shared" si="26"/>
        <v>96</v>
      </c>
      <c r="H107" s="475">
        <f t="shared" si="26"/>
        <v>95</v>
      </c>
      <c r="I107" s="475">
        <f t="shared" si="26"/>
        <v>94</v>
      </c>
      <c r="J107" s="475">
        <f t="shared" si="26"/>
        <v>93</v>
      </c>
      <c r="K107" s="475">
        <f t="shared" si="26"/>
        <v>92</v>
      </c>
      <c r="L107" s="475">
        <f t="shared" si="26"/>
        <v>91</v>
      </c>
      <c r="M107" s="475">
        <f t="shared" si="26"/>
        <v>90</v>
      </c>
      <c r="N107" s="880"/>
      <c r="O107" s="880"/>
      <c r="P107" s="40"/>
      <c r="Q107" s="439"/>
    </row>
    <row r="108" spans="1:17" s="408" customFormat="1" ht="15" thickTop="1">
      <c r="A108" s="406"/>
      <c r="B108" s="469">
        <f>B38</f>
        <v>0</v>
      </c>
      <c r="C108" s="3201" t="s">
        <v>3502</v>
      </c>
      <c r="D108" s="3201" t="s">
        <v>3503</v>
      </c>
      <c r="E108" s="3201" t="s">
        <v>3495</v>
      </c>
      <c r="F108" s="3201" t="s">
        <v>3504</v>
      </c>
      <c r="G108" s="485"/>
      <c r="H108" s="486"/>
      <c r="I108" s="486"/>
      <c r="J108" s="486"/>
      <c r="K108" s="486"/>
      <c r="L108" s="487"/>
      <c r="M108" s="488"/>
      <c r="N108" s="881"/>
      <c r="O108" s="881"/>
      <c r="P108" s="489"/>
      <c r="Q108" s="490"/>
    </row>
    <row r="109" spans="1:17" s="408" customFormat="1" ht="15.75" thickBot="1">
      <c r="A109" s="484"/>
      <c r="B109" s="466"/>
      <c r="C109" s="491">
        <v>100</v>
      </c>
      <c r="D109" s="467">
        <v>98</v>
      </c>
      <c r="E109" s="491">
        <v>96</v>
      </c>
      <c r="F109" s="467">
        <v>94</v>
      </c>
      <c r="G109" s="491"/>
      <c r="H109" s="493"/>
      <c r="I109" s="493"/>
      <c r="J109" s="493"/>
      <c r="K109" s="493"/>
      <c r="L109" s="493"/>
      <c r="M109" s="494"/>
      <c r="N109" s="881"/>
      <c r="O109" s="881"/>
      <c r="P109" s="489"/>
      <c r="Q109" s="490"/>
    </row>
    <row r="110" spans="1:17" ht="15" thickTop="1">
      <c r="A110" s="409"/>
      <c r="B110" s="469">
        <f>B39</f>
        <v>0</v>
      </c>
      <c r="C110" s="3201" t="s">
        <v>3505</v>
      </c>
      <c r="D110" s="3201" t="s">
        <v>3506</v>
      </c>
      <c r="E110" s="3201" t="s">
        <v>3507</v>
      </c>
      <c r="F110" s="3201" t="s">
        <v>3508</v>
      </c>
      <c r="G110" s="3201" t="s">
        <v>3515</v>
      </c>
      <c r="H110" s="486"/>
      <c r="I110" s="486"/>
      <c r="J110" s="486"/>
      <c r="K110" s="486"/>
      <c r="L110" s="487"/>
      <c r="M110" s="488"/>
      <c r="N110" s="879"/>
      <c r="O110" s="879"/>
      <c r="P110" s="40"/>
      <c r="Q110" s="439"/>
    </row>
    <row r="111" spans="1:17" ht="15.75" thickBot="1">
      <c r="A111" s="367"/>
      <c r="B111" s="474"/>
      <c r="C111" s="491">
        <v>100</v>
      </c>
      <c r="D111" s="467">
        <v>95</v>
      </c>
      <c r="E111" s="467">
        <v>90</v>
      </c>
      <c r="F111" s="467">
        <v>85</v>
      </c>
      <c r="G111" s="491">
        <v>100</v>
      </c>
      <c r="H111" s="493"/>
      <c r="I111" s="493"/>
      <c r="J111" s="493"/>
      <c r="K111" s="493"/>
      <c r="L111" s="493"/>
      <c r="M111" s="494"/>
      <c r="N111" s="880"/>
      <c r="O111" s="880"/>
      <c r="P111" s="40"/>
      <c r="Q111" s="439"/>
    </row>
    <row r="112" spans="1:17" ht="15" thickTop="1">
      <c r="A112" s="409"/>
      <c r="B112" s="477">
        <f>B40</f>
        <v>0</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algorithmName="SHA-512" hashValue="Ov31bhgXtF4eQOV4FDmeg+R8mT+lA0pGyjTEz8uQGJOcFj2SnQ3RvglB6W4rrZ+dTOBHCzmokigcdWO49QoVjA==" saltValue="5FI7wEPz2AE87c/5KQbhRg==" spinCount="100000"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1815</v>
      </c>
      <c r="B1" s="1140" t="s">
        <v>3308</v>
      </c>
      <c r="C1" s="1141" t="s">
        <v>1646</v>
      </c>
      <c r="D1" s="1142"/>
      <c r="E1" s="3130"/>
      <c r="F1" s="1735"/>
      <c r="G1" s="1144" t="s">
        <v>1751</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1446</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1447</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1448</v>
      </c>
      <c r="B3" s="536" t="e">
        <f>IF(AND(C2="——",B37="元/平方米"),C39,ROUND(B2*10000/D3,0))</f>
        <v>#DIV/0!</v>
      </c>
      <c r="C3" s="344" t="s">
        <v>1752</v>
      </c>
      <c r="D3" s="343">
        <f>SUMIF('数据-汇总表'!$C19:$C33,D1,'数据-汇总表'!$E19:$E33)</f>
        <v>0</v>
      </c>
      <c r="E3" s="344" t="s">
        <v>1816</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5">
      <c r="A4" s="345" t="s">
        <v>1753</v>
      </c>
      <c r="B4" s="346"/>
      <c r="C4" s="3440" t="s">
        <v>1754</v>
      </c>
      <c r="D4" s="3441"/>
      <c r="E4" s="3442" t="s">
        <v>1755</v>
      </c>
      <c r="F4" s="3443"/>
      <c r="G4" s="3440" t="s">
        <v>1756</v>
      </c>
      <c r="H4" s="3441"/>
      <c r="I4" s="3440" t="s">
        <v>1757</v>
      </c>
      <c r="J4" s="3441"/>
      <c r="K4" s="537" t="s">
        <v>1758</v>
      </c>
      <c r="L4" s="2485"/>
      <c r="M4" s="2486"/>
      <c r="N4" s="2486"/>
      <c r="O4" s="2486"/>
      <c r="P4" s="3444" t="s">
        <v>1759</v>
      </c>
      <c r="Q4" s="3445"/>
      <c r="R4" s="3450" t="s">
        <v>1755</v>
      </c>
      <c r="S4" s="3451"/>
      <c r="T4" s="3450" t="s">
        <v>1756</v>
      </c>
      <c r="U4" s="3451"/>
      <c r="V4" s="3426" t="s">
        <v>1757</v>
      </c>
      <c r="W4" s="3426"/>
      <c r="X4" s="1265"/>
      <c r="Y4" s="3450" t="s">
        <v>1759</v>
      </c>
      <c r="Z4" s="3451"/>
      <c r="AA4" s="3437" t="s">
        <v>1755</v>
      </c>
      <c r="AB4" s="3438" t="s">
        <v>1756</v>
      </c>
      <c r="AC4" s="3437" t="s">
        <v>1757</v>
      </c>
    </row>
    <row r="5" spans="1:29" ht="15">
      <c r="A5" s="348"/>
      <c r="B5" s="349"/>
      <c r="C5" s="3458" t="s">
        <v>1657</v>
      </c>
      <c r="D5" s="3459"/>
      <c r="E5" s="3465" t="s">
        <v>1658</v>
      </c>
      <c r="F5" s="3466"/>
      <c r="G5" s="3458" t="s">
        <v>1659</v>
      </c>
      <c r="H5" s="3459"/>
      <c r="I5" s="3458" t="s">
        <v>1660</v>
      </c>
      <c r="J5" s="3459"/>
      <c r="K5" s="537"/>
      <c r="L5" s="2485"/>
      <c r="M5" s="2486"/>
      <c r="N5" s="2486"/>
      <c r="O5" s="2486"/>
      <c r="P5" s="3446"/>
      <c r="Q5" s="3447"/>
      <c r="R5" s="3452"/>
      <c r="S5" s="3453"/>
      <c r="T5" s="3452"/>
      <c r="U5" s="3453"/>
      <c r="V5" s="3426"/>
      <c r="W5" s="3426"/>
      <c r="X5" s="1265"/>
      <c r="Y5" s="3452"/>
      <c r="Z5" s="3453"/>
      <c r="AA5" s="3438"/>
      <c r="AB5" s="3438"/>
      <c r="AC5" s="3438"/>
    </row>
    <row r="6" spans="1:29" ht="15.75" thickBot="1">
      <c r="A6" s="350"/>
      <c r="B6" s="351"/>
      <c r="C6" s="3456" t="s">
        <v>1661</v>
      </c>
      <c r="D6" s="3457"/>
      <c r="E6" s="3463" t="s">
        <v>1661</v>
      </c>
      <c r="F6" s="3464"/>
      <c r="G6" s="3456" t="s">
        <v>1661</v>
      </c>
      <c r="H6" s="3457"/>
      <c r="I6" s="3456" t="s">
        <v>1661</v>
      </c>
      <c r="J6" s="3457"/>
      <c r="K6" s="537" t="s">
        <v>1662</v>
      </c>
      <c r="L6" s="2485"/>
      <c r="M6" s="2486"/>
      <c r="N6" s="2486"/>
      <c r="O6" s="2486"/>
      <c r="P6" s="3448"/>
      <c r="Q6" s="3449"/>
      <c r="R6" s="3452"/>
      <c r="S6" s="3453"/>
      <c r="T6" s="3454"/>
      <c r="U6" s="3455"/>
      <c r="V6" s="3426"/>
      <c r="W6" s="3426"/>
      <c r="X6" s="1265"/>
      <c r="Y6" s="3454"/>
      <c r="Z6" s="3455"/>
      <c r="AA6" s="3439"/>
      <c r="AB6" s="3439"/>
      <c r="AC6" s="3439"/>
    </row>
    <row r="7" spans="1:29" s="102" customFormat="1" ht="15.75" thickBot="1">
      <c r="A7" s="352" t="s">
        <v>1663</v>
      </c>
      <c r="B7" s="353"/>
      <c r="C7" s="354">
        <f>'数据-取费表'!B2</f>
        <v>45677</v>
      </c>
      <c r="D7" s="355">
        <v>100</v>
      </c>
      <c r="E7" s="356"/>
      <c r="F7" s="357">
        <f>SUMIF(48:48,YEAR(E7)&amp;"-"&amp;MONTH(E7),49:49)</f>
        <v>0</v>
      </c>
      <c r="G7" s="356"/>
      <c r="H7" s="355">
        <f>SUMIF(48:48,YEAR(G7)&amp;"-"&amp;MONTH(G7),49:49)</f>
        <v>0</v>
      </c>
      <c r="I7" s="356"/>
      <c r="J7" s="355">
        <f>SUMIF(48:48,YEAR(I7)&amp;"-"&amp;MONTH(I7),49:49)</f>
        <v>0</v>
      </c>
      <c r="K7" s="38"/>
      <c r="L7" s="2487"/>
      <c r="M7" s="2438"/>
      <c r="N7" s="2438"/>
      <c r="O7" s="2438"/>
      <c r="P7" s="3460" t="s">
        <v>1664</v>
      </c>
      <c r="Q7" s="3462"/>
      <c r="R7" s="664" t="s">
        <v>14</v>
      </c>
      <c r="S7" s="665">
        <f t="shared" ref="S7:S14" si="0">F7</f>
        <v>0</v>
      </c>
      <c r="T7" s="664" t="s">
        <v>14</v>
      </c>
      <c r="U7" s="665">
        <f t="shared" ref="U7:U14" si="1">H7</f>
        <v>0</v>
      </c>
      <c r="V7" s="664" t="s">
        <v>14</v>
      </c>
      <c r="W7" s="665">
        <f t="shared" ref="W7:W14" si="2">J7</f>
        <v>0</v>
      </c>
      <c r="X7" s="666"/>
      <c r="Y7" s="3460" t="s">
        <v>1664</v>
      </c>
      <c r="Z7" s="3461"/>
      <c r="AA7" s="50" t="e">
        <f>D7/F7</f>
        <v>#DIV/0!</v>
      </c>
      <c r="AB7" s="50" t="e">
        <f>D7/H7</f>
        <v>#DIV/0!</v>
      </c>
      <c r="AC7" s="50" t="e">
        <f>D7/J7</f>
        <v>#DIV/0!</v>
      </c>
    </row>
    <row r="8" spans="1:29" s="102" customFormat="1" ht="15.75" thickBot="1">
      <c r="A8" s="352" t="s">
        <v>1665</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460" t="s">
        <v>1667</v>
      </c>
      <c r="Q8" s="3461"/>
      <c r="R8" s="664" t="s">
        <v>14</v>
      </c>
      <c r="S8" s="665">
        <f t="shared" si="0"/>
        <v>100</v>
      </c>
      <c r="T8" s="664" t="s">
        <v>14</v>
      </c>
      <c r="U8" s="665">
        <f t="shared" si="1"/>
        <v>100</v>
      </c>
      <c r="V8" s="664" t="s">
        <v>14</v>
      </c>
      <c r="W8" s="665">
        <f t="shared" si="2"/>
        <v>100</v>
      </c>
      <c r="X8" s="666"/>
      <c r="Y8" s="3460" t="s">
        <v>1667</v>
      </c>
      <c r="Z8" s="3461"/>
      <c r="AA8" s="50">
        <f t="shared" ref="AA8:AA36" si="3">D8/F8</f>
        <v>1</v>
      </c>
      <c r="AB8" s="50">
        <f t="shared" ref="AB8:AB36" si="4">D8/H8</f>
        <v>1</v>
      </c>
      <c r="AC8" s="50">
        <f t="shared" ref="AC8:AC36" si="5">D8/J8</f>
        <v>1</v>
      </c>
    </row>
    <row r="9" spans="1:29" s="102" customFormat="1">
      <c r="A9" s="57" t="s">
        <v>1668</v>
      </c>
      <c r="B9" s="564" t="s">
        <v>1669</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425" t="s">
        <v>1670</v>
      </c>
      <c r="Q9" s="530" t="str">
        <f t="shared" ref="Q9:Q14" si="6">B9</f>
        <v>用途</v>
      </c>
      <c r="R9" s="664" t="s">
        <v>14</v>
      </c>
      <c r="S9" s="665">
        <f t="shared" si="0"/>
        <v>100</v>
      </c>
      <c r="T9" s="664" t="s">
        <v>14</v>
      </c>
      <c r="U9" s="665">
        <f t="shared" si="1"/>
        <v>100</v>
      </c>
      <c r="V9" s="664" t="s">
        <v>14</v>
      </c>
      <c r="W9" s="665">
        <f t="shared" si="2"/>
        <v>100</v>
      </c>
      <c r="X9" s="666"/>
      <c r="Y9" s="3300" t="s">
        <v>1671</v>
      </c>
      <c r="Z9" s="50" t="str">
        <f t="shared" ref="Z9:Z14" si="7">Q9</f>
        <v>用途</v>
      </c>
      <c r="AA9" s="50">
        <f t="shared" si="3"/>
        <v>1</v>
      </c>
      <c r="AB9" s="50">
        <f t="shared" si="4"/>
        <v>1</v>
      </c>
      <c r="AC9" s="50">
        <f t="shared" si="5"/>
        <v>1</v>
      </c>
    </row>
    <row r="10" spans="1:29" s="366" customFormat="1" ht="27">
      <c r="A10" s="565"/>
      <c r="B10" s="566" t="s">
        <v>1672</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425"/>
      <c r="Q10" s="530" t="str">
        <f t="shared" si="6"/>
        <v>土地使用年限（年）</v>
      </c>
      <c r="R10" s="664" t="s">
        <v>14</v>
      </c>
      <c r="S10" s="665">
        <f t="shared" si="0"/>
        <v>100</v>
      </c>
      <c r="T10" s="664" t="s">
        <v>14</v>
      </c>
      <c r="U10" s="665">
        <f t="shared" si="1"/>
        <v>100</v>
      </c>
      <c r="V10" s="664" t="s">
        <v>14</v>
      </c>
      <c r="W10" s="665">
        <f t="shared" si="2"/>
        <v>100</v>
      </c>
      <c r="X10" s="666"/>
      <c r="Y10" s="3300"/>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425"/>
      <c r="Q11" s="530">
        <f t="shared" si="6"/>
        <v>111</v>
      </c>
      <c r="R11" s="664" t="s">
        <v>14</v>
      </c>
      <c r="S11" s="665">
        <f t="shared" si="0"/>
        <v>100</v>
      </c>
      <c r="T11" s="664" t="s">
        <v>14</v>
      </c>
      <c r="U11" s="665">
        <f t="shared" si="1"/>
        <v>100</v>
      </c>
      <c r="V11" s="664" t="s">
        <v>14</v>
      </c>
      <c r="W11" s="665">
        <f t="shared" si="2"/>
        <v>100</v>
      </c>
      <c r="X11" s="666"/>
      <c r="Y11" s="3300"/>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425"/>
      <c r="Q12" s="530">
        <f t="shared" si="6"/>
        <v>111</v>
      </c>
      <c r="R12" s="664" t="s">
        <v>14</v>
      </c>
      <c r="S12" s="665">
        <f t="shared" si="0"/>
        <v>100</v>
      </c>
      <c r="T12" s="664" t="s">
        <v>14</v>
      </c>
      <c r="U12" s="665">
        <f t="shared" si="1"/>
        <v>100</v>
      </c>
      <c r="V12" s="664" t="s">
        <v>14</v>
      </c>
      <c r="W12" s="665">
        <f t="shared" si="2"/>
        <v>100</v>
      </c>
      <c r="X12" s="666"/>
      <c r="Y12" s="3300"/>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425"/>
      <c r="Q13" s="530">
        <f t="shared" si="6"/>
        <v>111</v>
      </c>
      <c r="R13" s="664" t="s">
        <v>14</v>
      </c>
      <c r="S13" s="665">
        <f t="shared" si="0"/>
        <v>100</v>
      </c>
      <c r="T13" s="664" t="s">
        <v>14</v>
      </c>
      <c r="U13" s="665">
        <f t="shared" si="1"/>
        <v>100</v>
      </c>
      <c r="V13" s="664" t="s">
        <v>14</v>
      </c>
      <c r="W13" s="665">
        <f t="shared" si="2"/>
        <v>100</v>
      </c>
      <c r="X13" s="666"/>
      <c r="Y13" s="3300"/>
      <c r="Z13" s="50">
        <f t="shared" si="7"/>
        <v>111</v>
      </c>
      <c r="AA13" s="50">
        <f t="shared" si="3"/>
        <v>1</v>
      </c>
      <c r="AB13" s="50">
        <f t="shared" si="4"/>
        <v>1</v>
      </c>
      <c r="AC13" s="50">
        <f t="shared" si="5"/>
        <v>1</v>
      </c>
    </row>
    <row r="14" spans="1:29" ht="15">
      <c r="A14" s="345" t="s">
        <v>1674</v>
      </c>
      <c r="B14" s="554" t="s">
        <v>1817</v>
      </c>
      <c r="C14" s="1819">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427" t="s">
        <v>1675</v>
      </c>
      <c r="Q14" s="1263" t="str">
        <f t="shared" si="6"/>
        <v>交通便捷度</v>
      </c>
      <c r="R14" s="667" t="s">
        <v>14</v>
      </c>
      <c r="S14" s="668">
        <f t="shared" si="0"/>
        <v>100</v>
      </c>
      <c r="T14" s="667" t="s">
        <v>14</v>
      </c>
      <c r="U14" s="668">
        <f t="shared" si="1"/>
        <v>100</v>
      </c>
      <c r="V14" s="667" t="s">
        <v>14</v>
      </c>
      <c r="W14" s="668">
        <f t="shared" si="2"/>
        <v>100</v>
      </c>
      <c r="X14" s="1265"/>
      <c r="Y14" s="3427" t="s">
        <v>1675</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428"/>
      <c r="Q15" s="1263"/>
      <c r="R15" s="667"/>
      <c r="S15" s="668"/>
      <c r="T15" s="667"/>
      <c r="U15" s="668"/>
      <c r="V15" s="667"/>
      <c r="W15" s="668"/>
      <c r="X15" s="1265"/>
      <c r="Y15" s="3428"/>
      <c r="Z15" s="1264"/>
      <c r="AA15" s="1264">
        <v>1</v>
      </c>
      <c r="AB15" s="1264">
        <v>1</v>
      </c>
      <c r="AC15" s="1264">
        <v>1</v>
      </c>
    </row>
    <row r="16" spans="1:29" ht="15">
      <c r="A16" s="348"/>
      <c r="B16" s="556" t="s">
        <v>1796</v>
      </c>
      <c r="C16" s="1754">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428"/>
      <c r="Q16" s="1263" t="str">
        <f>B16</f>
        <v>公共配套设施</v>
      </c>
      <c r="R16" s="667" t="s">
        <v>14</v>
      </c>
      <c r="S16" s="668">
        <f>F16</f>
        <v>100</v>
      </c>
      <c r="T16" s="667" t="s">
        <v>14</v>
      </c>
      <c r="U16" s="668">
        <f>H16</f>
        <v>100</v>
      </c>
      <c r="V16" s="667" t="s">
        <v>14</v>
      </c>
      <c r="W16" s="668">
        <f>J16</f>
        <v>100</v>
      </c>
      <c r="X16" s="1265"/>
      <c r="Y16" s="3428"/>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428"/>
      <c r="Q17" s="1263"/>
      <c r="R17" s="667"/>
      <c r="S17" s="668"/>
      <c r="T17" s="667"/>
      <c r="U17" s="668"/>
      <c r="V17" s="667"/>
      <c r="W17" s="668"/>
      <c r="X17" s="1265"/>
      <c r="Y17" s="3428"/>
      <c r="Z17" s="1264"/>
      <c r="AA17" s="1264">
        <v>1</v>
      </c>
      <c r="AB17" s="1264">
        <v>1</v>
      </c>
      <c r="AC17" s="1264">
        <v>1</v>
      </c>
    </row>
    <row r="18" spans="1:29" ht="15">
      <c r="A18" s="348"/>
      <c r="B18" s="557" t="s">
        <v>1797</v>
      </c>
      <c r="C18" s="1754">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428"/>
      <c r="Q18" s="1263" t="str">
        <f>B18</f>
        <v>基础设施水平</v>
      </c>
      <c r="R18" s="667" t="s">
        <v>14</v>
      </c>
      <c r="S18" s="668">
        <f>F18</f>
        <v>100</v>
      </c>
      <c r="T18" s="667" t="s">
        <v>14</v>
      </c>
      <c r="U18" s="668">
        <f>H18</f>
        <v>100</v>
      </c>
      <c r="V18" s="667" t="s">
        <v>14</v>
      </c>
      <c r="W18" s="668">
        <f>J18</f>
        <v>100</v>
      </c>
      <c r="X18" s="1265"/>
      <c r="Y18" s="3428"/>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428"/>
      <c r="Q19" s="1263"/>
      <c r="R19" s="667"/>
      <c r="S19" s="668"/>
      <c r="T19" s="667"/>
      <c r="U19" s="668"/>
      <c r="V19" s="667"/>
      <c r="W19" s="668"/>
      <c r="X19" s="1265"/>
      <c r="Y19" s="3428"/>
      <c r="Z19" s="1264"/>
      <c r="AA19" s="1264">
        <v>1</v>
      </c>
      <c r="AB19" s="1264">
        <v>1</v>
      </c>
      <c r="AC19" s="1264">
        <v>1</v>
      </c>
    </row>
    <row r="20" spans="1:29" ht="15">
      <c r="A20" s="348"/>
      <c r="B20" s="556" t="s">
        <v>1818</v>
      </c>
      <c r="C20" s="1754">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428"/>
      <c r="Q20" s="1263" t="str">
        <f>B20</f>
        <v>自然及人文环境</v>
      </c>
      <c r="R20" s="667" t="s">
        <v>14</v>
      </c>
      <c r="S20" s="668">
        <f>F20</f>
        <v>100</v>
      </c>
      <c r="T20" s="667" t="s">
        <v>14</v>
      </c>
      <c r="U20" s="668">
        <f>H20</f>
        <v>100</v>
      </c>
      <c r="V20" s="667" t="s">
        <v>14</v>
      </c>
      <c r="W20" s="668">
        <f>J20</f>
        <v>100</v>
      </c>
      <c r="X20" s="1265"/>
      <c r="Y20" s="3428"/>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428"/>
      <c r="Q21" s="1263"/>
      <c r="R21" s="667"/>
      <c r="S21" s="668"/>
      <c r="T21" s="667"/>
      <c r="U21" s="668"/>
      <c r="V21" s="667"/>
      <c r="W21" s="668"/>
      <c r="X21" s="1265"/>
      <c r="Y21" s="3428"/>
      <c r="Z21" s="1264"/>
      <c r="AA21" s="1264">
        <v>1</v>
      </c>
      <c r="AB21" s="1264">
        <v>1</v>
      </c>
      <c r="AC21" s="1264">
        <v>1</v>
      </c>
    </row>
    <row r="22" spans="1:29" ht="15">
      <c r="A22" s="348"/>
      <c r="B22" s="556" t="s">
        <v>1819</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428"/>
      <c r="Q22" s="1263" t="str">
        <f>B22</f>
        <v>楼层</v>
      </c>
      <c r="R22" s="667" t="s">
        <v>14</v>
      </c>
      <c r="S22" s="668">
        <f>F22</f>
        <v>100</v>
      </c>
      <c r="T22" s="667" t="s">
        <v>14</v>
      </c>
      <c r="U22" s="668">
        <f>H22</f>
        <v>100</v>
      </c>
      <c r="V22" s="667" t="s">
        <v>14</v>
      </c>
      <c r="W22" s="668">
        <f>J22</f>
        <v>100</v>
      </c>
      <c r="X22" s="1265"/>
      <c r="Y22" s="3428"/>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428"/>
      <c r="Q23" s="1263">
        <f>B23</f>
        <v>111</v>
      </c>
      <c r="R23" s="667" t="s">
        <v>14</v>
      </c>
      <c r="S23" s="668">
        <f>F23</f>
        <v>100</v>
      </c>
      <c r="T23" s="667" t="s">
        <v>14</v>
      </c>
      <c r="U23" s="668">
        <f>H23</f>
        <v>100</v>
      </c>
      <c r="V23" s="667" t="s">
        <v>14</v>
      </c>
      <c r="W23" s="668">
        <f>J23</f>
        <v>100</v>
      </c>
      <c r="X23" s="1265"/>
      <c r="Y23" s="3428"/>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428"/>
      <c r="Q24" s="1263">
        <f t="shared" ref="Q24:Q36" si="11">B24</f>
        <v>111</v>
      </c>
      <c r="R24" s="667" t="s">
        <v>14</v>
      </c>
      <c r="S24" s="668">
        <f>F24</f>
        <v>100</v>
      </c>
      <c r="T24" s="667" t="s">
        <v>14</v>
      </c>
      <c r="U24" s="668">
        <f>H24</f>
        <v>100</v>
      </c>
      <c r="V24" s="667" t="s">
        <v>14</v>
      </c>
      <c r="W24" s="668">
        <f>J24</f>
        <v>100</v>
      </c>
      <c r="X24" s="1265"/>
      <c r="Y24" s="3428"/>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428"/>
      <c r="Q25" s="530">
        <f t="shared" si="11"/>
        <v>111</v>
      </c>
      <c r="R25" s="664" t="s">
        <v>14</v>
      </c>
      <c r="S25" s="665">
        <f>F25</f>
        <v>100</v>
      </c>
      <c r="T25" s="664" t="s">
        <v>14</v>
      </c>
      <c r="U25" s="665">
        <f>H25</f>
        <v>100</v>
      </c>
      <c r="V25" s="664" t="s">
        <v>14</v>
      </c>
      <c r="W25" s="665">
        <f>J25</f>
        <v>100</v>
      </c>
      <c r="X25" s="666"/>
      <c r="Y25" s="3428"/>
      <c r="Z25" s="50">
        <f>Q25</f>
        <v>111</v>
      </c>
      <c r="AA25" s="1264">
        <f>D25/F25</f>
        <v>1</v>
      </c>
      <c r="AB25" s="1264">
        <f>D25/H25</f>
        <v>1</v>
      </c>
      <c r="AC25" s="1264">
        <f>D25/J25</f>
        <v>1</v>
      </c>
    </row>
    <row r="26" spans="1:29" ht="28.5">
      <c r="A26" s="574" t="s">
        <v>1678</v>
      </c>
      <c r="B26" s="59" t="s">
        <v>1820</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82" t="s">
        <v>1680</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32" t="s">
        <v>1680</v>
      </c>
      <c r="Z26" s="1264" t="str">
        <f t="shared" ref="Z26:Z36" si="15">Q26</f>
        <v>配套类型</v>
      </c>
      <c r="AA26" s="1264" t="e">
        <f t="shared" si="3"/>
        <v>#DIV/0!</v>
      </c>
      <c r="AB26" s="1264" t="e">
        <f t="shared" si="4"/>
        <v>#DIV/0!</v>
      </c>
      <c r="AC26" s="1264" t="e">
        <f t="shared" si="5"/>
        <v>#DIV/0!</v>
      </c>
    </row>
    <row r="27" spans="1:29" s="408" customFormat="1" ht="15">
      <c r="A27" s="575"/>
      <c r="B27" s="119" t="s">
        <v>1821</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432"/>
      <c r="Q27" s="531" t="str">
        <f t="shared" si="11"/>
        <v>项目停车位配比</v>
      </c>
      <c r="R27" s="669" t="s">
        <v>14</v>
      </c>
      <c r="S27" s="670">
        <f t="shared" si="12"/>
        <v>100</v>
      </c>
      <c r="T27" s="669" t="s">
        <v>14</v>
      </c>
      <c r="U27" s="670">
        <f t="shared" si="13"/>
        <v>100</v>
      </c>
      <c r="V27" s="669" t="s">
        <v>14</v>
      </c>
      <c r="W27" s="670">
        <f t="shared" si="14"/>
        <v>100</v>
      </c>
      <c r="X27" s="671"/>
      <c r="Y27" s="3432"/>
      <c r="Z27" s="672" t="str">
        <f t="shared" si="15"/>
        <v>项目停车位配比</v>
      </c>
      <c r="AA27" s="1264">
        <f t="shared" si="3"/>
        <v>1</v>
      </c>
      <c r="AB27" s="1264">
        <f t="shared" si="4"/>
        <v>1</v>
      </c>
      <c r="AC27" s="1264">
        <f t="shared" si="5"/>
        <v>1</v>
      </c>
    </row>
    <row r="28" spans="1:29" ht="15">
      <c r="A28" s="577"/>
      <c r="B28" s="119" t="s">
        <v>1822</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432"/>
      <c r="Q28" s="1263" t="str">
        <f t="shared" si="11"/>
        <v>公共部分装修</v>
      </c>
      <c r="R28" s="667" t="s">
        <v>14</v>
      </c>
      <c r="S28" s="668">
        <f t="shared" si="12"/>
        <v>100</v>
      </c>
      <c r="T28" s="667" t="s">
        <v>14</v>
      </c>
      <c r="U28" s="668">
        <f t="shared" si="13"/>
        <v>100</v>
      </c>
      <c r="V28" s="667" t="s">
        <v>14</v>
      </c>
      <c r="W28" s="668">
        <f t="shared" si="14"/>
        <v>100</v>
      </c>
      <c r="X28" s="1265"/>
      <c r="Y28" s="3432"/>
      <c r="Z28" s="1264" t="str">
        <f t="shared" si="15"/>
        <v>公共部分装修</v>
      </c>
      <c r="AA28" s="1264">
        <f t="shared" si="3"/>
        <v>1</v>
      </c>
      <c r="AB28" s="1264">
        <f t="shared" si="4"/>
        <v>1</v>
      </c>
      <c r="AC28" s="1264">
        <f t="shared" si="5"/>
        <v>1</v>
      </c>
    </row>
    <row r="29" spans="1:29" ht="15">
      <c r="A29" s="577"/>
      <c r="B29" s="119" t="s">
        <v>1823</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432"/>
      <c r="Q29" s="1263" t="str">
        <f t="shared" si="11"/>
        <v>成新率</v>
      </c>
      <c r="R29" s="667" t="s">
        <v>14</v>
      </c>
      <c r="S29" s="668" t="e">
        <f t="shared" si="12"/>
        <v>#N/A</v>
      </c>
      <c r="T29" s="667" t="s">
        <v>14</v>
      </c>
      <c r="U29" s="668" t="e">
        <f t="shared" si="13"/>
        <v>#N/A</v>
      </c>
      <c r="V29" s="667" t="s">
        <v>14</v>
      </c>
      <c r="W29" s="668" t="e">
        <f t="shared" si="14"/>
        <v>#N/A</v>
      </c>
      <c r="X29" s="1265"/>
      <c r="Y29" s="3432"/>
      <c r="Z29" s="1264" t="str">
        <f t="shared" si="15"/>
        <v>成新率</v>
      </c>
      <c r="AA29" s="1264" t="e">
        <f t="shared" si="3"/>
        <v>#N/A</v>
      </c>
      <c r="AB29" s="1264" t="e">
        <f t="shared" si="4"/>
        <v>#N/A</v>
      </c>
      <c r="AC29" s="1264" t="e">
        <f t="shared" si="5"/>
        <v>#N/A</v>
      </c>
    </row>
    <row r="30" spans="1:29" ht="15">
      <c r="A30" s="577"/>
      <c r="B30" s="119" t="s">
        <v>1824</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432"/>
      <c r="Q30" s="1263" t="str">
        <f t="shared" si="11"/>
        <v>物业等级</v>
      </c>
      <c r="R30" s="667" t="s">
        <v>14</v>
      </c>
      <c r="S30" s="668">
        <f t="shared" si="12"/>
        <v>100</v>
      </c>
      <c r="T30" s="667" t="s">
        <v>14</v>
      </c>
      <c r="U30" s="668">
        <f t="shared" si="13"/>
        <v>100</v>
      </c>
      <c r="V30" s="667" t="s">
        <v>14</v>
      </c>
      <c r="W30" s="668">
        <f t="shared" si="14"/>
        <v>100</v>
      </c>
      <c r="X30" s="1265"/>
      <c r="Y30" s="3432"/>
      <c r="Z30" s="1264" t="str">
        <f t="shared" si="15"/>
        <v>物业等级</v>
      </c>
      <c r="AA30" s="1264">
        <f t="shared" si="3"/>
        <v>1</v>
      </c>
      <c r="AB30" s="1264">
        <f t="shared" si="4"/>
        <v>1</v>
      </c>
      <c r="AC30" s="1264">
        <f t="shared" si="5"/>
        <v>1</v>
      </c>
    </row>
    <row r="31" spans="1:29" s="102" customFormat="1" ht="15">
      <c r="A31" s="579"/>
      <c r="B31" s="119" t="s">
        <v>1825</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432"/>
      <c r="Q31" s="530" t="str">
        <f t="shared" si="11"/>
        <v>停车位面积</v>
      </c>
      <c r="R31" s="664" t="s">
        <v>14</v>
      </c>
      <c r="S31" s="665" t="e">
        <f t="shared" si="12"/>
        <v>#N/A</v>
      </c>
      <c r="T31" s="664" t="s">
        <v>14</v>
      </c>
      <c r="U31" s="665" t="e">
        <f t="shared" si="13"/>
        <v>#N/A</v>
      </c>
      <c r="V31" s="664" t="s">
        <v>14</v>
      </c>
      <c r="W31" s="665" t="e">
        <f t="shared" si="14"/>
        <v>#N/A</v>
      </c>
      <c r="X31" s="666"/>
      <c r="Y31" s="3432"/>
      <c r="Z31" s="50" t="str">
        <f t="shared" si="15"/>
        <v>停车位面积</v>
      </c>
      <c r="AA31" s="50" t="e">
        <f t="shared" si="3"/>
        <v>#N/A</v>
      </c>
      <c r="AB31" s="50" t="e">
        <f t="shared" si="4"/>
        <v>#N/A</v>
      </c>
      <c r="AC31" s="50" t="e">
        <f t="shared" si="5"/>
        <v>#N/A</v>
      </c>
    </row>
    <row r="32" spans="1:29" ht="15">
      <c r="A32" s="577"/>
      <c r="B32" s="119" t="s">
        <v>1826</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432" t="s">
        <v>1680</v>
      </c>
      <c r="Q32" s="1263" t="str">
        <f t="shared" si="11"/>
        <v>车位类型</v>
      </c>
      <c r="R32" s="667" t="s">
        <v>14</v>
      </c>
      <c r="S32" s="668">
        <f t="shared" si="12"/>
        <v>100</v>
      </c>
      <c r="T32" s="667" t="s">
        <v>14</v>
      </c>
      <c r="U32" s="668">
        <f t="shared" si="13"/>
        <v>100</v>
      </c>
      <c r="V32" s="667" t="s">
        <v>14</v>
      </c>
      <c r="W32" s="668">
        <f t="shared" si="14"/>
        <v>100</v>
      </c>
      <c r="X32" s="1265"/>
      <c r="Y32" s="3432" t="s">
        <v>1680</v>
      </c>
      <c r="Z32" s="1264" t="str">
        <f t="shared" si="15"/>
        <v>车位类型</v>
      </c>
      <c r="AA32" s="1264">
        <f t="shared" si="3"/>
        <v>1</v>
      </c>
      <c r="AB32" s="1264">
        <f t="shared" si="4"/>
        <v>1</v>
      </c>
      <c r="AC32" s="1264">
        <f t="shared" si="5"/>
        <v>1</v>
      </c>
    </row>
    <row r="33" spans="1:29" ht="15">
      <c r="A33" s="577"/>
      <c r="B33" s="119" t="s">
        <v>1827</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432"/>
      <c r="Q33" s="1263" t="str">
        <f t="shared" si="11"/>
        <v>是否直接入户</v>
      </c>
      <c r="R33" s="667" t="s">
        <v>14</v>
      </c>
      <c r="S33" s="668">
        <f t="shared" si="12"/>
        <v>100</v>
      </c>
      <c r="T33" s="667" t="s">
        <v>14</v>
      </c>
      <c r="U33" s="668">
        <f t="shared" si="13"/>
        <v>100</v>
      </c>
      <c r="V33" s="667" t="s">
        <v>14</v>
      </c>
      <c r="W33" s="668">
        <f t="shared" si="14"/>
        <v>100</v>
      </c>
      <c r="X33" s="1265"/>
      <c r="Y33" s="3432"/>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432"/>
      <c r="Q34" s="1263">
        <f t="shared" si="11"/>
        <v>111</v>
      </c>
      <c r="R34" s="667" t="s">
        <v>14</v>
      </c>
      <c r="S34" s="668">
        <f t="shared" si="12"/>
        <v>100</v>
      </c>
      <c r="T34" s="667" t="s">
        <v>14</v>
      </c>
      <c r="U34" s="668">
        <f t="shared" si="13"/>
        <v>100</v>
      </c>
      <c r="V34" s="667" t="s">
        <v>14</v>
      </c>
      <c r="W34" s="668">
        <f t="shared" si="14"/>
        <v>100</v>
      </c>
      <c r="X34" s="1265"/>
      <c r="Y34" s="3432"/>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432"/>
      <c r="Q35" s="531">
        <f t="shared" si="11"/>
        <v>111</v>
      </c>
      <c r="R35" s="669" t="s">
        <v>14</v>
      </c>
      <c r="S35" s="670">
        <f t="shared" si="12"/>
        <v>100</v>
      </c>
      <c r="T35" s="669" t="s">
        <v>14</v>
      </c>
      <c r="U35" s="670">
        <f t="shared" si="13"/>
        <v>100</v>
      </c>
      <c r="V35" s="669" t="s">
        <v>14</v>
      </c>
      <c r="W35" s="670">
        <f t="shared" si="14"/>
        <v>100</v>
      </c>
      <c r="X35" s="671"/>
      <c r="Y35" s="3432"/>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432"/>
      <c r="Q36" s="1263">
        <f t="shared" si="11"/>
        <v>111</v>
      </c>
      <c r="R36" s="667" t="s">
        <v>14</v>
      </c>
      <c r="S36" s="668">
        <f t="shared" si="12"/>
        <v>100</v>
      </c>
      <c r="T36" s="667" t="s">
        <v>14</v>
      </c>
      <c r="U36" s="668">
        <f t="shared" si="13"/>
        <v>100</v>
      </c>
      <c r="V36" s="667" t="s">
        <v>14</v>
      </c>
      <c r="W36" s="668">
        <f t="shared" si="14"/>
        <v>100</v>
      </c>
      <c r="X36" s="1265"/>
      <c r="Y36" s="3432"/>
      <c r="Z36" s="1264">
        <f t="shared" si="15"/>
        <v>111</v>
      </c>
      <c r="AA36" s="1264">
        <f t="shared" si="3"/>
        <v>1</v>
      </c>
      <c r="AB36" s="1264">
        <f t="shared" si="4"/>
        <v>1</v>
      </c>
      <c r="AC36" s="1264">
        <f t="shared" si="5"/>
        <v>1</v>
      </c>
    </row>
    <row r="37" spans="1:29" ht="15">
      <c r="A37" s="416" t="s">
        <v>1828</v>
      </c>
      <c r="B37" s="1821" t="s">
        <v>3329</v>
      </c>
      <c r="C37" s="1081" t="s">
        <v>0</v>
      </c>
      <c r="D37" s="418"/>
      <c r="E37" s="419"/>
      <c r="F37" s="420"/>
      <c r="G37" s="421"/>
      <c r="H37" s="422"/>
      <c r="I37" s="419"/>
      <c r="J37" s="422"/>
      <c r="K37" s="545"/>
      <c r="L37" s="2493"/>
      <c r="M37" s="2486"/>
      <c r="N37" s="2486"/>
      <c r="O37" s="2486"/>
      <c r="P37" s="3425" t="str">
        <f>A37</f>
        <v>成交单价</v>
      </c>
      <c r="Q37" s="3425"/>
      <c r="R37" s="3426">
        <f>E37</f>
        <v>0</v>
      </c>
      <c r="S37" s="3426"/>
      <c r="T37" s="3426">
        <f>G37</f>
        <v>0</v>
      </c>
      <c r="U37" s="3426"/>
      <c r="V37" s="3426">
        <f>I37</f>
        <v>0</v>
      </c>
      <c r="W37" s="3426"/>
      <c r="X37" s="385"/>
      <c r="Y37" s="673"/>
      <c r="Z37" s="385"/>
      <c r="AA37" s="385"/>
      <c r="AB37" s="385"/>
      <c r="AC37" s="385"/>
    </row>
    <row r="38" spans="1:29" ht="15.75" thickBot="1">
      <c r="A38" s="423" t="s">
        <v>1829</v>
      </c>
      <c r="B38" s="424" t="str">
        <f>B37</f>
        <v>元/平方米</v>
      </c>
      <c r="C38" s="1082" t="e">
        <f>R39</f>
        <v>#DIV/0!</v>
      </c>
      <c r="D38" s="2141" t="s">
        <v>2122</v>
      </c>
      <c r="E38" s="1083" t="e">
        <f>R38</f>
        <v>#DIV/0!</v>
      </c>
      <c r="F38" s="2142"/>
      <c r="G38" s="1082" t="e">
        <f>T38</f>
        <v>#DIV/0!</v>
      </c>
      <c r="H38" s="2142"/>
      <c r="I38" s="1083" t="e">
        <f>V38</f>
        <v>#DIV/0!</v>
      </c>
      <c r="J38" s="2142"/>
      <c r="K38" s="2144">
        <f>F38+H38+J38</f>
        <v>0</v>
      </c>
      <c r="L38" s="2493"/>
      <c r="M38" s="2486"/>
      <c r="N38" s="2486"/>
      <c r="O38" s="2486"/>
      <c r="P38" s="3425" t="str">
        <f>A38</f>
        <v>比较价值（元/平方米）</v>
      </c>
      <c r="Q38" s="3425"/>
      <c r="R38" s="3426" t="e">
        <f>IF(F1="售价",ROUND(PRODUCT(R37,AA7:AA36),0),ROUND(PRODUCT(R37,AA7:AA36),1))</f>
        <v>#DIV/0!</v>
      </c>
      <c r="S38" s="3426"/>
      <c r="T38" s="3426" t="e">
        <f>IF(F1="售价",ROUND(PRODUCT(T37,AB7:AB36),0),ROUND(PRODUCT(T37,AB7:AB36),1))</f>
        <v>#DIV/0!</v>
      </c>
      <c r="U38" s="3426"/>
      <c r="V38" s="3426" t="e">
        <f>IF(F1="售价",ROUND(PRODUCT(V37,AC7:AC36),0),ROUND(PRODUCT(V37,AC7:AC36),1))</f>
        <v>#DIV/0!</v>
      </c>
      <c r="W38" s="3426"/>
      <c r="X38" s="385"/>
      <c r="Y38" s="385"/>
      <c r="Z38" s="385"/>
      <c r="AA38" s="385"/>
      <c r="AB38" s="385"/>
      <c r="AC38" s="385"/>
    </row>
    <row r="39" spans="1:29" ht="15.75" thickBot="1">
      <c r="A39" s="427" t="s">
        <v>1830</v>
      </c>
      <c r="B39" s="428"/>
      <c r="C39" s="351" t="e">
        <f>R39</f>
        <v>#DIV/0!</v>
      </c>
      <c r="D39" s="351"/>
      <c r="E39" s="351"/>
      <c r="F39" s="351"/>
      <c r="G39" s="351"/>
      <c r="H39" s="351"/>
      <c r="I39" s="351"/>
      <c r="J39" s="351"/>
      <c r="K39" s="546"/>
      <c r="L39" s="2493"/>
      <c r="M39" s="2486"/>
      <c r="N39" s="2486"/>
      <c r="O39" s="2486"/>
      <c r="P39" s="3422" t="str">
        <f>A39</f>
        <v>估价对象XX用房的比较价值（楼面单价，元/平方米）</v>
      </c>
      <c r="Q39" s="3423"/>
      <c r="R39" s="3485" t="e">
        <f>IF(F1="售价",ROUND(IF(D38="简单平均",AVERAGE(R38:W38),R38*F38+T38*H38+V38*J38),0),ROUND(IF(D38="简单平均",AVERAGE(R38:V38),R38*F38+T38*H38+V38*J38),1))</f>
        <v>#DIV/0!</v>
      </c>
      <c r="S39" s="3485"/>
      <c r="T39" s="3485"/>
      <c r="U39" s="3485"/>
      <c r="V39" s="3485"/>
      <c r="W39" s="3485"/>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1831</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1832</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1833</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7" t="s">
        <v>1834</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5">
      <c r="A48" s="440" t="s">
        <v>1835</v>
      </c>
      <c r="B48" s="441"/>
      <c r="C48" s="1103" t="str">
        <f>YEAR(C7)&amp;"-"&amp;MONTH(C7)</f>
        <v>2025-1</v>
      </c>
      <c r="D48" s="1104">
        <f>EDATE(C48,-1)</f>
        <v>45627</v>
      </c>
      <c r="E48" s="1104">
        <f t="shared" ref="E48:O48" si="16">EDATE(D48,-1)</f>
        <v>45597</v>
      </c>
      <c r="F48" s="1104">
        <f t="shared" si="16"/>
        <v>45566</v>
      </c>
      <c r="G48" s="1104">
        <f t="shared" si="16"/>
        <v>45536</v>
      </c>
      <c r="H48" s="1104">
        <f t="shared" si="16"/>
        <v>45505</v>
      </c>
      <c r="I48" s="1104">
        <f t="shared" si="16"/>
        <v>45474</v>
      </c>
      <c r="J48" s="1104">
        <f t="shared" si="16"/>
        <v>45444</v>
      </c>
      <c r="K48" s="1104">
        <f t="shared" si="16"/>
        <v>45413</v>
      </c>
      <c r="L48" s="1104">
        <f t="shared" si="16"/>
        <v>45383</v>
      </c>
      <c r="M48" s="1104">
        <f t="shared" si="16"/>
        <v>45352</v>
      </c>
      <c r="N48" s="1104">
        <f t="shared" si="16"/>
        <v>45323</v>
      </c>
      <c r="O48" s="1104">
        <f t="shared" si="16"/>
        <v>45292</v>
      </c>
      <c r="P48" s="2526"/>
      <c r="Q48" s="2509"/>
      <c r="R48" s="2509"/>
      <c r="S48" s="2509"/>
      <c r="T48" s="2509"/>
      <c r="U48" s="2509"/>
      <c r="V48" s="2509"/>
      <c r="W48" s="2509"/>
      <c r="X48" s="2509"/>
      <c r="Y48" s="2509"/>
      <c r="Z48" s="2509"/>
      <c r="AA48" s="2509"/>
      <c r="AB48" s="2509"/>
      <c r="AC48" s="2509"/>
    </row>
    <row r="49" spans="1:29" s="102" customFormat="1" ht="15">
      <c r="A49" s="443"/>
      <c r="B49" s="444"/>
      <c r="C49" s="1097">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1700</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1665</v>
      </c>
      <c r="B51" s="444"/>
      <c r="C51" s="456" t="s">
        <v>1760</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1703</v>
      </c>
      <c r="B53" s="460" t="s">
        <v>1669</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1672</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1674</v>
      </c>
      <c r="B63" s="460" t="s">
        <v>1710</v>
      </c>
      <c r="C63" s="504" t="s">
        <v>1705</v>
      </c>
      <c r="D63" s="504" t="s">
        <v>1706</v>
      </c>
      <c r="E63" s="504" t="s">
        <v>1707</v>
      </c>
      <c r="F63" s="504" t="s">
        <v>1708</v>
      </c>
      <c r="G63" s="504" t="s">
        <v>1709</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1711</v>
      </c>
      <c r="C65" s="509" t="s">
        <v>1705</v>
      </c>
      <c r="D65" s="509" t="s">
        <v>1706</v>
      </c>
      <c r="E65" s="509" t="s">
        <v>1707</v>
      </c>
      <c r="F65" s="509" t="s">
        <v>1708</v>
      </c>
      <c r="G65" s="509" t="s">
        <v>1709</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1797</v>
      </c>
      <c r="C67" s="581" t="s">
        <v>1783</v>
      </c>
      <c r="D67" s="581" t="s">
        <v>1784</v>
      </c>
      <c r="E67" s="581" t="s">
        <v>1785</v>
      </c>
      <c r="F67" s="581" t="s">
        <v>1786</v>
      </c>
      <c r="G67" s="581" t="s">
        <v>1787</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1717</v>
      </c>
      <c r="C69" s="509" t="s">
        <v>1705</v>
      </c>
      <c r="D69" s="509" t="s">
        <v>1706</v>
      </c>
      <c r="E69" s="509" t="s">
        <v>1707</v>
      </c>
      <c r="F69" s="509" t="s">
        <v>1708</v>
      </c>
      <c r="G69" s="509" t="s">
        <v>1709</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1836</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1678</v>
      </c>
      <c r="B79" s="460" t="s">
        <v>1837</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1838</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1724</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1839</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1840</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1841</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1842</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1843</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1815</v>
      </c>
      <c r="B1" s="1140" t="s">
        <v>3309</v>
      </c>
      <c r="C1" s="1141" t="s">
        <v>1646</v>
      </c>
      <c r="D1" s="1142"/>
      <c r="E1" s="3130"/>
      <c r="F1" s="1735"/>
      <c r="G1" s="1152" t="s">
        <v>1751</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1446</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1447</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1448</v>
      </c>
      <c r="B3" s="536" t="e">
        <f>IF(C2="——",C37,ROUND(B2*10000/D3,0))</f>
        <v>#DIV/0!</v>
      </c>
      <c r="C3" s="344" t="s">
        <v>1752</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1753</v>
      </c>
      <c r="B4" s="346"/>
      <c r="C4" s="3440" t="s">
        <v>1754</v>
      </c>
      <c r="D4" s="3441"/>
      <c r="E4" s="3442" t="s">
        <v>1755</v>
      </c>
      <c r="F4" s="3443"/>
      <c r="G4" s="3440" t="s">
        <v>1756</v>
      </c>
      <c r="H4" s="3441"/>
      <c r="I4" s="3440" t="s">
        <v>1757</v>
      </c>
      <c r="J4" s="3441"/>
      <c r="K4" s="537" t="s">
        <v>1758</v>
      </c>
      <c r="L4" s="2485"/>
      <c r="M4" s="2486"/>
      <c r="N4" s="2486"/>
      <c r="O4" s="2486"/>
      <c r="P4" s="3444" t="s">
        <v>1759</v>
      </c>
      <c r="Q4" s="3445"/>
      <c r="R4" s="3450" t="s">
        <v>1755</v>
      </c>
      <c r="S4" s="3451"/>
      <c r="T4" s="3450" t="s">
        <v>1756</v>
      </c>
      <c r="U4" s="3451"/>
      <c r="V4" s="3426" t="s">
        <v>1757</v>
      </c>
      <c r="W4" s="3426"/>
      <c r="X4" s="1265"/>
      <c r="Y4" s="3450" t="s">
        <v>1759</v>
      </c>
      <c r="Z4" s="3451"/>
      <c r="AA4" s="3437" t="s">
        <v>1755</v>
      </c>
      <c r="AB4" s="3438" t="s">
        <v>1756</v>
      </c>
      <c r="AC4" s="3437" t="s">
        <v>1757</v>
      </c>
    </row>
    <row r="5" spans="1:29" ht="15">
      <c r="A5" s="348"/>
      <c r="B5" s="349"/>
      <c r="C5" s="3458" t="s">
        <v>1657</v>
      </c>
      <c r="D5" s="3459"/>
      <c r="E5" s="3465" t="s">
        <v>1658</v>
      </c>
      <c r="F5" s="3466"/>
      <c r="G5" s="3458" t="s">
        <v>1659</v>
      </c>
      <c r="H5" s="3459"/>
      <c r="I5" s="3458" t="s">
        <v>1660</v>
      </c>
      <c r="J5" s="3459"/>
      <c r="K5" s="537"/>
      <c r="L5" s="2485"/>
      <c r="M5" s="2486"/>
      <c r="N5" s="2486"/>
      <c r="O5" s="2486"/>
      <c r="P5" s="3446"/>
      <c r="Q5" s="3447"/>
      <c r="R5" s="3452"/>
      <c r="S5" s="3453"/>
      <c r="T5" s="3452"/>
      <c r="U5" s="3453"/>
      <c r="V5" s="3426"/>
      <c r="W5" s="3426"/>
      <c r="X5" s="1265"/>
      <c r="Y5" s="3452"/>
      <c r="Z5" s="3453"/>
      <c r="AA5" s="3438"/>
      <c r="AB5" s="3438"/>
      <c r="AC5" s="3438"/>
    </row>
    <row r="6" spans="1:29" ht="15.75" thickBot="1">
      <c r="A6" s="350"/>
      <c r="B6" s="351"/>
      <c r="C6" s="3456" t="s">
        <v>1661</v>
      </c>
      <c r="D6" s="3457"/>
      <c r="E6" s="3463" t="s">
        <v>1661</v>
      </c>
      <c r="F6" s="3464"/>
      <c r="G6" s="3456" t="s">
        <v>1661</v>
      </c>
      <c r="H6" s="3457"/>
      <c r="I6" s="3456" t="s">
        <v>1661</v>
      </c>
      <c r="J6" s="3457"/>
      <c r="K6" s="537" t="s">
        <v>1662</v>
      </c>
      <c r="L6" s="2485"/>
      <c r="M6" s="2486"/>
      <c r="N6" s="2486"/>
      <c r="O6" s="2486"/>
      <c r="P6" s="3448"/>
      <c r="Q6" s="3449"/>
      <c r="R6" s="3452"/>
      <c r="S6" s="3453"/>
      <c r="T6" s="3454"/>
      <c r="U6" s="3455"/>
      <c r="V6" s="3426"/>
      <c r="W6" s="3426"/>
      <c r="X6" s="1265"/>
      <c r="Y6" s="3454"/>
      <c r="Z6" s="3455"/>
      <c r="AA6" s="3439"/>
      <c r="AB6" s="3439"/>
      <c r="AC6" s="3439"/>
    </row>
    <row r="7" spans="1:29" s="102" customFormat="1" ht="15.75" thickBot="1">
      <c r="A7" s="352" t="s">
        <v>1663</v>
      </c>
      <c r="B7" s="353"/>
      <c r="C7" s="354">
        <f>'数据-取费表'!B2</f>
        <v>45677</v>
      </c>
      <c r="D7" s="355">
        <v>100</v>
      </c>
      <c r="E7" s="356"/>
      <c r="F7" s="357">
        <f>SUMIF(46:46,YEAR(E7)&amp;"-"&amp;MONTH(E7),47:47)</f>
        <v>0</v>
      </c>
      <c r="G7" s="1822"/>
      <c r="H7" s="355">
        <f>SUMIF(46:46,YEAR(G7)&amp;"-"&amp;MONTH(G7),47:47)</f>
        <v>0</v>
      </c>
      <c r="I7" s="356"/>
      <c r="J7" s="355">
        <f>SUMIF(46:46,YEAR(I7)&amp;"-"&amp;MONTH(I7),47:47)</f>
        <v>0</v>
      </c>
      <c r="K7" s="38"/>
      <c r="L7" s="2487"/>
      <c r="M7" s="2438"/>
      <c r="N7" s="2438"/>
      <c r="O7" s="2438"/>
      <c r="P7" s="3460" t="s">
        <v>1664</v>
      </c>
      <c r="Q7" s="3462"/>
      <c r="R7" s="664" t="s">
        <v>14</v>
      </c>
      <c r="S7" s="665">
        <f t="shared" ref="S7:S14" si="0">F7</f>
        <v>0</v>
      </c>
      <c r="T7" s="664" t="s">
        <v>14</v>
      </c>
      <c r="U7" s="665">
        <f t="shared" ref="U7:U14" si="1">H7</f>
        <v>0</v>
      </c>
      <c r="V7" s="664" t="s">
        <v>14</v>
      </c>
      <c r="W7" s="665">
        <f t="shared" ref="W7:W14" si="2">J7</f>
        <v>0</v>
      </c>
      <c r="X7" s="666"/>
      <c r="Y7" s="3460" t="s">
        <v>1664</v>
      </c>
      <c r="Z7" s="3461"/>
      <c r="AA7" s="50" t="e">
        <f>D7/F7</f>
        <v>#DIV/0!</v>
      </c>
      <c r="AB7" s="50" t="e">
        <f>D7/H7</f>
        <v>#DIV/0!</v>
      </c>
      <c r="AC7" s="50" t="e">
        <f>D7/J7</f>
        <v>#DIV/0!</v>
      </c>
    </row>
    <row r="8" spans="1:29" s="102" customFormat="1" ht="15.75" thickBot="1">
      <c r="A8" s="352" t="s">
        <v>1665</v>
      </c>
      <c r="B8" s="353"/>
      <c r="C8" s="358"/>
      <c r="D8" s="355">
        <v>100</v>
      </c>
      <c r="E8" s="358"/>
      <c r="F8" s="357">
        <f>SUMIF(49:49,E8,50:50)-SUMIF(49:49,C8,50:50)+100</f>
        <v>100</v>
      </c>
      <c r="G8" s="358"/>
      <c r="H8" s="355">
        <f>SUMIF(49:49,G8,50:50)-SUMIF(49:49,C8,50:50)+100</f>
        <v>100</v>
      </c>
      <c r="I8" s="358"/>
      <c r="J8" s="355">
        <f>SUMIF(49:49,I8,50:50)-SUMIF(49:49,C8,50:50)+100</f>
        <v>100</v>
      </c>
      <c r="K8" s="38"/>
      <c r="L8" s="2487"/>
      <c r="M8" s="2438"/>
      <c r="N8" s="2438"/>
      <c r="O8" s="2438"/>
      <c r="P8" s="3460" t="s">
        <v>1667</v>
      </c>
      <c r="Q8" s="3461"/>
      <c r="R8" s="664" t="s">
        <v>14</v>
      </c>
      <c r="S8" s="665">
        <f t="shared" si="0"/>
        <v>100</v>
      </c>
      <c r="T8" s="664" t="s">
        <v>14</v>
      </c>
      <c r="U8" s="665">
        <f t="shared" si="1"/>
        <v>100</v>
      </c>
      <c r="V8" s="664" t="s">
        <v>14</v>
      </c>
      <c r="W8" s="665">
        <f t="shared" si="2"/>
        <v>100</v>
      </c>
      <c r="X8" s="666"/>
      <c r="Y8" s="3460" t="s">
        <v>1667</v>
      </c>
      <c r="Z8" s="3461"/>
      <c r="AA8" s="50">
        <f t="shared" ref="AA8:AA34" si="3">D8/F8</f>
        <v>1</v>
      </c>
      <c r="AB8" s="50">
        <f t="shared" ref="AB8:AB34" si="4">D8/H8</f>
        <v>1</v>
      </c>
      <c r="AC8" s="50">
        <f t="shared" ref="AC8:AC34" si="5">D8/J8</f>
        <v>1</v>
      </c>
    </row>
    <row r="9" spans="1:29" s="102" customFormat="1">
      <c r="A9" s="359" t="s">
        <v>1668</v>
      </c>
      <c r="B9" s="60" t="s">
        <v>1669</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425" t="s">
        <v>1670</v>
      </c>
      <c r="Q9" s="530" t="str">
        <f t="shared" ref="Q9:Q14" si="6">B9</f>
        <v>用途</v>
      </c>
      <c r="R9" s="664" t="s">
        <v>14</v>
      </c>
      <c r="S9" s="665">
        <f t="shared" si="0"/>
        <v>100</v>
      </c>
      <c r="T9" s="664" t="s">
        <v>14</v>
      </c>
      <c r="U9" s="665">
        <f t="shared" si="1"/>
        <v>100</v>
      </c>
      <c r="V9" s="664" t="s">
        <v>14</v>
      </c>
      <c r="W9" s="665">
        <f t="shared" si="2"/>
        <v>100</v>
      </c>
      <c r="X9" s="666"/>
      <c r="Y9" s="3300" t="s">
        <v>1671</v>
      </c>
      <c r="Z9" s="50" t="str">
        <f t="shared" ref="Z9:Z14" si="7">Q9</f>
        <v>用途</v>
      </c>
      <c r="AA9" s="50">
        <f t="shared" si="3"/>
        <v>1</v>
      </c>
      <c r="AB9" s="50">
        <f t="shared" si="4"/>
        <v>1</v>
      </c>
      <c r="AC9" s="50">
        <f t="shared" si="5"/>
        <v>1</v>
      </c>
    </row>
    <row r="10" spans="1:29" s="366" customFormat="1" ht="27">
      <c r="A10" s="363"/>
      <c r="B10" s="364" t="s">
        <v>1672</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425"/>
      <c r="Q10" s="530" t="str">
        <f t="shared" si="6"/>
        <v>土地使用年限（年）</v>
      </c>
      <c r="R10" s="664" t="s">
        <v>14</v>
      </c>
      <c r="S10" s="665">
        <f t="shared" si="0"/>
        <v>100</v>
      </c>
      <c r="T10" s="664" t="s">
        <v>14</v>
      </c>
      <c r="U10" s="665">
        <f t="shared" si="1"/>
        <v>100</v>
      </c>
      <c r="V10" s="664" t="s">
        <v>14</v>
      </c>
      <c r="W10" s="665">
        <f t="shared" si="2"/>
        <v>100</v>
      </c>
      <c r="X10" s="666"/>
      <c r="Y10" s="3300"/>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425"/>
      <c r="Q11" s="530">
        <f t="shared" si="6"/>
        <v>111</v>
      </c>
      <c r="R11" s="664" t="s">
        <v>14</v>
      </c>
      <c r="S11" s="665">
        <f t="shared" si="0"/>
        <v>100</v>
      </c>
      <c r="T11" s="664" t="s">
        <v>14</v>
      </c>
      <c r="U11" s="665">
        <f t="shared" si="1"/>
        <v>100</v>
      </c>
      <c r="V11" s="664" t="s">
        <v>14</v>
      </c>
      <c r="W11" s="665">
        <f t="shared" si="2"/>
        <v>100</v>
      </c>
      <c r="X11" s="666"/>
      <c r="Y11" s="3300"/>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425"/>
      <c r="Q12" s="530">
        <f t="shared" si="6"/>
        <v>111</v>
      </c>
      <c r="R12" s="664" t="s">
        <v>14</v>
      </c>
      <c r="S12" s="665">
        <f t="shared" si="0"/>
        <v>100</v>
      </c>
      <c r="T12" s="664" t="s">
        <v>14</v>
      </c>
      <c r="U12" s="665">
        <f t="shared" si="1"/>
        <v>100</v>
      </c>
      <c r="V12" s="664" t="s">
        <v>14</v>
      </c>
      <c r="W12" s="665">
        <f t="shared" si="2"/>
        <v>100</v>
      </c>
      <c r="X12" s="666"/>
      <c r="Y12" s="3300"/>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1"/>
      <c r="M13" s="2486"/>
      <c r="N13" s="2486"/>
      <c r="O13" s="2541"/>
      <c r="P13" s="3425"/>
      <c r="Q13" s="530">
        <f t="shared" si="6"/>
        <v>111</v>
      </c>
      <c r="R13" s="664" t="s">
        <v>14</v>
      </c>
      <c r="S13" s="665">
        <f t="shared" si="0"/>
        <v>100</v>
      </c>
      <c r="T13" s="664" t="s">
        <v>14</v>
      </c>
      <c r="U13" s="665">
        <f t="shared" si="1"/>
        <v>100</v>
      </c>
      <c r="V13" s="664" t="s">
        <v>14</v>
      </c>
      <c r="W13" s="665">
        <f t="shared" si="2"/>
        <v>100</v>
      </c>
      <c r="X13" s="666"/>
      <c r="Y13" s="3300"/>
      <c r="Z13" s="50">
        <f t="shared" si="7"/>
        <v>111</v>
      </c>
      <c r="AA13" s="50">
        <f t="shared" si="3"/>
        <v>1</v>
      </c>
      <c r="AB13" s="50">
        <f t="shared" si="4"/>
        <v>1</v>
      </c>
      <c r="AC13" s="50">
        <f t="shared" si="5"/>
        <v>1</v>
      </c>
    </row>
    <row r="14" spans="1:29" ht="15">
      <c r="A14" s="379" t="s">
        <v>1674</v>
      </c>
      <c r="B14" s="58" t="s">
        <v>1817</v>
      </c>
      <c r="C14" s="1819">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427" t="s">
        <v>1675</v>
      </c>
      <c r="Q14" s="1263" t="str">
        <f t="shared" si="6"/>
        <v>交通便捷度</v>
      </c>
      <c r="R14" s="667" t="s">
        <v>14</v>
      </c>
      <c r="S14" s="668">
        <f t="shared" si="0"/>
        <v>100</v>
      </c>
      <c r="T14" s="667" t="s">
        <v>14</v>
      </c>
      <c r="U14" s="668">
        <f t="shared" si="1"/>
        <v>100</v>
      </c>
      <c r="V14" s="667" t="s">
        <v>14</v>
      </c>
      <c r="W14" s="668">
        <f t="shared" si="2"/>
        <v>100</v>
      </c>
      <c r="X14" s="1265"/>
      <c r="Y14" s="3427" t="s">
        <v>1675</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1"/>
      <c r="M15" s="2486"/>
      <c r="N15" s="2486"/>
      <c r="O15" s="2541"/>
      <c r="P15" s="3428"/>
      <c r="Q15" s="1263"/>
      <c r="R15" s="667"/>
      <c r="S15" s="668"/>
      <c r="T15" s="667"/>
      <c r="U15" s="668"/>
      <c r="V15" s="667"/>
      <c r="W15" s="668"/>
      <c r="X15" s="1265"/>
      <c r="Y15" s="3428"/>
      <c r="Z15" s="1264"/>
      <c r="AA15" s="1264">
        <v>1</v>
      </c>
      <c r="AB15" s="1264">
        <v>1</v>
      </c>
      <c r="AC15" s="1264">
        <v>1</v>
      </c>
    </row>
    <row r="16" spans="1:29" ht="15">
      <c r="A16" s="367"/>
      <c r="B16" s="390" t="s">
        <v>1796</v>
      </c>
      <c r="C16" s="1754">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428"/>
      <c r="Q16" s="1263" t="str">
        <f>B16</f>
        <v>公共配套设施</v>
      </c>
      <c r="R16" s="667" t="s">
        <v>14</v>
      </c>
      <c r="S16" s="668">
        <f>F16</f>
        <v>100</v>
      </c>
      <c r="T16" s="667" t="s">
        <v>14</v>
      </c>
      <c r="U16" s="668">
        <f>H16</f>
        <v>100</v>
      </c>
      <c r="V16" s="667" t="s">
        <v>14</v>
      </c>
      <c r="W16" s="668">
        <f>J16</f>
        <v>100</v>
      </c>
      <c r="X16" s="1265"/>
      <c r="Y16" s="3428"/>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1"/>
      <c r="M17" s="2486"/>
      <c r="N17" s="2486"/>
      <c r="O17" s="2541"/>
      <c r="P17" s="3428"/>
      <c r="Q17" s="1263"/>
      <c r="R17" s="667"/>
      <c r="S17" s="668"/>
      <c r="T17" s="667"/>
      <c r="U17" s="668"/>
      <c r="V17" s="667"/>
      <c r="W17" s="668"/>
      <c r="X17" s="1265"/>
      <c r="Y17" s="3428"/>
      <c r="Z17" s="1264"/>
      <c r="AA17" s="1264">
        <v>1</v>
      </c>
      <c r="AB17" s="1264">
        <v>1</v>
      </c>
      <c r="AC17" s="1264">
        <v>1</v>
      </c>
    </row>
    <row r="18" spans="1:29" ht="15">
      <c r="A18" s="367"/>
      <c r="B18" s="586" t="s">
        <v>1797</v>
      </c>
      <c r="C18" s="1754">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428"/>
      <c r="Q18" s="1263" t="str">
        <f>B18</f>
        <v>基础设施水平</v>
      </c>
      <c r="R18" s="667" t="s">
        <v>14</v>
      </c>
      <c r="S18" s="668">
        <f>F18</f>
        <v>100</v>
      </c>
      <c r="T18" s="667" t="s">
        <v>14</v>
      </c>
      <c r="U18" s="668">
        <f>H18</f>
        <v>100</v>
      </c>
      <c r="V18" s="667" t="s">
        <v>14</v>
      </c>
      <c r="W18" s="668">
        <f>J18</f>
        <v>100</v>
      </c>
      <c r="X18" s="1265"/>
      <c r="Y18" s="3428"/>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1"/>
      <c r="M19" s="2486"/>
      <c r="N19" s="2486"/>
      <c r="O19" s="2541"/>
      <c r="P19" s="3428"/>
      <c r="Q19" s="1263"/>
      <c r="R19" s="667"/>
      <c r="S19" s="668"/>
      <c r="T19" s="667"/>
      <c r="U19" s="668"/>
      <c r="V19" s="667"/>
      <c r="W19" s="668"/>
      <c r="X19" s="1265"/>
      <c r="Y19" s="3428"/>
      <c r="Z19" s="1264"/>
      <c r="AA19" s="1264">
        <v>1</v>
      </c>
      <c r="AB19" s="1264">
        <v>1</v>
      </c>
      <c r="AC19" s="1264">
        <v>1</v>
      </c>
    </row>
    <row r="20" spans="1:29" ht="15">
      <c r="A20" s="367"/>
      <c r="B20" s="390" t="s">
        <v>1818</v>
      </c>
      <c r="C20" s="1754">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428"/>
      <c r="Q20" s="1263" t="str">
        <f>B20</f>
        <v>自然及人文环境</v>
      </c>
      <c r="R20" s="667" t="s">
        <v>14</v>
      </c>
      <c r="S20" s="668">
        <f>F20</f>
        <v>100</v>
      </c>
      <c r="T20" s="667" t="s">
        <v>14</v>
      </c>
      <c r="U20" s="668">
        <f>H20</f>
        <v>100</v>
      </c>
      <c r="V20" s="667" t="s">
        <v>14</v>
      </c>
      <c r="W20" s="668">
        <f>J20</f>
        <v>100</v>
      </c>
      <c r="X20" s="1265"/>
      <c r="Y20" s="3428"/>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1"/>
      <c r="M21" s="2486"/>
      <c r="N21" s="2486"/>
      <c r="O21" s="2541"/>
      <c r="P21" s="3428"/>
      <c r="Q21" s="1263"/>
      <c r="R21" s="667"/>
      <c r="S21" s="668"/>
      <c r="T21" s="667"/>
      <c r="U21" s="668"/>
      <c r="V21" s="667"/>
      <c r="W21" s="668"/>
      <c r="X21" s="1265"/>
      <c r="Y21" s="3428"/>
      <c r="Z21" s="1264"/>
      <c r="AA21" s="1264">
        <v>1</v>
      </c>
      <c r="AB21" s="1264">
        <v>1</v>
      </c>
      <c r="AC21" s="1264">
        <v>1</v>
      </c>
    </row>
    <row r="22" spans="1:29" ht="15">
      <c r="A22" s="367"/>
      <c r="B22" s="390" t="s">
        <v>1819</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428"/>
      <c r="Q22" s="1263" t="str">
        <f>B22</f>
        <v>楼层</v>
      </c>
      <c r="R22" s="667" t="s">
        <v>14</v>
      </c>
      <c r="S22" s="668">
        <f>F22</f>
        <v>100</v>
      </c>
      <c r="T22" s="667" t="s">
        <v>14</v>
      </c>
      <c r="U22" s="668">
        <f>H22</f>
        <v>100</v>
      </c>
      <c r="V22" s="667" t="s">
        <v>14</v>
      </c>
      <c r="W22" s="668">
        <f>J22</f>
        <v>100</v>
      </c>
      <c r="X22" s="1265"/>
      <c r="Y22" s="3428"/>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428"/>
      <c r="Q23" s="1263">
        <f>B23</f>
        <v>111</v>
      </c>
      <c r="R23" s="667" t="s">
        <v>14</v>
      </c>
      <c r="S23" s="668">
        <f>F23</f>
        <v>100</v>
      </c>
      <c r="T23" s="667" t="s">
        <v>14</v>
      </c>
      <c r="U23" s="668">
        <f>H23</f>
        <v>100</v>
      </c>
      <c r="V23" s="667" t="s">
        <v>14</v>
      </c>
      <c r="W23" s="668">
        <f>J23</f>
        <v>100</v>
      </c>
      <c r="X23" s="1265"/>
      <c r="Y23" s="3428"/>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428"/>
      <c r="Q24" s="1263">
        <f t="shared" ref="Q24:Q34" si="11">B24</f>
        <v>111</v>
      </c>
      <c r="R24" s="667" t="s">
        <v>14</v>
      </c>
      <c r="S24" s="668">
        <f>F24</f>
        <v>100</v>
      </c>
      <c r="T24" s="667" t="s">
        <v>14</v>
      </c>
      <c r="U24" s="668">
        <f>H24</f>
        <v>100</v>
      </c>
      <c r="V24" s="667" t="s">
        <v>14</v>
      </c>
      <c r="W24" s="668">
        <f>J24</f>
        <v>100</v>
      </c>
      <c r="X24" s="1265"/>
      <c r="Y24" s="3428"/>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7"/>
      <c r="M25" s="2438"/>
      <c r="N25" s="2438"/>
      <c r="O25" s="2539"/>
      <c r="P25" s="3428"/>
      <c r="Q25" s="530">
        <f t="shared" si="11"/>
        <v>111</v>
      </c>
      <c r="R25" s="664" t="s">
        <v>14</v>
      </c>
      <c r="S25" s="665">
        <f>F25</f>
        <v>100</v>
      </c>
      <c r="T25" s="664" t="s">
        <v>14</v>
      </c>
      <c r="U25" s="665">
        <f>H25</f>
        <v>100</v>
      </c>
      <c r="V25" s="664" t="s">
        <v>14</v>
      </c>
      <c r="W25" s="665">
        <f>J25</f>
        <v>100</v>
      </c>
      <c r="X25" s="666"/>
      <c r="Y25" s="3428"/>
      <c r="Z25" s="50">
        <f>Q25</f>
        <v>111</v>
      </c>
      <c r="AA25" s="1264">
        <f>D25/F25</f>
        <v>1</v>
      </c>
      <c r="AB25" s="1264">
        <f>D25/H25</f>
        <v>1</v>
      </c>
      <c r="AC25" s="1264">
        <f>D25/J25</f>
        <v>1</v>
      </c>
    </row>
    <row r="26" spans="1:29" ht="28.5">
      <c r="A26" s="404" t="s">
        <v>1678</v>
      </c>
      <c r="B26" s="60" t="s">
        <v>1822</v>
      </c>
      <c r="C26" s="1764"/>
      <c r="D26" s="405">
        <v>100</v>
      </c>
      <c r="E26" s="1764"/>
      <c r="F26" s="587">
        <f>SUMIF(77:77,E26,78:78)-SUMIF(77:77,C26,78:78)+100</f>
        <v>100</v>
      </c>
      <c r="G26" s="1764"/>
      <c r="H26" s="405">
        <f>SUMIF(77:77,G26,78:78)-SUMIF(77:77,C26,78:78)+100</f>
        <v>100</v>
      </c>
      <c r="I26" s="1764"/>
      <c r="J26" s="405">
        <f>SUMIF(77:77,I26,78:78)-SUMIF(77:77,C26,78:78)+100</f>
        <v>100</v>
      </c>
      <c r="K26" s="538"/>
      <c r="L26" s="2491"/>
      <c r="M26" s="2486"/>
      <c r="N26" s="2486"/>
      <c r="O26" s="2541"/>
      <c r="P26" s="3482" t="s">
        <v>1680</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32" t="s">
        <v>1680</v>
      </c>
      <c r="Z26" s="1264" t="str">
        <f t="shared" ref="Z26:Z34" si="15">Q26</f>
        <v>公共部分装修</v>
      </c>
      <c r="AA26" s="1264">
        <f t="shared" si="3"/>
        <v>1</v>
      </c>
      <c r="AB26" s="1264">
        <f t="shared" si="4"/>
        <v>1</v>
      </c>
      <c r="AC26" s="1264">
        <f t="shared" si="5"/>
        <v>1</v>
      </c>
    </row>
    <row r="27" spans="1:29" s="408" customFormat="1" ht="15">
      <c r="A27" s="406"/>
      <c r="B27" s="364" t="s">
        <v>1823</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432"/>
      <c r="Q27" s="531" t="str">
        <f t="shared" si="11"/>
        <v>成新率</v>
      </c>
      <c r="R27" s="669" t="s">
        <v>14</v>
      </c>
      <c r="S27" s="670" t="e">
        <f t="shared" si="12"/>
        <v>#N/A</v>
      </c>
      <c r="T27" s="669" t="s">
        <v>14</v>
      </c>
      <c r="U27" s="670" t="e">
        <f t="shared" si="13"/>
        <v>#N/A</v>
      </c>
      <c r="V27" s="669" t="s">
        <v>14</v>
      </c>
      <c r="W27" s="670" t="e">
        <f t="shared" si="14"/>
        <v>#N/A</v>
      </c>
      <c r="X27" s="671"/>
      <c r="Y27" s="3432"/>
      <c r="Z27" s="672" t="str">
        <f t="shared" si="15"/>
        <v>成新率</v>
      </c>
      <c r="AA27" s="1264" t="e">
        <f t="shared" si="3"/>
        <v>#N/A</v>
      </c>
      <c r="AB27" s="1264" t="e">
        <f t="shared" si="4"/>
        <v>#N/A</v>
      </c>
      <c r="AC27" s="1264" t="e">
        <f t="shared" si="5"/>
        <v>#N/A</v>
      </c>
    </row>
    <row r="28" spans="1:29" ht="15">
      <c r="A28" s="409"/>
      <c r="B28" s="364" t="s">
        <v>1824</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432"/>
      <c r="Q28" s="1263" t="str">
        <f t="shared" si="11"/>
        <v>物业等级</v>
      </c>
      <c r="R28" s="667" t="s">
        <v>14</v>
      </c>
      <c r="S28" s="668">
        <f t="shared" si="12"/>
        <v>100</v>
      </c>
      <c r="T28" s="667" t="s">
        <v>14</v>
      </c>
      <c r="U28" s="668">
        <f t="shared" si="13"/>
        <v>100</v>
      </c>
      <c r="V28" s="667" t="s">
        <v>14</v>
      </c>
      <c r="W28" s="668">
        <f t="shared" si="14"/>
        <v>100</v>
      </c>
      <c r="X28" s="1265"/>
      <c r="Y28" s="3432"/>
      <c r="Z28" s="1264" t="str">
        <f t="shared" si="15"/>
        <v>物业等级</v>
      </c>
      <c r="AA28" s="1264">
        <f t="shared" si="3"/>
        <v>1</v>
      </c>
      <c r="AB28" s="1264">
        <f t="shared" si="4"/>
        <v>1</v>
      </c>
      <c r="AC28" s="1264">
        <f t="shared" si="5"/>
        <v>1</v>
      </c>
    </row>
    <row r="29" spans="1:29" ht="15">
      <c r="A29" s="409"/>
      <c r="B29" s="364" t="s">
        <v>1844</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432"/>
      <c r="Q29" s="1263" t="str">
        <f t="shared" si="11"/>
        <v>有无电梯</v>
      </c>
      <c r="R29" s="667" t="s">
        <v>14</v>
      </c>
      <c r="S29" s="668">
        <f t="shared" si="12"/>
        <v>100</v>
      </c>
      <c r="T29" s="667" t="s">
        <v>14</v>
      </c>
      <c r="U29" s="668">
        <f t="shared" si="13"/>
        <v>100</v>
      </c>
      <c r="V29" s="667" t="s">
        <v>14</v>
      </c>
      <c r="W29" s="668">
        <f t="shared" si="14"/>
        <v>100</v>
      </c>
      <c r="X29" s="1265"/>
      <c r="Y29" s="3432"/>
      <c r="Z29" s="1264" t="str">
        <f t="shared" si="15"/>
        <v>有无电梯</v>
      </c>
      <c r="AA29" s="1264">
        <f t="shared" si="3"/>
        <v>1</v>
      </c>
      <c r="AB29" s="1264">
        <f t="shared" si="4"/>
        <v>1</v>
      </c>
      <c r="AC29" s="1264">
        <f t="shared" si="5"/>
        <v>1</v>
      </c>
    </row>
    <row r="30" spans="1:29" ht="15">
      <c r="A30" s="409"/>
      <c r="B30" s="364" t="s">
        <v>1845</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432"/>
      <c r="Q30" s="1263" t="str">
        <f t="shared" si="11"/>
        <v>建筑面积</v>
      </c>
      <c r="R30" s="667" t="s">
        <v>14</v>
      </c>
      <c r="S30" s="668" t="e">
        <f t="shared" si="12"/>
        <v>#N/A</v>
      </c>
      <c r="T30" s="667" t="s">
        <v>14</v>
      </c>
      <c r="U30" s="668" t="e">
        <f t="shared" si="13"/>
        <v>#N/A</v>
      </c>
      <c r="V30" s="667" t="s">
        <v>14</v>
      </c>
      <c r="W30" s="668" t="e">
        <f t="shared" si="14"/>
        <v>#N/A</v>
      </c>
      <c r="X30" s="1265"/>
      <c r="Y30" s="3432"/>
      <c r="Z30" s="1264" t="str">
        <f t="shared" si="15"/>
        <v>建筑面积</v>
      </c>
      <c r="AA30" s="1264" t="e">
        <f t="shared" si="3"/>
        <v>#N/A</v>
      </c>
      <c r="AB30" s="1264" t="e">
        <f t="shared" si="4"/>
        <v>#N/A</v>
      </c>
      <c r="AC30" s="1264" t="e">
        <f t="shared" si="5"/>
        <v>#N/A</v>
      </c>
    </row>
    <row r="31" spans="1:29" s="102" customFormat="1" ht="15">
      <c r="A31" s="410"/>
      <c r="B31" s="364" t="s">
        <v>1846</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8"/>
      <c r="N31" s="2438"/>
      <c r="O31" s="2539"/>
      <c r="P31" s="3432"/>
      <c r="Q31" s="530" t="str">
        <f t="shared" si="11"/>
        <v>是否封闭</v>
      </c>
      <c r="R31" s="664" t="s">
        <v>14</v>
      </c>
      <c r="S31" s="665">
        <f t="shared" si="12"/>
        <v>100</v>
      </c>
      <c r="T31" s="664" t="s">
        <v>14</v>
      </c>
      <c r="U31" s="665">
        <f t="shared" si="13"/>
        <v>100</v>
      </c>
      <c r="V31" s="664" t="s">
        <v>14</v>
      </c>
      <c r="W31" s="665">
        <f t="shared" si="14"/>
        <v>100</v>
      </c>
      <c r="X31" s="666"/>
      <c r="Y31" s="3432"/>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432" t="s">
        <v>1680</v>
      </c>
      <c r="Q32" s="1263">
        <f t="shared" si="11"/>
        <v>111</v>
      </c>
      <c r="R32" s="667" t="s">
        <v>14</v>
      </c>
      <c r="S32" s="668">
        <f t="shared" si="12"/>
        <v>100</v>
      </c>
      <c r="T32" s="667" t="s">
        <v>14</v>
      </c>
      <c r="U32" s="668">
        <f t="shared" si="13"/>
        <v>100</v>
      </c>
      <c r="V32" s="667" t="s">
        <v>14</v>
      </c>
      <c r="W32" s="668">
        <f t="shared" si="14"/>
        <v>100</v>
      </c>
      <c r="X32" s="1265"/>
      <c r="Y32" s="3432" t="s">
        <v>1680</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432"/>
      <c r="Q33" s="1263">
        <f t="shared" si="11"/>
        <v>111</v>
      </c>
      <c r="R33" s="667" t="s">
        <v>14</v>
      </c>
      <c r="S33" s="668">
        <f t="shared" si="12"/>
        <v>100</v>
      </c>
      <c r="T33" s="667" t="s">
        <v>14</v>
      </c>
      <c r="U33" s="668">
        <f t="shared" si="13"/>
        <v>100</v>
      </c>
      <c r="V33" s="667" t="s">
        <v>14</v>
      </c>
      <c r="W33" s="668">
        <f t="shared" si="14"/>
        <v>100</v>
      </c>
      <c r="X33" s="1265"/>
      <c r="Y33" s="3432"/>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1"/>
      <c r="M34" s="2486"/>
      <c r="N34" s="2486"/>
      <c r="O34" s="2541"/>
      <c r="P34" s="3432"/>
      <c r="Q34" s="1263">
        <f t="shared" si="11"/>
        <v>111</v>
      </c>
      <c r="R34" s="667" t="s">
        <v>14</v>
      </c>
      <c r="S34" s="668">
        <f t="shared" si="12"/>
        <v>100</v>
      </c>
      <c r="T34" s="667" t="s">
        <v>14</v>
      </c>
      <c r="U34" s="668">
        <f t="shared" si="13"/>
        <v>100</v>
      </c>
      <c r="V34" s="667" t="s">
        <v>14</v>
      </c>
      <c r="W34" s="668">
        <f t="shared" si="14"/>
        <v>100</v>
      </c>
      <c r="X34" s="1265"/>
      <c r="Y34" s="3432"/>
      <c r="Z34" s="1264">
        <f t="shared" si="15"/>
        <v>111</v>
      </c>
      <c r="AA34" s="1264">
        <f t="shared" si="3"/>
        <v>1</v>
      </c>
      <c r="AB34" s="1264">
        <f t="shared" si="4"/>
        <v>1</v>
      </c>
      <c r="AC34" s="1264">
        <f t="shared" si="5"/>
        <v>1</v>
      </c>
    </row>
    <row r="35" spans="1:30" ht="15">
      <c r="A35" s="416" t="s">
        <v>1692</v>
      </c>
      <c r="B35" s="417"/>
      <c r="C35" s="1081" t="s">
        <v>0</v>
      </c>
      <c r="D35" s="418"/>
      <c r="E35" s="419"/>
      <c r="F35" s="420"/>
      <c r="G35" s="421"/>
      <c r="H35" s="422"/>
      <c r="I35" s="419"/>
      <c r="J35" s="422"/>
      <c r="K35" s="674"/>
      <c r="L35" s="2493"/>
      <c r="M35" s="2486"/>
      <c r="N35" s="2486"/>
      <c r="O35" s="2486"/>
      <c r="P35" s="3425" t="str">
        <f>A35</f>
        <v>成交单价（元/平方米）</v>
      </c>
      <c r="Q35" s="3425"/>
      <c r="R35" s="3426">
        <f>E35</f>
        <v>0</v>
      </c>
      <c r="S35" s="3426"/>
      <c r="T35" s="3426">
        <f>G35</f>
        <v>0</v>
      </c>
      <c r="U35" s="3426"/>
      <c r="V35" s="3426">
        <f>I35</f>
        <v>0</v>
      </c>
      <c r="W35" s="3426"/>
      <c r="X35" s="385"/>
      <c r="Y35" s="673"/>
      <c r="Z35" s="385"/>
      <c r="AA35" s="385"/>
      <c r="AB35" s="385"/>
      <c r="AC35" s="385"/>
    </row>
    <row r="36" spans="1:30" ht="15.75" thickBot="1">
      <c r="A36" s="423" t="s">
        <v>1777</v>
      </c>
      <c r="B36" s="424"/>
      <c r="C36" s="1082" t="e">
        <f>R37</f>
        <v>#DIV/0!</v>
      </c>
      <c r="D36" s="2141" t="s">
        <v>2122</v>
      </c>
      <c r="E36" s="1083" t="e">
        <f>R36</f>
        <v>#DIV/0!</v>
      </c>
      <c r="F36" s="2142"/>
      <c r="G36" s="1082" t="e">
        <f>T36</f>
        <v>#DIV/0!</v>
      </c>
      <c r="H36" s="2142"/>
      <c r="I36" s="1083" t="e">
        <f>V36</f>
        <v>#DIV/0!</v>
      </c>
      <c r="J36" s="2142"/>
      <c r="K36" s="2144">
        <f>F36+H36+J36</f>
        <v>0</v>
      </c>
      <c r="L36" s="2493"/>
      <c r="M36" s="2486"/>
      <c r="N36" s="2486"/>
      <c r="O36" s="2486"/>
      <c r="P36" s="3425" t="str">
        <f>A36</f>
        <v>比较价值（元/平方米）</v>
      </c>
      <c r="Q36" s="3425"/>
      <c r="R36" s="3426" t="e">
        <f>IF(F1="售价",ROUND(PRODUCT(R35,AA7:AA34),0),ROUND(PRODUCT(R35,AA7:AA34),1))</f>
        <v>#DIV/0!</v>
      </c>
      <c r="S36" s="3426"/>
      <c r="T36" s="3426" t="e">
        <f>IF(F1="售价",ROUND(PRODUCT(T35,AB7:AB34),0),ROUND(PRODUCT(T35,AB7:AB34),1))</f>
        <v>#DIV/0!</v>
      </c>
      <c r="U36" s="3426"/>
      <c r="V36" s="3426" t="e">
        <f>IF(F1="售价",ROUND(PRODUCT(V35,AC7:AC34),0),ROUND(PRODUCT(V35,AC7:AC34),1))</f>
        <v>#DIV/0!</v>
      </c>
      <c r="W36" s="3426"/>
      <c r="X36" s="385"/>
      <c r="Y36" s="385"/>
      <c r="Z36" s="385"/>
      <c r="AA36" s="385"/>
      <c r="AB36" s="385"/>
      <c r="AC36" s="385"/>
    </row>
    <row r="37" spans="1:30" ht="15.75" thickBot="1">
      <c r="A37" s="427" t="s">
        <v>1778</v>
      </c>
      <c r="B37" s="428"/>
      <c r="C37" s="351" t="e">
        <f>R37</f>
        <v>#DIV/0!</v>
      </c>
      <c r="D37" s="351"/>
      <c r="E37" s="351"/>
      <c r="F37" s="351"/>
      <c r="G37" s="351"/>
      <c r="H37" s="351"/>
      <c r="I37" s="351"/>
      <c r="J37" s="351"/>
      <c r="K37" s="675"/>
      <c r="L37" s="2493"/>
      <c r="M37" s="2486"/>
      <c r="N37" s="2486"/>
      <c r="O37" s="2486"/>
      <c r="P37" s="3422" t="str">
        <f>A37</f>
        <v>估价对象XX用房的比较价值（楼面单价，元/平方米）</v>
      </c>
      <c r="Q37" s="3423"/>
      <c r="R37" s="3485" t="e">
        <f>IF(F1="售价",ROUND(IF(D36="简单平均",AVERAGE(R36:W36),R36*F36+T36*H36+V36*J36),0),ROUND(IF(D36="简单平均",AVERAGE(R36:V36),R36*F36+T36*H36+V36*J36),1))</f>
        <v>#DIV/0!</v>
      </c>
      <c r="S37" s="3485"/>
      <c r="T37" s="3485"/>
      <c r="U37" s="3485"/>
      <c r="V37" s="3485"/>
      <c r="W37" s="3485"/>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1779</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1780</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1781</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8" t="s">
        <v>1782</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1663</v>
      </c>
      <c r="B46" s="441"/>
      <c r="C46" s="1103" t="str">
        <f>YEAR(C7)&amp;"-"&amp;MONTH(C7)</f>
        <v>2025-1</v>
      </c>
      <c r="D46" s="1104">
        <f>EDATE(C46,-1)</f>
        <v>45627</v>
      </c>
      <c r="E46" s="1104">
        <f t="shared" ref="E46:O46" si="16">EDATE(D46,-1)</f>
        <v>45597</v>
      </c>
      <c r="F46" s="1104">
        <f t="shared" si="16"/>
        <v>45566</v>
      </c>
      <c r="G46" s="1104">
        <f t="shared" si="16"/>
        <v>45536</v>
      </c>
      <c r="H46" s="1104">
        <f t="shared" si="16"/>
        <v>45505</v>
      </c>
      <c r="I46" s="1104">
        <f t="shared" si="16"/>
        <v>45474</v>
      </c>
      <c r="J46" s="1104">
        <f t="shared" si="16"/>
        <v>45444</v>
      </c>
      <c r="K46" s="1104">
        <f t="shared" si="16"/>
        <v>45413</v>
      </c>
      <c r="L46" s="1104">
        <f t="shared" si="16"/>
        <v>45383</v>
      </c>
      <c r="M46" s="1104">
        <f t="shared" si="16"/>
        <v>45352</v>
      </c>
      <c r="N46" s="1104">
        <f t="shared" si="16"/>
        <v>45323</v>
      </c>
      <c r="O46" s="1104">
        <f t="shared" si="16"/>
        <v>45292</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2">
        <v>100</v>
      </c>
      <c r="D47" s="446"/>
      <c r="E47" s="446"/>
      <c r="F47" s="446"/>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1700</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1665</v>
      </c>
      <c r="B49" s="444"/>
      <c r="C49" s="456" t="s">
        <v>1760</v>
      </c>
      <c r="D49" s="31"/>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1703</v>
      </c>
      <c r="B51" s="460" t="s">
        <v>1669</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1672</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1674</v>
      </c>
      <c r="B61" s="460" t="s">
        <v>1710</v>
      </c>
      <c r="C61" s="504" t="s">
        <v>1705</v>
      </c>
      <c r="D61" s="504" t="s">
        <v>1706</v>
      </c>
      <c r="E61" s="504" t="s">
        <v>1707</v>
      </c>
      <c r="F61" s="504" t="s">
        <v>1708</v>
      </c>
      <c r="G61" s="504" t="s">
        <v>1709</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1847</v>
      </c>
      <c r="C63" s="509" t="s">
        <v>1705</v>
      </c>
      <c r="D63" s="509" t="s">
        <v>1706</v>
      </c>
      <c r="E63" s="509" t="s">
        <v>1707</v>
      </c>
      <c r="F63" s="509" t="s">
        <v>1708</v>
      </c>
      <c r="G63" s="509" t="s">
        <v>1709</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1797</v>
      </c>
      <c r="C65" s="581" t="s">
        <v>1783</v>
      </c>
      <c r="D65" s="581" t="s">
        <v>1784</v>
      </c>
      <c r="E65" s="581" t="s">
        <v>1785</v>
      </c>
      <c r="F65" s="581" t="s">
        <v>1786</v>
      </c>
      <c r="G65" s="581" t="s">
        <v>1787</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1717</v>
      </c>
      <c r="C67" s="509" t="s">
        <v>1705</v>
      </c>
      <c r="D67" s="509" t="s">
        <v>1706</v>
      </c>
      <c r="E67" s="509" t="s">
        <v>1707</v>
      </c>
      <c r="F67" s="509" t="s">
        <v>1708</v>
      </c>
      <c r="G67" s="509" t="s">
        <v>1709</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1836</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1678</v>
      </c>
      <c r="B77" s="460" t="s">
        <v>1724</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1839</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1840</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1848</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1849</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1850</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1851</v>
      </c>
      <c r="B1" s="340"/>
      <c r="C1" s="341" t="s">
        <v>1852</v>
      </c>
      <c r="D1" s="651"/>
      <c r="E1" s="651"/>
      <c r="F1" s="650" t="s">
        <v>1751</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1446</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1448</v>
      </c>
      <c r="B3" s="536" t="e">
        <f>ROUND(IF(D3="",B2*10000/'数据-汇总表'!E3,B2*10000/D3),0)</f>
        <v>#DIV/0!</v>
      </c>
      <c r="C3" s="195" t="s">
        <v>1853</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1753</v>
      </c>
      <c r="B4" s="346"/>
      <c r="C4" s="3440" t="s">
        <v>1754</v>
      </c>
      <c r="D4" s="3441"/>
      <c r="E4" s="3442" t="s">
        <v>1755</v>
      </c>
      <c r="F4" s="3443"/>
      <c r="G4" s="3440" t="s">
        <v>1756</v>
      </c>
      <c r="H4" s="3441"/>
      <c r="I4" s="3440" t="s">
        <v>1757</v>
      </c>
      <c r="J4" s="3441"/>
      <c r="K4" s="537" t="s">
        <v>1758</v>
      </c>
      <c r="L4" s="2485"/>
      <c r="M4" s="2486"/>
      <c r="N4" s="2486"/>
      <c r="O4" s="2486"/>
      <c r="P4" s="3444" t="s">
        <v>1759</v>
      </c>
      <c r="Q4" s="3445"/>
      <c r="R4" s="3450" t="s">
        <v>1755</v>
      </c>
      <c r="S4" s="3451"/>
      <c r="T4" s="3450" t="s">
        <v>1756</v>
      </c>
      <c r="U4" s="3451"/>
      <c r="V4" s="3426" t="s">
        <v>1757</v>
      </c>
      <c r="W4" s="3426"/>
      <c r="X4" s="1265"/>
      <c r="Y4" s="3450" t="s">
        <v>1759</v>
      </c>
      <c r="Z4" s="3451"/>
      <c r="AA4" s="3437" t="s">
        <v>1755</v>
      </c>
      <c r="AB4" s="3438" t="s">
        <v>1756</v>
      </c>
      <c r="AC4" s="3437" t="s">
        <v>1757</v>
      </c>
    </row>
    <row r="5" spans="1:29" ht="15">
      <c r="A5" s="348"/>
      <c r="B5" s="349"/>
      <c r="C5" s="3458" t="s">
        <v>1657</v>
      </c>
      <c r="D5" s="3459"/>
      <c r="E5" s="3465" t="s">
        <v>1658</v>
      </c>
      <c r="F5" s="3466"/>
      <c r="G5" s="3458" t="s">
        <v>1659</v>
      </c>
      <c r="H5" s="3459"/>
      <c r="I5" s="3458" t="s">
        <v>1660</v>
      </c>
      <c r="J5" s="3459"/>
      <c r="K5" s="537"/>
      <c r="L5" s="2485"/>
      <c r="M5" s="2486"/>
      <c r="N5" s="2486"/>
      <c r="O5" s="2486"/>
      <c r="P5" s="3446"/>
      <c r="Q5" s="3447"/>
      <c r="R5" s="3452"/>
      <c r="S5" s="3453"/>
      <c r="T5" s="3452"/>
      <c r="U5" s="3453"/>
      <c r="V5" s="3426"/>
      <c r="W5" s="3426"/>
      <c r="X5" s="1265"/>
      <c r="Y5" s="3452"/>
      <c r="Z5" s="3453"/>
      <c r="AA5" s="3438"/>
      <c r="AB5" s="3438"/>
      <c r="AC5" s="3438"/>
    </row>
    <row r="6" spans="1:29" ht="15.75" thickBot="1">
      <c r="A6" s="350"/>
      <c r="B6" s="351"/>
      <c r="C6" s="3456" t="s">
        <v>1661</v>
      </c>
      <c r="D6" s="3457"/>
      <c r="E6" s="3463" t="s">
        <v>1661</v>
      </c>
      <c r="F6" s="3464"/>
      <c r="G6" s="3456" t="s">
        <v>1661</v>
      </c>
      <c r="H6" s="3457"/>
      <c r="I6" s="3456" t="s">
        <v>1661</v>
      </c>
      <c r="J6" s="3457"/>
      <c r="K6" s="537" t="s">
        <v>1662</v>
      </c>
      <c r="L6" s="2485"/>
      <c r="M6" s="2486"/>
      <c r="N6" s="2486"/>
      <c r="O6" s="2486"/>
      <c r="P6" s="3448"/>
      <c r="Q6" s="3449"/>
      <c r="R6" s="3452"/>
      <c r="S6" s="3453"/>
      <c r="T6" s="3454"/>
      <c r="U6" s="3455"/>
      <c r="V6" s="3426"/>
      <c r="W6" s="3426"/>
      <c r="X6" s="1265"/>
      <c r="Y6" s="3454"/>
      <c r="Z6" s="3455"/>
      <c r="AA6" s="3439"/>
      <c r="AB6" s="3439"/>
      <c r="AC6" s="3439"/>
    </row>
    <row r="7" spans="1:29" s="102" customFormat="1" ht="15.75" thickBot="1">
      <c r="A7" s="352" t="s">
        <v>1663</v>
      </c>
      <c r="B7" s="353"/>
      <c r="C7" s="354">
        <f>'数据-取费表'!B2</f>
        <v>45677</v>
      </c>
      <c r="D7" s="355">
        <v>100</v>
      </c>
      <c r="E7" s="356"/>
      <c r="F7" s="357">
        <f>SUMIF(69:69,YEAR(E7)&amp;"-"&amp;INT((MONTH(E7)+2)/3),70:70)</f>
        <v>0</v>
      </c>
      <c r="G7" s="1822"/>
      <c r="H7" s="355">
        <f>SUMIF(69:69,YEAR(G7)&amp;"-"&amp;INT((MONTH(G7)+2)/3),70:70)</f>
        <v>0</v>
      </c>
      <c r="I7" s="1822"/>
      <c r="J7" s="355">
        <f>SUMIF(69:69,YEAR(I7)&amp;"-"&amp;INT((MONTH(I7)+2)/3),70:70)</f>
        <v>0</v>
      </c>
      <c r="K7" s="38"/>
      <c r="L7" s="2487"/>
      <c r="M7" s="2438"/>
      <c r="N7" s="2438"/>
      <c r="O7" s="2438"/>
      <c r="P7" s="3460" t="s">
        <v>1664</v>
      </c>
      <c r="Q7" s="3462"/>
      <c r="R7" s="664" t="s">
        <v>14</v>
      </c>
      <c r="S7" s="665">
        <f t="shared" ref="S7:S15" si="0">F7</f>
        <v>0</v>
      </c>
      <c r="T7" s="664" t="s">
        <v>14</v>
      </c>
      <c r="U7" s="665">
        <f t="shared" ref="U7:U15" si="1">H7</f>
        <v>0</v>
      </c>
      <c r="V7" s="664" t="s">
        <v>14</v>
      </c>
      <c r="W7" s="665">
        <f t="shared" ref="W7:W15" si="2">J7</f>
        <v>0</v>
      </c>
      <c r="X7" s="666"/>
      <c r="Y7" s="3460" t="s">
        <v>1664</v>
      </c>
      <c r="Z7" s="3461"/>
      <c r="AA7" s="50" t="e">
        <f>D7/F7</f>
        <v>#DIV/0!</v>
      </c>
      <c r="AB7" s="50" t="e">
        <f>D7/H7</f>
        <v>#DIV/0!</v>
      </c>
      <c r="AC7" s="50" t="e">
        <f>D7/J7</f>
        <v>#DIV/0!</v>
      </c>
    </row>
    <row r="8" spans="1:29" s="102" customFormat="1" ht="15.75" thickBot="1">
      <c r="A8" s="352" t="s">
        <v>1665</v>
      </c>
      <c r="B8" s="353"/>
      <c r="C8" s="358" t="s">
        <v>1666</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460" t="s">
        <v>1667</v>
      </c>
      <c r="Q8" s="3461"/>
      <c r="R8" s="664" t="s">
        <v>14</v>
      </c>
      <c r="S8" s="665">
        <f t="shared" si="0"/>
        <v>0</v>
      </c>
      <c r="T8" s="664" t="s">
        <v>14</v>
      </c>
      <c r="U8" s="665">
        <f t="shared" si="1"/>
        <v>0</v>
      </c>
      <c r="V8" s="664" t="s">
        <v>14</v>
      </c>
      <c r="W8" s="665">
        <f t="shared" si="2"/>
        <v>0</v>
      </c>
      <c r="X8" s="666"/>
      <c r="Y8" s="3460" t="s">
        <v>1667</v>
      </c>
      <c r="Z8" s="3461"/>
      <c r="AA8" s="50" t="e">
        <f t="shared" ref="AA8:AA45" si="3">D8/F8</f>
        <v>#DIV/0!</v>
      </c>
      <c r="AB8" s="50" t="e">
        <f t="shared" ref="AB8:AB45" si="4">D8/H8</f>
        <v>#DIV/0!</v>
      </c>
      <c r="AC8" s="50" t="e">
        <f t="shared" ref="AC8:AC45" si="5">D8/J8</f>
        <v>#DIV/0!</v>
      </c>
    </row>
    <row r="9" spans="1:29" s="102" customFormat="1">
      <c r="A9" s="359" t="s">
        <v>1668</v>
      </c>
      <c r="B9" s="60" t="s">
        <v>1669</v>
      </c>
      <c r="C9" s="1825"/>
      <c r="D9" s="59">
        <v>100</v>
      </c>
      <c r="E9" s="1825"/>
      <c r="F9" s="59">
        <f>SUMIF(74:74,E9,75:75)-SUMIF(74:74,C9,75:75)+100</f>
        <v>100</v>
      </c>
      <c r="G9" s="1825"/>
      <c r="H9" s="59">
        <f>SUMIF(74:74,G9,75:75)-SUMIF(74:74,C9,75:75)+100</f>
        <v>100</v>
      </c>
      <c r="I9" s="1825"/>
      <c r="J9" s="59">
        <f>SUMIF(74:74,I9,75:75)-SUMIF(74:74,C9,75:75)+100</f>
        <v>100</v>
      </c>
      <c r="K9" s="38"/>
      <c r="L9" s="2487"/>
      <c r="M9" s="2438"/>
      <c r="N9" s="2438"/>
      <c r="O9" s="2539"/>
      <c r="P9" s="3425" t="s">
        <v>1670</v>
      </c>
      <c r="Q9" s="530" t="str">
        <f t="shared" ref="Q9:Q15" si="6">B9</f>
        <v>用途</v>
      </c>
      <c r="R9" s="664" t="s">
        <v>14</v>
      </c>
      <c r="S9" s="665">
        <f t="shared" si="0"/>
        <v>100</v>
      </c>
      <c r="T9" s="664" t="s">
        <v>14</v>
      </c>
      <c r="U9" s="665">
        <f t="shared" si="1"/>
        <v>100</v>
      </c>
      <c r="V9" s="664" t="s">
        <v>14</v>
      </c>
      <c r="W9" s="665">
        <f t="shared" si="2"/>
        <v>100</v>
      </c>
      <c r="X9" s="666"/>
      <c r="Y9" s="3300" t="s">
        <v>1671</v>
      </c>
      <c r="Z9" s="50" t="str">
        <f t="shared" ref="Z9:Z15" si="7">Q9</f>
        <v>用途</v>
      </c>
      <c r="AA9" s="50">
        <f t="shared" si="3"/>
        <v>1</v>
      </c>
      <c r="AB9" s="50">
        <f t="shared" si="4"/>
        <v>1</v>
      </c>
      <c r="AC9" s="50">
        <f t="shared" si="5"/>
        <v>1</v>
      </c>
    </row>
    <row r="10" spans="1:29" s="366" customFormat="1" ht="27">
      <c r="A10" s="363"/>
      <c r="B10" s="364" t="s">
        <v>1672</v>
      </c>
      <c r="C10" s="371"/>
      <c r="D10" s="119">
        <v>100</v>
      </c>
      <c r="E10" s="403"/>
      <c r="F10" s="119">
        <f>ROUND(100/'数据-取费表'!G16,0)</f>
        <v>125</v>
      </c>
      <c r="G10" s="402"/>
      <c r="H10" s="119">
        <f>ROUND(100/'数据-取费表'!G16,0)</f>
        <v>125</v>
      </c>
      <c r="I10" s="402"/>
      <c r="J10" s="119">
        <f>ROUND(100/'数据-取费表'!G16,0)</f>
        <v>125</v>
      </c>
      <c r="K10" s="592"/>
      <c r="L10" s="2488"/>
      <c r="M10" s="2489"/>
      <c r="N10" s="2489"/>
      <c r="O10" s="2540"/>
      <c r="P10" s="3425"/>
      <c r="Q10" s="530" t="str">
        <f t="shared" si="6"/>
        <v>土地使用年限（年）</v>
      </c>
      <c r="R10" s="664" t="s">
        <v>14</v>
      </c>
      <c r="S10" s="665">
        <f t="shared" si="0"/>
        <v>125</v>
      </c>
      <c r="T10" s="664" t="s">
        <v>14</v>
      </c>
      <c r="U10" s="665">
        <f t="shared" si="1"/>
        <v>125</v>
      </c>
      <c r="V10" s="664" t="s">
        <v>14</v>
      </c>
      <c r="W10" s="665">
        <f t="shared" si="2"/>
        <v>125</v>
      </c>
      <c r="X10" s="666"/>
      <c r="Y10" s="3300"/>
      <c r="Z10" s="50" t="str">
        <f t="shared" si="7"/>
        <v>土地使用年限（年）</v>
      </c>
      <c r="AA10" s="50">
        <f t="shared" si="3"/>
        <v>0.8</v>
      </c>
      <c r="AB10" s="50">
        <f t="shared" si="4"/>
        <v>0.8</v>
      </c>
      <c r="AC10" s="50">
        <f t="shared" si="5"/>
        <v>0.8</v>
      </c>
    </row>
    <row r="11" spans="1:29" ht="15">
      <c r="A11" s="367"/>
      <c r="B11" s="364" t="s">
        <v>1673</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425"/>
      <c r="Q11" s="530" t="str">
        <f t="shared" si="6"/>
        <v>容积率</v>
      </c>
      <c r="R11" s="664" t="s">
        <v>14</v>
      </c>
      <c r="S11" s="665" t="e">
        <f t="shared" si="0"/>
        <v>#N/A</v>
      </c>
      <c r="T11" s="664" t="s">
        <v>14</v>
      </c>
      <c r="U11" s="665" t="e">
        <f t="shared" si="1"/>
        <v>#N/A</v>
      </c>
      <c r="V11" s="664" t="s">
        <v>14</v>
      </c>
      <c r="W11" s="665" t="e">
        <f t="shared" si="2"/>
        <v>#N/A</v>
      </c>
      <c r="X11" s="666"/>
      <c r="Y11" s="3300"/>
      <c r="Z11" s="50" t="str">
        <f t="shared" si="7"/>
        <v>容积率</v>
      </c>
      <c r="AA11" s="50" t="e">
        <f t="shared" si="3"/>
        <v>#N/A</v>
      </c>
      <c r="AB11" s="50" t="e">
        <f t="shared" si="4"/>
        <v>#N/A</v>
      </c>
      <c r="AC11" s="50" t="e">
        <f t="shared" si="5"/>
        <v>#N/A</v>
      </c>
    </row>
    <row r="12" spans="1:29" s="102" customFormat="1" ht="15">
      <c r="A12" s="370"/>
      <c r="B12" s="447" t="s">
        <v>1854</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9"/>
      <c r="P12" s="3425"/>
      <c r="Q12" s="530" t="str">
        <f t="shared" si="6"/>
        <v>配建</v>
      </c>
      <c r="R12" s="664" t="s">
        <v>14</v>
      </c>
      <c r="S12" s="665">
        <f t="shared" si="0"/>
        <v>100</v>
      </c>
      <c r="T12" s="664" t="s">
        <v>14</v>
      </c>
      <c r="U12" s="665">
        <f t="shared" si="1"/>
        <v>100</v>
      </c>
      <c r="V12" s="664" t="s">
        <v>14</v>
      </c>
      <c r="W12" s="665">
        <f t="shared" si="2"/>
        <v>100</v>
      </c>
      <c r="X12" s="666"/>
      <c r="Y12" s="3300"/>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425"/>
      <c r="Q13" s="530">
        <f t="shared" si="6"/>
        <v>111</v>
      </c>
      <c r="R13" s="664" t="s">
        <v>14</v>
      </c>
      <c r="S13" s="665">
        <f t="shared" si="0"/>
        <v>100</v>
      </c>
      <c r="T13" s="664" t="s">
        <v>14</v>
      </c>
      <c r="U13" s="665">
        <f t="shared" si="1"/>
        <v>100</v>
      </c>
      <c r="V13" s="664" t="s">
        <v>14</v>
      </c>
      <c r="W13" s="665">
        <f t="shared" si="2"/>
        <v>100</v>
      </c>
      <c r="X13" s="666"/>
      <c r="Y13" s="3300"/>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425"/>
      <c r="Q14" s="530">
        <f t="shared" si="6"/>
        <v>111</v>
      </c>
      <c r="R14" s="664" t="s">
        <v>14</v>
      </c>
      <c r="S14" s="665">
        <f t="shared" si="0"/>
        <v>100</v>
      </c>
      <c r="T14" s="664" t="s">
        <v>14</v>
      </c>
      <c r="U14" s="665">
        <f t="shared" si="1"/>
        <v>100</v>
      </c>
      <c r="V14" s="664" t="s">
        <v>14</v>
      </c>
      <c r="W14" s="665">
        <f t="shared" si="2"/>
        <v>100</v>
      </c>
      <c r="X14" s="666"/>
      <c r="Y14" s="3300"/>
      <c r="Z14" s="50">
        <f t="shared" si="7"/>
        <v>111</v>
      </c>
      <c r="AA14" s="50">
        <f>D14/F14</f>
        <v>1</v>
      </c>
      <c r="AB14" s="50">
        <f>D14/H14</f>
        <v>1</v>
      </c>
      <c r="AC14" s="50">
        <f>D14/J14</f>
        <v>1</v>
      </c>
    </row>
    <row r="15" spans="1:29" ht="15">
      <c r="A15" s="379" t="s">
        <v>1674</v>
      </c>
      <c r="B15" s="58" t="s">
        <v>1241</v>
      </c>
      <c r="C15" s="1750">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427" t="s">
        <v>1675</v>
      </c>
      <c r="Q15" s="1263" t="str">
        <f t="shared" si="6"/>
        <v>居住社区成熟度</v>
      </c>
      <c r="R15" s="667" t="s">
        <v>14</v>
      </c>
      <c r="S15" s="668">
        <f t="shared" si="0"/>
        <v>100</v>
      </c>
      <c r="T15" s="667" t="s">
        <v>14</v>
      </c>
      <c r="U15" s="668">
        <f t="shared" si="1"/>
        <v>100</v>
      </c>
      <c r="V15" s="667" t="s">
        <v>14</v>
      </c>
      <c r="W15" s="668">
        <f t="shared" si="2"/>
        <v>100</v>
      </c>
      <c r="X15" s="1265"/>
      <c r="Y15" s="3427" t="s">
        <v>1675</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1"/>
      <c r="P16" s="3428"/>
      <c r="Q16" s="1263"/>
      <c r="R16" s="667"/>
      <c r="S16" s="668"/>
      <c r="T16" s="667"/>
      <c r="U16" s="668"/>
      <c r="V16" s="667"/>
      <c r="W16" s="668"/>
      <c r="X16" s="1265"/>
      <c r="Y16" s="3428"/>
      <c r="Z16" s="1264"/>
      <c r="AA16" s="1264">
        <v>1</v>
      </c>
      <c r="AB16" s="1264">
        <v>1</v>
      </c>
      <c r="AC16" s="1264">
        <v>1</v>
      </c>
    </row>
    <row r="17" spans="1:29" ht="15">
      <c r="A17" s="367"/>
      <c r="B17" s="390" t="s">
        <v>1761</v>
      </c>
      <c r="C17" s="1806">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428"/>
      <c r="Q17" s="1263" t="str">
        <f>B17</f>
        <v>商业繁华度</v>
      </c>
      <c r="R17" s="667" t="s">
        <v>14</v>
      </c>
      <c r="S17" s="668">
        <f>F17</f>
        <v>100</v>
      </c>
      <c r="T17" s="667" t="s">
        <v>14</v>
      </c>
      <c r="U17" s="668">
        <f>H17</f>
        <v>100</v>
      </c>
      <c r="V17" s="667" t="s">
        <v>14</v>
      </c>
      <c r="W17" s="668">
        <f>J17</f>
        <v>100</v>
      </c>
      <c r="X17" s="1265"/>
      <c r="Y17" s="3428"/>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1"/>
      <c r="P18" s="3428"/>
      <c r="Q18" s="1263"/>
      <c r="R18" s="667"/>
      <c r="S18" s="668"/>
      <c r="T18" s="667"/>
      <c r="U18" s="668"/>
      <c r="V18" s="667"/>
      <c r="W18" s="668"/>
      <c r="X18" s="1265"/>
      <c r="Y18" s="3428"/>
      <c r="Z18" s="1264"/>
      <c r="AA18" s="1264">
        <v>1</v>
      </c>
      <c r="AB18" s="1264">
        <v>1</v>
      </c>
      <c r="AC18" s="1264">
        <v>1</v>
      </c>
    </row>
    <row r="19" spans="1:29" ht="15">
      <c r="A19" s="367"/>
      <c r="B19" s="390" t="s">
        <v>1795</v>
      </c>
      <c r="C19" s="1806">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428"/>
      <c r="Q19" s="1263" t="str">
        <f>B19</f>
        <v>办公集聚程度</v>
      </c>
      <c r="R19" s="667" t="s">
        <v>14</v>
      </c>
      <c r="S19" s="668">
        <f>F19</f>
        <v>100</v>
      </c>
      <c r="T19" s="667" t="s">
        <v>14</v>
      </c>
      <c r="U19" s="668">
        <f>H19</f>
        <v>100</v>
      </c>
      <c r="V19" s="667" t="s">
        <v>14</v>
      </c>
      <c r="W19" s="668">
        <f>J19</f>
        <v>100</v>
      </c>
      <c r="X19" s="1265"/>
      <c r="Y19" s="3428"/>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1"/>
      <c r="P20" s="3428"/>
      <c r="Q20" s="1263"/>
      <c r="R20" s="667"/>
      <c r="S20" s="668"/>
      <c r="T20" s="667"/>
      <c r="U20" s="668"/>
      <c r="V20" s="667"/>
      <c r="W20" s="668"/>
      <c r="X20" s="1265"/>
      <c r="Y20" s="3428"/>
      <c r="Z20" s="1264"/>
      <c r="AA20" s="1264">
        <v>1</v>
      </c>
      <c r="AB20" s="1264">
        <v>1</v>
      </c>
      <c r="AC20" s="1264">
        <v>1</v>
      </c>
    </row>
    <row r="21" spans="1:29" ht="15">
      <c r="A21" s="367"/>
      <c r="B21" s="390" t="s">
        <v>1817</v>
      </c>
      <c r="C21" s="1754">
        <f>估价对象房地状况!C18</f>
        <v>0</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428"/>
      <c r="Q21" s="1263" t="str">
        <f>B21</f>
        <v>交通便捷度</v>
      </c>
      <c r="R21" s="667" t="s">
        <v>14</v>
      </c>
      <c r="S21" s="668">
        <f>F21</f>
        <v>100</v>
      </c>
      <c r="T21" s="667" t="s">
        <v>14</v>
      </c>
      <c r="U21" s="668">
        <f>H21</f>
        <v>100</v>
      </c>
      <c r="V21" s="667" t="s">
        <v>14</v>
      </c>
      <c r="W21" s="668">
        <f>J21</f>
        <v>100</v>
      </c>
      <c r="X21" s="1265"/>
      <c r="Y21" s="3428"/>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1"/>
      <c r="P22" s="3428"/>
      <c r="Q22" s="1263"/>
      <c r="R22" s="667"/>
      <c r="S22" s="668"/>
      <c r="T22" s="667"/>
      <c r="U22" s="668"/>
      <c r="V22" s="667"/>
      <c r="W22" s="668"/>
      <c r="X22" s="1265"/>
      <c r="Y22" s="3428"/>
      <c r="Z22" s="1264"/>
      <c r="AA22" s="1264">
        <v>1</v>
      </c>
      <c r="AB22" s="1264">
        <v>1</v>
      </c>
      <c r="AC22" s="1264">
        <v>1</v>
      </c>
    </row>
    <row r="23" spans="1:29" ht="15">
      <c r="A23" s="348"/>
      <c r="B23" s="390" t="s">
        <v>1855</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428"/>
      <c r="Q23" s="1263" t="str">
        <f t="shared" ref="Q23:Q37" si="8">B23</f>
        <v>区域土地利用方向</v>
      </c>
      <c r="R23" s="667" t="s">
        <v>14</v>
      </c>
      <c r="S23" s="668">
        <f>F23</f>
        <v>100</v>
      </c>
      <c r="T23" s="667" t="s">
        <v>14</v>
      </c>
      <c r="U23" s="668">
        <f>H23</f>
        <v>100</v>
      </c>
      <c r="V23" s="667" t="s">
        <v>14</v>
      </c>
      <c r="W23" s="668">
        <f>J23</f>
        <v>100</v>
      </c>
      <c r="X23" s="1265"/>
      <c r="Y23" s="3428"/>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1"/>
      <c r="P24" s="3428"/>
      <c r="Q24" s="1263"/>
      <c r="R24" s="667"/>
      <c r="S24" s="668"/>
      <c r="T24" s="667"/>
      <c r="U24" s="668"/>
      <c r="V24" s="667"/>
      <c r="W24" s="668"/>
      <c r="X24" s="1265"/>
      <c r="Y24" s="3428"/>
      <c r="Z24" s="1264"/>
      <c r="AA24" s="1264"/>
      <c r="AB24" s="1264"/>
      <c r="AC24" s="1264"/>
    </row>
    <row r="25" spans="1:29" ht="27">
      <c r="A25" s="348"/>
      <c r="B25" s="586" t="s">
        <v>1856</v>
      </c>
      <c r="C25" s="1806">
        <f>估价对象房地状况!C20</f>
        <v>0</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428"/>
      <c r="Q25" s="1263" t="str">
        <f t="shared" si="8"/>
        <v>自然及人文环境状况</v>
      </c>
      <c r="R25" s="667" t="s">
        <v>14</v>
      </c>
      <c r="S25" s="668">
        <f>F25</f>
        <v>100</v>
      </c>
      <c r="T25" s="667" t="s">
        <v>14</v>
      </c>
      <c r="U25" s="668">
        <f>H25</f>
        <v>100</v>
      </c>
      <c r="V25" s="667" t="s">
        <v>14</v>
      </c>
      <c r="W25" s="668">
        <f>J25</f>
        <v>100</v>
      </c>
      <c r="X25" s="1265"/>
      <c r="Y25" s="3428"/>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1"/>
      <c r="P26" s="3428"/>
      <c r="Q26" s="1263"/>
      <c r="R26" s="667"/>
      <c r="S26" s="668"/>
      <c r="T26" s="667"/>
      <c r="U26" s="668"/>
      <c r="V26" s="667"/>
      <c r="W26" s="668"/>
      <c r="X26" s="1265"/>
      <c r="Y26" s="3428"/>
      <c r="Z26" s="1264"/>
      <c r="AA26" s="1264">
        <v>1</v>
      </c>
      <c r="AB26" s="1264">
        <v>1</v>
      </c>
      <c r="AC26" s="1264">
        <v>1</v>
      </c>
    </row>
    <row r="27" spans="1:29" s="102" customFormat="1" ht="15">
      <c r="A27" s="443"/>
      <c r="B27" s="586" t="s">
        <v>1762</v>
      </c>
      <c r="C27" s="1754">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9"/>
      <c r="P27" s="3428"/>
      <c r="Q27" s="530" t="str">
        <f t="shared" si="8"/>
        <v>公共配套设施</v>
      </c>
      <c r="R27" s="664" t="s">
        <v>14</v>
      </c>
      <c r="S27" s="665">
        <f>F27</f>
        <v>100</v>
      </c>
      <c r="T27" s="664" t="s">
        <v>14</v>
      </c>
      <c r="U27" s="665">
        <f>H27</f>
        <v>100</v>
      </c>
      <c r="V27" s="664" t="s">
        <v>14</v>
      </c>
      <c r="W27" s="665">
        <f>J27</f>
        <v>100</v>
      </c>
      <c r="X27" s="666"/>
      <c r="Y27" s="3428"/>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7"/>
      <c r="M28" s="2438"/>
      <c r="N28" s="2438"/>
      <c r="O28" s="2539"/>
      <c r="P28" s="3428"/>
      <c r="Q28" s="530"/>
      <c r="R28" s="664"/>
      <c r="S28" s="665"/>
      <c r="T28" s="664"/>
      <c r="U28" s="665"/>
      <c r="V28" s="664"/>
      <c r="W28" s="665"/>
      <c r="X28" s="666"/>
      <c r="Y28" s="3428"/>
      <c r="Z28" s="50"/>
      <c r="AA28" s="1264">
        <v>1</v>
      </c>
      <c r="AB28" s="1264">
        <v>1</v>
      </c>
      <c r="AC28" s="1264">
        <v>1</v>
      </c>
    </row>
    <row r="29" spans="1:29" s="102" customFormat="1" ht="15">
      <c r="A29" s="443"/>
      <c r="B29" s="586" t="s">
        <v>1763</v>
      </c>
      <c r="C29" s="1754">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9"/>
      <c r="P29" s="3428"/>
      <c r="Q29" s="530" t="str">
        <f t="shared" ref="Q29" si="9">B29</f>
        <v>基础设施水平</v>
      </c>
      <c r="R29" s="664" t="s">
        <v>14</v>
      </c>
      <c r="S29" s="665">
        <f>F29</f>
        <v>100</v>
      </c>
      <c r="T29" s="664" t="s">
        <v>14</v>
      </c>
      <c r="U29" s="665">
        <f>H29</f>
        <v>100</v>
      </c>
      <c r="V29" s="664" t="s">
        <v>14</v>
      </c>
      <c r="W29" s="665">
        <f>J29</f>
        <v>100</v>
      </c>
      <c r="X29" s="666"/>
      <c r="Y29" s="3428"/>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7"/>
      <c r="M30" s="2438"/>
      <c r="N30" s="2438"/>
      <c r="O30" s="2539"/>
      <c r="P30" s="3428"/>
      <c r="Q30" s="530"/>
      <c r="R30" s="664"/>
      <c r="S30" s="665"/>
      <c r="T30" s="664"/>
      <c r="U30" s="665"/>
      <c r="V30" s="664"/>
      <c r="W30" s="665"/>
      <c r="X30" s="666"/>
      <c r="Y30" s="3428"/>
      <c r="Z30" s="50"/>
      <c r="AA30" s="1264">
        <v>1</v>
      </c>
      <c r="AB30" s="1264">
        <v>1</v>
      </c>
      <c r="AC30" s="1264">
        <v>1</v>
      </c>
    </row>
    <row r="31" spans="1:29" ht="15">
      <c r="A31" s="367"/>
      <c r="B31" s="395" t="s">
        <v>1764</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428"/>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28"/>
      <c r="Z31" s="1264" t="str">
        <f t="shared" ref="Z31:Z45" si="13">Q31</f>
        <v>临街状况</v>
      </c>
      <c r="AA31" s="1264">
        <f t="shared" si="3"/>
        <v>1</v>
      </c>
      <c r="AB31" s="1264">
        <f t="shared" si="4"/>
        <v>1</v>
      </c>
      <c r="AC31" s="1264">
        <f t="shared" si="5"/>
        <v>1</v>
      </c>
    </row>
    <row r="32" spans="1:29" ht="27">
      <c r="A32" s="367"/>
      <c r="B32" s="586" t="s">
        <v>1799</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428"/>
      <c r="Q32" s="1263" t="str">
        <f t="shared" si="8"/>
        <v>毗邻道路的类型与等级</v>
      </c>
      <c r="R32" s="667" t="s">
        <v>14</v>
      </c>
      <c r="S32" s="668">
        <f t="shared" si="10"/>
        <v>100</v>
      </c>
      <c r="T32" s="667" t="s">
        <v>14</v>
      </c>
      <c r="U32" s="668">
        <f t="shared" si="11"/>
        <v>100</v>
      </c>
      <c r="V32" s="667" t="s">
        <v>14</v>
      </c>
      <c r="W32" s="668">
        <f t="shared" si="12"/>
        <v>100</v>
      </c>
      <c r="X32" s="1265"/>
      <c r="Y32" s="3428"/>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1"/>
      <c r="P33" s="3428"/>
      <c r="Q33" s="1263"/>
      <c r="R33" s="667"/>
      <c r="S33" s="668"/>
      <c r="T33" s="667"/>
      <c r="U33" s="668"/>
      <c r="V33" s="667"/>
      <c r="W33" s="668"/>
      <c r="X33" s="1265"/>
      <c r="Y33" s="3428"/>
      <c r="Z33" s="1264"/>
      <c r="AA33" s="1264">
        <v>1</v>
      </c>
      <c r="AB33" s="1264">
        <v>1</v>
      </c>
      <c r="AC33" s="1264">
        <v>1</v>
      </c>
    </row>
    <row r="34" spans="1:29" ht="15">
      <c r="A34" s="367"/>
      <c r="B34" s="364" t="s">
        <v>1857</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428"/>
      <c r="Q34" s="1263" t="str">
        <f t="shared" si="8"/>
        <v>土地级别</v>
      </c>
      <c r="R34" s="667" t="s">
        <v>14</v>
      </c>
      <c r="S34" s="668">
        <f t="shared" si="10"/>
        <v>100</v>
      </c>
      <c r="T34" s="667" t="s">
        <v>14</v>
      </c>
      <c r="U34" s="668">
        <f t="shared" si="11"/>
        <v>100</v>
      </c>
      <c r="V34" s="667" t="s">
        <v>14</v>
      </c>
      <c r="W34" s="668">
        <f t="shared" si="12"/>
        <v>100</v>
      </c>
      <c r="X34" s="1265"/>
      <c r="Y34" s="3428"/>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428"/>
      <c r="Q35" s="1263">
        <f t="shared" si="8"/>
        <v>111</v>
      </c>
      <c r="R35" s="667" t="s">
        <v>14</v>
      </c>
      <c r="S35" s="668">
        <f t="shared" si="10"/>
        <v>100</v>
      </c>
      <c r="T35" s="667" t="s">
        <v>14</v>
      </c>
      <c r="U35" s="668">
        <f t="shared" si="11"/>
        <v>100</v>
      </c>
      <c r="V35" s="667" t="s">
        <v>14</v>
      </c>
      <c r="W35" s="668">
        <f t="shared" si="12"/>
        <v>100</v>
      </c>
      <c r="X35" s="1265"/>
      <c r="Y35" s="3428"/>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82" t="s">
        <v>1680</v>
      </c>
      <c r="Q36" s="1263">
        <f t="shared" si="8"/>
        <v>111</v>
      </c>
      <c r="R36" s="667" t="s">
        <v>14</v>
      </c>
      <c r="S36" s="668">
        <f t="shared" si="10"/>
        <v>100</v>
      </c>
      <c r="T36" s="667" t="s">
        <v>14</v>
      </c>
      <c r="U36" s="668">
        <f t="shared" si="11"/>
        <v>100</v>
      </c>
      <c r="V36" s="667" t="s">
        <v>14</v>
      </c>
      <c r="W36" s="668">
        <f t="shared" si="12"/>
        <v>100</v>
      </c>
      <c r="X36" s="1265"/>
      <c r="Y36" s="3432" t="s">
        <v>1680</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432"/>
      <c r="Q37" s="1263">
        <f t="shared" si="8"/>
        <v>111</v>
      </c>
      <c r="R37" s="669" t="s">
        <v>14</v>
      </c>
      <c r="S37" s="670">
        <f t="shared" si="10"/>
        <v>100</v>
      </c>
      <c r="T37" s="669" t="s">
        <v>14</v>
      </c>
      <c r="U37" s="670">
        <f t="shared" si="11"/>
        <v>100</v>
      </c>
      <c r="V37" s="669" t="s">
        <v>14</v>
      </c>
      <c r="W37" s="670">
        <f t="shared" si="12"/>
        <v>100</v>
      </c>
      <c r="X37" s="671"/>
      <c r="Y37" s="3432"/>
      <c r="Z37" s="672">
        <f t="shared" si="13"/>
        <v>111</v>
      </c>
      <c r="AA37" s="1264">
        <f t="shared" si="3"/>
        <v>1</v>
      </c>
      <c r="AB37" s="1264">
        <f t="shared" si="4"/>
        <v>1</v>
      </c>
      <c r="AC37" s="1264">
        <f t="shared" si="5"/>
        <v>1</v>
      </c>
    </row>
    <row r="38" spans="1:29" ht="15">
      <c r="A38" s="409" t="s">
        <v>1678</v>
      </c>
      <c r="B38" s="395" t="s">
        <v>1858</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432"/>
      <c r="Q38" s="1263" t="str">
        <f>B38</f>
        <v>宗地面积</v>
      </c>
      <c r="R38" s="667" t="s">
        <v>14</v>
      </c>
      <c r="S38" s="668" t="e">
        <f t="shared" si="10"/>
        <v>#N/A</v>
      </c>
      <c r="T38" s="667" t="s">
        <v>14</v>
      </c>
      <c r="U38" s="668" t="e">
        <f t="shared" si="11"/>
        <v>#N/A</v>
      </c>
      <c r="V38" s="667" t="s">
        <v>14</v>
      </c>
      <c r="W38" s="668" t="e">
        <f t="shared" si="12"/>
        <v>#N/A</v>
      </c>
      <c r="X38" s="1265"/>
      <c r="Y38" s="3432"/>
      <c r="Z38" s="1264" t="str">
        <f t="shared" si="13"/>
        <v>宗地面积</v>
      </c>
      <c r="AA38" s="1264" t="e">
        <f t="shared" si="3"/>
        <v>#N/A</v>
      </c>
      <c r="AB38" s="1264" t="e">
        <f t="shared" si="4"/>
        <v>#N/A</v>
      </c>
      <c r="AC38" s="1264" t="e">
        <f t="shared" si="5"/>
        <v>#N/A</v>
      </c>
    </row>
    <row r="39" spans="1:29" ht="15">
      <c r="A39" s="409"/>
      <c r="B39" s="364" t="s">
        <v>1859</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1"/>
      <c r="P39" s="3432"/>
      <c r="Q39" s="1263" t="str">
        <f t="shared" ref="Q39:Q45" si="14">B39</f>
        <v>宗地形状</v>
      </c>
      <c r="R39" s="667" t="s">
        <v>14</v>
      </c>
      <c r="S39" s="668">
        <f t="shared" si="10"/>
        <v>100</v>
      </c>
      <c r="T39" s="667" t="s">
        <v>14</v>
      </c>
      <c r="U39" s="668">
        <f t="shared" si="11"/>
        <v>100</v>
      </c>
      <c r="V39" s="667" t="s">
        <v>14</v>
      </c>
      <c r="W39" s="668">
        <f t="shared" si="12"/>
        <v>100</v>
      </c>
      <c r="X39" s="1265"/>
      <c r="Y39" s="3432"/>
      <c r="Z39" s="1264" t="str">
        <f t="shared" si="13"/>
        <v>宗地形状</v>
      </c>
      <c r="AA39" s="1264">
        <f t="shared" si="3"/>
        <v>1</v>
      </c>
      <c r="AB39" s="1264">
        <f t="shared" si="4"/>
        <v>1</v>
      </c>
      <c r="AC39" s="1264">
        <f t="shared" si="5"/>
        <v>1</v>
      </c>
    </row>
    <row r="40" spans="1:29" ht="15">
      <c r="A40" s="409"/>
      <c r="B40" s="364" t="s">
        <v>1860</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1"/>
      <c r="P40" s="3432"/>
      <c r="Q40" s="1263" t="str">
        <f t="shared" si="14"/>
        <v>临街宽度及深度</v>
      </c>
      <c r="R40" s="667" t="s">
        <v>14</v>
      </c>
      <c r="S40" s="668">
        <f t="shared" si="10"/>
        <v>100</v>
      </c>
      <c r="T40" s="667" t="s">
        <v>14</v>
      </c>
      <c r="U40" s="668">
        <f t="shared" si="11"/>
        <v>100</v>
      </c>
      <c r="V40" s="667" t="s">
        <v>14</v>
      </c>
      <c r="W40" s="668">
        <f t="shared" si="12"/>
        <v>100</v>
      </c>
      <c r="X40" s="1265"/>
      <c r="Y40" s="3432"/>
      <c r="Z40" s="1264" t="str">
        <f t="shared" si="13"/>
        <v>临街宽度及深度</v>
      </c>
      <c r="AA40" s="1264">
        <f t="shared" si="3"/>
        <v>1</v>
      </c>
      <c r="AB40" s="1264">
        <f t="shared" si="4"/>
        <v>1</v>
      </c>
      <c r="AC40" s="1264">
        <f t="shared" si="5"/>
        <v>1</v>
      </c>
    </row>
    <row r="41" spans="1:29" s="102" customFormat="1" ht="15">
      <c r="A41" s="410"/>
      <c r="B41" s="364" t="s">
        <v>1861</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7"/>
      <c r="M41" s="2438"/>
      <c r="N41" s="2438"/>
      <c r="O41" s="2539"/>
      <c r="P41" s="3432"/>
      <c r="Q41" s="1263" t="str">
        <f t="shared" si="14"/>
        <v>宗地开发程度</v>
      </c>
      <c r="R41" s="664" t="s">
        <v>14</v>
      </c>
      <c r="S41" s="665">
        <f t="shared" si="10"/>
        <v>100</v>
      </c>
      <c r="T41" s="664" t="s">
        <v>14</v>
      </c>
      <c r="U41" s="665">
        <f t="shared" si="11"/>
        <v>100</v>
      </c>
      <c r="V41" s="664" t="s">
        <v>14</v>
      </c>
      <c r="W41" s="665">
        <f t="shared" si="12"/>
        <v>100</v>
      </c>
      <c r="X41" s="666"/>
      <c r="Y41" s="3432"/>
      <c r="Z41" s="50" t="str">
        <f t="shared" si="13"/>
        <v>宗地开发程度</v>
      </c>
      <c r="AA41" s="50">
        <f t="shared" si="3"/>
        <v>1</v>
      </c>
      <c r="AB41" s="50">
        <f t="shared" si="4"/>
        <v>1</v>
      </c>
      <c r="AC41" s="50">
        <f t="shared" si="5"/>
        <v>1</v>
      </c>
    </row>
    <row r="42" spans="1:29" ht="15">
      <c r="A42" s="409"/>
      <c r="B42" s="364" t="s">
        <v>1862</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1"/>
      <c r="P42" s="3432" t="s">
        <v>1680</v>
      </c>
      <c r="Q42" s="1263" t="str">
        <f t="shared" si="14"/>
        <v>工程地质条件</v>
      </c>
      <c r="R42" s="667" t="s">
        <v>14</v>
      </c>
      <c r="S42" s="668">
        <f t="shared" si="10"/>
        <v>100</v>
      </c>
      <c r="T42" s="667" t="s">
        <v>14</v>
      </c>
      <c r="U42" s="668">
        <f t="shared" si="11"/>
        <v>100</v>
      </c>
      <c r="V42" s="667" t="s">
        <v>14</v>
      </c>
      <c r="W42" s="668">
        <f t="shared" si="12"/>
        <v>100</v>
      </c>
      <c r="X42" s="1265"/>
      <c r="Y42" s="3432" t="s">
        <v>1680</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432"/>
      <c r="Q43" s="1263">
        <f t="shared" si="14"/>
        <v>111</v>
      </c>
      <c r="R43" s="667" t="s">
        <v>14</v>
      </c>
      <c r="S43" s="668">
        <f t="shared" si="10"/>
        <v>100</v>
      </c>
      <c r="T43" s="667" t="s">
        <v>14</v>
      </c>
      <c r="U43" s="668">
        <f t="shared" si="11"/>
        <v>100</v>
      </c>
      <c r="V43" s="667" t="s">
        <v>14</v>
      </c>
      <c r="W43" s="668">
        <f t="shared" si="12"/>
        <v>100</v>
      </c>
      <c r="X43" s="1265"/>
      <c r="Y43" s="3432"/>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432"/>
      <c r="Q44" s="1263">
        <f t="shared" si="14"/>
        <v>111</v>
      </c>
      <c r="R44" s="667" t="s">
        <v>14</v>
      </c>
      <c r="S44" s="668">
        <f t="shared" si="10"/>
        <v>100</v>
      </c>
      <c r="T44" s="667" t="s">
        <v>14</v>
      </c>
      <c r="U44" s="668">
        <f t="shared" si="11"/>
        <v>100</v>
      </c>
      <c r="V44" s="667" t="s">
        <v>14</v>
      </c>
      <c r="W44" s="668">
        <f t="shared" si="12"/>
        <v>100</v>
      </c>
      <c r="X44" s="1265"/>
      <c r="Y44" s="3432"/>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432"/>
      <c r="Q45" s="1263">
        <f t="shared" si="14"/>
        <v>111</v>
      </c>
      <c r="R45" s="669" t="s">
        <v>14</v>
      </c>
      <c r="S45" s="670">
        <f t="shared" si="10"/>
        <v>100</v>
      </c>
      <c r="T45" s="669" t="s">
        <v>14</v>
      </c>
      <c r="U45" s="670">
        <f t="shared" si="11"/>
        <v>100</v>
      </c>
      <c r="V45" s="669" t="s">
        <v>14</v>
      </c>
      <c r="W45" s="670">
        <f t="shared" si="12"/>
        <v>100</v>
      </c>
      <c r="X45" s="671"/>
      <c r="Y45" s="3432"/>
      <c r="Z45" s="672">
        <f t="shared" si="13"/>
        <v>111</v>
      </c>
      <c r="AA45" s="1264">
        <f t="shared" si="3"/>
        <v>1</v>
      </c>
      <c r="AB45" s="1264">
        <f t="shared" si="4"/>
        <v>1</v>
      </c>
      <c r="AC45" s="1264">
        <f t="shared" si="5"/>
        <v>1</v>
      </c>
    </row>
    <row r="46" spans="1:29" ht="15">
      <c r="A46" s="416" t="s">
        <v>1828</v>
      </c>
      <c r="B46" s="1830" t="s">
        <v>1863</v>
      </c>
      <c r="C46" s="602" t="s">
        <v>0</v>
      </c>
      <c r="D46" s="418"/>
      <c r="E46" s="419"/>
      <c r="F46" s="420"/>
      <c r="G46" s="421"/>
      <c r="H46" s="422"/>
      <c r="I46" s="419"/>
      <c r="J46" s="422"/>
      <c r="K46" s="674"/>
      <c r="L46" s="2493"/>
      <c r="M46" s="2486"/>
      <c r="N46" s="2486"/>
      <c r="O46" s="2486"/>
      <c r="P46" s="3425" t="str">
        <f>A46</f>
        <v>成交单价</v>
      </c>
      <c r="Q46" s="3425"/>
      <c r="R46" s="3426">
        <f>E46</f>
        <v>0</v>
      </c>
      <c r="S46" s="3426"/>
      <c r="T46" s="3426">
        <f>G46</f>
        <v>0</v>
      </c>
      <c r="U46" s="3426"/>
      <c r="V46" s="3426">
        <f>I46</f>
        <v>0</v>
      </c>
      <c r="W46" s="3426"/>
      <c r="X46" s="385"/>
      <c r="Y46" s="673"/>
      <c r="Z46" s="385"/>
      <c r="AA46" s="385"/>
      <c r="AB46" s="385"/>
      <c r="AC46" s="385"/>
    </row>
    <row r="47" spans="1:29" ht="15.75" thickBot="1">
      <c r="A47" s="423" t="s">
        <v>1777</v>
      </c>
      <c r="B47" s="603"/>
      <c r="C47" s="426" t="e">
        <f>R48</f>
        <v>#DIV/0!</v>
      </c>
      <c r="D47" s="2141" t="s">
        <v>2122</v>
      </c>
      <c r="E47" s="426" t="e">
        <f>R47</f>
        <v>#DIV/0!</v>
      </c>
      <c r="F47" s="2142"/>
      <c r="G47" s="425" t="e">
        <f>T47</f>
        <v>#DIV/0!</v>
      </c>
      <c r="H47" s="2142"/>
      <c r="I47" s="426" t="e">
        <f>V47</f>
        <v>#DIV/0!</v>
      </c>
      <c r="J47" s="2142"/>
      <c r="K47" s="2144">
        <f>F47+H47+J47</f>
        <v>0</v>
      </c>
      <c r="L47" s="2493"/>
      <c r="M47" s="2486"/>
      <c r="N47" s="2486"/>
      <c r="O47" s="2486"/>
      <c r="P47" s="3425" t="str">
        <f>A47</f>
        <v>比较价值（元/平方米）</v>
      </c>
      <c r="Q47" s="3425"/>
      <c r="R47" s="3486" t="e">
        <f>ROUND(PRODUCT(R46,AA7:AA45),0)</f>
        <v>#DIV/0!</v>
      </c>
      <c r="S47" s="3486"/>
      <c r="T47" s="3486" t="e">
        <f>ROUND(PRODUCT(T46,AB7:AB45),0)</f>
        <v>#DIV/0!</v>
      </c>
      <c r="U47" s="3486"/>
      <c r="V47" s="3486" t="e">
        <f>ROUND(PRODUCT(V46,AC7:AC45),0)</f>
        <v>#DIV/0!</v>
      </c>
      <c r="W47" s="3486"/>
      <c r="X47" s="385"/>
      <c r="Y47" s="385"/>
      <c r="Z47" s="385"/>
      <c r="AA47" s="385"/>
      <c r="AB47" s="385"/>
      <c r="AC47" s="385"/>
    </row>
    <row r="48" spans="1:29" ht="15.75" thickBot="1">
      <c r="A48" s="427" t="s">
        <v>1864</v>
      </c>
      <c r="B48" s="428"/>
      <c r="C48" s="429" t="e">
        <f>R48</f>
        <v>#DIV/0!</v>
      </c>
      <c r="D48" s="429"/>
      <c r="E48" s="429"/>
      <c r="F48" s="429"/>
      <c r="G48" s="429"/>
      <c r="H48" s="429"/>
      <c r="I48" s="429"/>
      <c r="J48" s="429"/>
      <c r="K48" s="675"/>
      <c r="L48" s="2493"/>
      <c r="M48" s="2486"/>
      <c r="N48" s="2486"/>
      <c r="O48" s="2486"/>
      <c r="P48" s="3422" t="str">
        <f>A48</f>
        <v>估价对象XX用房的比较价值（楼面单价，元/平方米）</v>
      </c>
      <c r="Q48" s="3423"/>
      <c r="R48" s="3487" t="e">
        <f>ROUND(IF(D47="简单平均",AVERAGE(R47:W47),R47*F47+T47*H47+V47*J47),0)</f>
        <v>#DIV/0!</v>
      </c>
      <c r="S48" s="3487"/>
      <c r="T48" s="3487"/>
      <c r="U48" s="3487"/>
      <c r="V48" s="3487"/>
      <c r="W48" s="3487"/>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1779</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1780</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1781</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1865</v>
      </c>
      <c r="B55" s="605" t="s">
        <v>1866</v>
      </c>
      <c r="C55" s="1831" t="s">
        <v>1867</v>
      </c>
      <c r="D55" s="1832" t="s">
        <v>1868</v>
      </c>
      <c r="E55" s="606" t="s">
        <v>1869</v>
      </c>
      <c r="F55" s="837" t="s">
        <v>1870</v>
      </c>
      <c r="G55" s="3440" t="s">
        <v>1871</v>
      </c>
      <c r="H55" s="3488"/>
      <c r="I55" s="127" t="s">
        <v>1872</v>
      </c>
      <c r="J55" s="1833">
        <f>项目基本情况!F35</f>
        <v>0</v>
      </c>
      <c r="K55" s="1834" t="s">
        <v>1873</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1874</v>
      </c>
      <c r="B56" s="609" t="e">
        <f>C48</f>
        <v>#DIV/0!</v>
      </c>
      <c r="C56" s="610">
        <v>1</v>
      </c>
      <c r="D56" s="890">
        <v>1</v>
      </c>
      <c r="E56" s="610">
        <f>'数据-汇总表'!E8+'数据-汇总表'!E9</f>
        <v>65627.570000000007</v>
      </c>
      <c r="F56" s="833" t="e">
        <f t="shared" ref="F56:F64" si="15">ROUND(B56*E56/10000,0)</f>
        <v>#DIV/0!</v>
      </c>
      <c r="G56" s="3436"/>
      <c r="H56" s="3425"/>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1875</v>
      </c>
      <c r="B57" s="210" t="e">
        <f>ROUND($C$48*C57*D57,0)</f>
        <v>#DIV/0!</v>
      </c>
      <c r="C57" s="163">
        <f t="shared" ref="C57:C64" si="16">IF($C$55="北京市系数",I57,J57)</f>
        <v>0</v>
      </c>
      <c r="D57" s="891">
        <v>0.25</v>
      </c>
      <c r="E57" s="614"/>
      <c r="F57" s="833" t="e">
        <f t="shared" si="15"/>
        <v>#DIV/0!</v>
      </c>
      <c r="G57" s="2749" t="s">
        <v>1876</v>
      </c>
      <c r="H57" s="834">
        <f>项目基本情况!B37</f>
        <v>0</v>
      </c>
      <c r="I57" s="838">
        <f>SUMIF(修正!A57:A68,H57,修正!B57:B68)</f>
        <v>0</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1877</v>
      </c>
      <c r="B58" s="210" t="e">
        <f t="shared" ref="B58:B64" si="17">ROUND($C$48*C58*D58,0)</f>
        <v>#DIV/0!</v>
      </c>
      <c r="C58" s="163">
        <f t="shared" si="16"/>
        <v>0</v>
      </c>
      <c r="D58" s="891">
        <v>0.25</v>
      </c>
      <c r="E58" s="614"/>
      <c r="F58" s="833" t="e">
        <f t="shared" si="15"/>
        <v>#DIV/0!</v>
      </c>
      <c r="G58" s="2750"/>
      <c r="H58" s="834">
        <f>项目基本情况!B37</f>
        <v>0</v>
      </c>
      <c r="I58" s="838">
        <f>SUMIF(修正!A57:A68,H58,修正!C57:C68)</f>
        <v>0</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1878</v>
      </c>
      <c r="B59" s="210" t="e">
        <f t="shared" si="17"/>
        <v>#DIV/0!</v>
      </c>
      <c r="C59" s="163">
        <f t="shared" si="16"/>
        <v>0</v>
      </c>
      <c r="D59" s="891">
        <v>0.25</v>
      </c>
      <c r="E59" s="614"/>
      <c r="F59" s="833" t="e">
        <f t="shared" si="15"/>
        <v>#DIV/0!</v>
      </c>
      <c r="G59" s="2750"/>
      <c r="H59" s="834">
        <f>项目基本情况!B37</f>
        <v>0</v>
      </c>
      <c r="I59" s="838">
        <f>SUMIF(修正!A57:A68,H59,修正!D57:D68)</f>
        <v>0</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1879</v>
      </c>
      <c r="B60" s="210" t="e">
        <f t="shared" si="17"/>
        <v>#DIV/0!</v>
      </c>
      <c r="C60" s="163">
        <f t="shared" si="16"/>
        <v>0</v>
      </c>
      <c r="D60" s="891">
        <v>0.25</v>
      </c>
      <c r="E60" s="209">
        <f>'数据-汇总表'!E11</f>
        <v>0</v>
      </c>
      <c r="F60" s="833" t="e">
        <f t="shared" si="15"/>
        <v>#DIV/0!</v>
      </c>
      <c r="G60" s="1835" t="s">
        <v>1880</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1881</v>
      </c>
      <c r="B61" s="210" t="e">
        <f t="shared" si="17"/>
        <v>#DIV/0!</v>
      </c>
      <c r="C61" s="163">
        <f t="shared" si="16"/>
        <v>0</v>
      </c>
      <c r="D61" s="891">
        <v>0.25</v>
      </c>
      <c r="E61" s="209">
        <f>'数据-汇总表'!E12</f>
        <v>0</v>
      </c>
      <c r="F61" s="833" t="e">
        <f t="shared" si="15"/>
        <v>#DIV/0!</v>
      </c>
      <c r="G61" s="839" t="s">
        <v>1882</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1883</v>
      </c>
      <c r="B62" s="210" t="e">
        <f t="shared" si="17"/>
        <v>#DIV/0!</v>
      </c>
      <c r="C62" s="163">
        <f t="shared" si="16"/>
        <v>0</v>
      </c>
      <c r="D62" s="891">
        <v>0.25</v>
      </c>
      <c r="E62" s="209">
        <f>'数据-汇总表'!E13</f>
        <v>0</v>
      </c>
      <c r="F62" s="833" t="e">
        <f t="shared" si="15"/>
        <v>#DIV/0!</v>
      </c>
      <c r="G62" s="839" t="s">
        <v>1884</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1885</v>
      </c>
      <c r="B63" s="210" t="e">
        <f t="shared" si="17"/>
        <v>#DIV/0!</v>
      </c>
      <c r="C63" s="163">
        <f t="shared" si="16"/>
        <v>0</v>
      </c>
      <c r="D63" s="891">
        <v>0.25</v>
      </c>
      <c r="E63" s="209">
        <f>'数据-汇总表'!E14</f>
        <v>0</v>
      </c>
      <c r="F63" s="833" t="e">
        <f t="shared" si="15"/>
        <v>#DIV/0!</v>
      </c>
      <c r="G63" s="1835" t="s">
        <v>1876</v>
      </c>
      <c r="H63" s="834">
        <f>项目基本情况!B37</f>
        <v>0</v>
      </c>
      <c r="I63" s="838">
        <f>SUMIF(修正!A57:A68,H63,修正!G57:G68)</f>
        <v>0</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1886</v>
      </c>
      <c r="B64" s="210" t="e">
        <f t="shared" si="17"/>
        <v>#DIV/0!</v>
      </c>
      <c r="C64" s="163">
        <f t="shared" si="16"/>
        <v>0</v>
      </c>
      <c r="D64" s="891">
        <v>0.25</v>
      </c>
      <c r="E64" s="209">
        <f>'数据-汇总表'!E15</f>
        <v>0</v>
      </c>
      <c r="F64" s="833" t="e">
        <f t="shared" si="15"/>
        <v>#DIV/0!</v>
      </c>
      <c r="G64" s="1836" t="s">
        <v>1880</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1887</v>
      </c>
      <c r="B65" s="616" t="s">
        <v>22</v>
      </c>
      <c r="C65" s="616" t="s">
        <v>23</v>
      </c>
      <c r="D65" s="616" t="s">
        <v>392</v>
      </c>
      <c r="E65" s="616">
        <f>IF(B46="楼面地价",SUM(E56:E64),'数据-汇总表'!D3)</f>
        <v>65627.570000000007</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2025-1-1</v>
      </c>
      <c r="D67" s="656">
        <f>EDATE(C67,-3)</f>
        <v>45566</v>
      </c>
      <c r="E67" s="656">
        <f>EDATE(D67,-3)</f>
        <v>45474</v>
      </c>
      <c r="F67" s="656">
        <f t="shared" ref="F67:O67" si="18">EDATE(E67,-3)</f>
        <v>45383</v>
      </c>
      <c r="G67" s="656">
        <f t="shared" si="18"/>
        <v>45292</v>
      </c>
      <c r="H67" s="656">
        <f t="shared" si="18"/>
        <v>45200</v>
      </c>
      <c r="I67" s="656">
        <f t="shared" si="18"/>
        <v>45108</v>
      </c>
      <c r="J67" s="656">
        <f t="shared" si="18"/>
        <v>45017</v>
      </c>
      <c r="K67" s="656">
        <f t="shared" si="18"/>
        <v>44927</v>
      </c>
      <c r="L67" s="656">
        <f t="shared" si="18"/>
        <v>44835</v>
      </c>
      <c r="M67" s="656">
        <f t="shared" si="18"/>
        <v>44743</v>
      </c>
      <c r="N67" s="656">
        <f t="shared" si="18"/>
        <v>44652</v>
      </c>
      <c r="O67" s="656">
        <f t="shared" si="18"/>
        <v>44562</v>
      </c>
      <c r="P67" s="2486"/>
      <c r="Q67" s="2486"/>
      <c r="R67" s="2486"/>
      <c r="S67" s="2486"/>
      <c r="T67" s="2486"/>
      <c r="U67" s="2486"/>
      <c r="V67" s="2486"/>
      <c r="W67" s="2486"/>
      <c r="X67" s="2486"/>
      <c r="Y67" s="2486"/>
      <c r="Z67" s="2486"/>
      <c r="AA67" s="2486"/>
      <c r="AB67" s="2486"/>
      <c r="AC67" s="2486"/>
    </row>
    <row r="68" spans="1:29" ht="21.75" thickBot="1">
      <c r="A68" s="658" t="s">
        <v>1782</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5">
      <c r="A69" s="1630" t="s">
        <v>1888</v>
      </c>
      <c r="B69" s="1046"/>
      <c r="C69" s="1101" t="str">
        <f>YEAR(C67)&amp;"-"&amp;ROUNDUP(MONTH(C67)/3,0)</f>
        <v>2025-1</v>
      </c>
      <c r="D69" s="1101" t="str">
        <f>YEAR(D67)&amp;"-"&amp;ROUNDUP(MONTH(D67)/3,0)</f>
        <v>2024-4</v>
      </c>
      <c r="E69" s="1101" t="str">
        <f t="shared" ref="E69:O69" si="19">YEAR(E67)&amp;"-"&amp;ROUNDUP(MONTH(E67)/3,0)</f>
        <v>2024-3</v>
      </c>
      <c r="F69" s="1101" t="str">
        <f t="shared" si="19"/>
        <v>2024-2</v>
      </c>
      <c r="G69" s="1101" t="str">
        <f t="shared" si="19"/>
        <v>2024-1</v>
      </c>
      <c r="H69" s="1101" t="str">
        <f t="shared" si="19"/>
        <v>2023-4</v>
      </c>
      <c r="I69" s="1101" t="str">
        <f t="shared" si="19"/>
        <v>2023-3</v>
      </c>
      <c r="J69" s="1101" t="str">
        <f t="shared" si="19"/>
        <v>2023-2</v>
      </c>
      <c r="K69" s="1101" t="str">
        <f t="shared" si="19"/>
        <v>2023-1</v>
      </c>
      <c r="L69" s="1101" t="str">
        <f t="shared" si="19"/>
        <v>2022-4</v>
      </c>
      <c r="M69" s="1101" t="str">
        <f t="shared" si="19"/>
        <v>2022-3</v>
      </c>
      <c r="N69" s="1101" t="str">
        <f t="shared" si="19"/>
        <v>2022-2</v>
      </c>
      <c r="O69" s="1101" t="str">
        <f t="shared" si="19"/>
        <v>2022-1</v>
      </c>
      <c r="P69" s="2509"/>
      <c r="Q69" s="2509"/>
      <c r="R69" s="2509"/>
      <c r="S69" s="2509"/>
      <c r="T69" s="2509"/>
      <c r="U69" s="2509"/>
      <c r="V69" s="2509"/>
      <c r="W69" s="2509"/>
      <c r="X69" s="2509"/>
      <c r="Y69" s="2509"/>
      <c r="Z69" s="2509"/>
      <c r="AA69" s="2509"/>
      <c r="AB69" s="2509"/>
      <c r="AC69" s="2509"/>
    </row>
    <row r="70" spans="1:29" s="102" customFormat="1" ht="30" customHeight="1">
      <c r="A70" s="1837" t="s">
        <v>1889</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7"/>
      <c r="Q70" s="2438"/>
      <c r="R70" s="2438"/>
      <c r="S70" s="2438"/>
      <c r="T70" s="2438"/>
      <c r="U70" s="2438"/>
      <c r="V70" s="2438"/>
      <c r="W70" s="2438"/>
      <c r="X70" s="2438"/>
      <c r="Y70" s="2438"/>
      <c r="Z70" s="2438"/>
      <c r="AA70" s="2438"/>
      <c r="AB70" s="2438"/>
      <c r="AC70" s="2438"/>
    </row>
    <row r="71" spans="1:29" s="102" customFormat="1" ht="15.75" thickBot="1">
      <c r="A71" s="449" t="s">
        <v>1700</v>
      </c>
      <c r="B71" s="450"/>
      <c r="C71" s="451"/>
      <c r="D71" s="452"/>
      <c r="E71" s="452"/>
      <c r="F71" s="452"/>
      <c r="G71" s="452"/>
      <c r="H71" s="452"/>
      <c r="I71" s="452"/>
      <c r="J71" s="452"/>
      <c r="K71" s="452"/>
      <c r="L71" s="452"/>
      <c r="M71" s="453"/>
      <c r="N71" s="452"/>
      <c r="O71" s="889"/>
      <c r="P71" s="2507"/>
      <c r="Q71" s="2507"/>
      <c r="R71" s="2438"/>
      <c r="S71" s="2438"/>
      <c r="T71" s="2438"/>
      <c r="U71" s="2438"/>
      <c r="V71" s="2438"/>
      <c r="W71" s="2438"/>
      <c r="X71" s="2438"/>
      <c r="Y71" s="2438"/>
      <c r="Z71" s="2438"/>
      <c r="AA71" s="2438"/>
      <c r="AB71" s="2438"/>
      <c r="AC71" s="2438"/>
    </row>
    <row r="72" spans="1:29" s="102" customFormat="1" ht="15">
      <c r="A72" s="455" t="s">
        <v>1665</v>
      </c>
      <c r="B72" s="444"/>
      <c r="C72" s="456" t="s">
        <v>1760</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1703</v>
      </c>
      <c r="B74" s="460" t="s">
        <v>1669</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1672</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1673</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1674</v>
      </c>
      <c r="B87" s="460" t="s">
        <v>1704</v>
      </c>
      <c r="C87" s="504" t="s">
        <v>1705</v>
      </c>
      <c r="D87" s="504" t="s">
        <v>1706</v>
      </c>
      <c r="E87" s="504" t="s">
        <v>1707</v>
      </c>
      <c r="F87" s="504" t="s">
        <v>1708</v>
      </c>
      <c r="G87" s="504" t="s">
        <v>1709</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1890</v>
      </c>
      <c r="C89" s="509" t="s">
        <v>1705</v>
      </c>
      <c r="D89" s="509" t="s">
        <v>1706</v>
      </c>
      <c r="E89" s="509" t="s">
        <v>1707</v>
      </c>
      <c r="F89" s="509" t="s">
        <v>1708</v>
      </c>
      <c r="G89" s="509" t="s">
        <v>1709</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1805</v>
      </c>
      <c r="C91" s="509" t="s">
        <v>1705</v>
      </c>
      <c r="D91" s="509" t="s">
        <v>1706</v>
      </c>
      <c r="E91" s="509" t="s">
        <v>1707</v>
      </c>
      <c r="F91" s="509" t="s">
        <v>1708</v>
      </c>
      <c r="G91" s="509" t="s">
        <v>1709</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1710</v>
      </c>
      <c r="C93" s="509" t="s">
        <v>1705</v>
      </c>
      <c r="D93" s="509" t="s">
        <v>1706</v>
      </c>
      <c r="E93" s="509" t="s">
        <v>1707</v>
      </c>
      <c r="F93" s="509" t="s">
        <v>1708</v>
      </c>
      <c r="G93" s="509" t="s">
        <v>1709</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1891</v>
      </c>
      <c r="C95" s="509" t="s">
        <v>1705</v>
      </c>
      <c r="D95" s="509" t="s">
        <v>1706</v>
      </c>
      <c r="E95" s="509" t="s">
        <v>1707</v>
      </c>
      <c r="F95" s="509" t="s">
        <v>1708</v>
      </c>
      <c r="G95" s="509" t="s">
        <v>1709</v>
      </c>
      <c r="H95" s="509"/>
      <c r="I95" s="509"/>
      <c r="J95" s="509"/>
      <c r="K95" s="509"/>
      <c r="L95" s="618"/>
      <c r="M95" s="547"/>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1892</v>
      </c>
      <c r="C97" s="504" t="s">
        <v>1705</v>
      </c>
      <c r="D97" s="504" t="s">
        <v>1706</v>
      </c>
      <c r="E97" s="504" t="s">
        <v>1707</v>
      </c>
      <c r="F97" s="504" t="s">
        <v>1708</v>
      </c>
      <c r="G97" s="504" t="s">
        <v>1709</v>
      </c>
      <c r="H97" s="509"/>
      <c r="I97" s="509"/>
      <c r="J97" s="509"/>
      <c r="K97" s="509"/>
      <c r="L97" s="509"/>
      <c r="M97" s="547"/>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1762</v>
      </c>
      <c r="C99" s="504" t="s">
        <v>1705</v>
      </c>
      <c r="D99" s="504" t="s">
        <v>1706</v>
      </c>
      <c r="E99" s="504" t="s">
        <v>1707</v>
      </c>
      <c r="F99" s="504" t="s">
        <v>1708</v>
      </c>
      <c r="G99" s="504" t="s">
        <v>1709</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1763</v>
      </c>
      <c r="C101" s="581" t="s">
        <v>1783</v>
      </c>
      <c r="D101" s="581" t="s">
        <v>1784</v>
      </c>
      <c r="E101" s="581" t="s">
        <v>1785</v>
      </c>
      <c r="F101" s="581" t="s">
        <v>1786</v>
      </c>
      <c r="G101" s="581" t="s">
        <v>1787</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1893</v>
      </c>
      <c r="D103" s="470" t="s">
        <v>1894</v>
      </c>
      <c r="E103" s="470" t="s">
        <v>1895</v>
      </c>
      <c r="F103" s="470" t="s">
        <v>1896</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1799</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1857</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1678</v>
      </c>
      <c r="B115" s="460" t="s">
        <v>1897</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1898</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1899</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1900</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1901</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1851</v>
      </c>
      <c r="B1" s="340"/>
      <c r="C1" s="341" t="s">
        <v>1902</v>
      </c>
      <c r="D1" s="651"/>
      <c r="E1" s="651"/>
      <c r="F1" s="650" t="s">
        <v>1751</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1446</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1448</v>
      </c>
      <c r="B3" s="536" t="e">
        <f>ROUND(IF(D3="",B2*10000/'数据-汇总表'!E3,B2*10000/D3),0)</f>
        <v>#DIV/0!</v>
      </c>
      <c r="C3" s="195" t="s">
        <v>1853</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1753</v>
      </c>
      <c r="B4" s="346"/>
      <c r="C4" s="3440" t="s">
        <v>1754</v>
      </c>
      <c r="D4" s="3441"/>
      <c r="E4" s="3442" t="s">
        <v>1755</v>
      </c>
      <c r="F4" s="3443"/>
      <c r="G4" s="3440" t="s">
        <v>1756</v>
      </c>
      <c r="H4" s="3441"/>
      <c r="I4" s="3440" t="s">
        <v>1757</v>
      </c>
      <c r="J4" s="3441"/>
      <c r="K4" s="537" t="s">
        <v>1758</v>
      </c>
      <c r="L4" s="2485"/>
      <c r="M4" s="2486"/>
      <c r="N4" s="2486"/>
      <c r="O4" s="2486"/>
      <c r="P4" s="3444" t="s">
        <v>1759</v>
      </c>
      <c r="Q4" s="3445"/>
      <c r="R4" s="3450" t="s">
        <v>1755</v>
      </c>
      <c r="S4" s="3451"/>
      <c r="T4" s="3450" t="s">
        <v>1756</v>
      </c>
      <c r="U4" s="3451"/>
      <c r="V4" s="3426" t="s">
        <v>1757</v>
      </c>
      <c r="W4" s="3426"/>
      <c r="X4" s="1265"/>
      <c r="Y4" s="3450" t="s">
        <v>1759</v>
      </c>
      <c r="Z4" s="3451"/>
      <c r="AA4" s="3437" t="s">
        <v>1755</v>
      </c>
      <c r="AB4" s="3438" t="s">
        <v>1756</v>
      </c>
      <c r="AC4" s="3437" t="s">
        <v>1757</v>
      </c>
    </row>
    <row r="5" spans="1:29" ht="15">
      <c r="A5" s="348"/>
      <c r="B5" s="349"/>
      <c r="C5" s="3458" t="s">
        <v>1657</v>
      </c>
      <c r="D5" s="3459"/>
      <c r="E5" s="3465" t="s">
        <v>1658</v>
      </c>
      <c r="F5" s="3466"/>
      <c r="G5" s="3458" t="s">
        <v>1659</v>
      </c>
      <c r="H5" s="3459"/>
      <c r="I5" s="3458" t="s">
        <v>1660</v>
      </c>
      <c r="J5" s="3459"/>
      <c r="K5" s="537"/>
      <c r="L5" s="2485"/>
      <c r="M5" s="2486"/>
      <c r="N5" s="2486"/>
      <c r="O5" s="2486"/>
      <c r="P5" s="3446"/>
      <c r="Q5" s="3447"/>
      <c r="R5" s="3452"/>
      <c r="S5" s="3453"/>
      <c r="T5" s="3452"/>
      <c r="U5" s="3453"/>
      <c r="V5" s="3426"/>
      <c r="W5" s="3426"/>
      <c r="X5" s="1265"/>
      <c r="Y5" s="3452"/>
      <c r="Z5" s="3453"/>
      <c r="AA5" s="3438"/>
      <c r="AB5" s="3438"/>
      <c r="AC5" s="3438"/>
    </row>
    <row r="6" spans="1:29" ht="15.75" thickBot="1">
      <c r="A6" s="350"/>
      <c r="B6" s="351"/>
      <c r="C6" s="3489" t="s">
        <v>1903</v>
      </c>
      <c r="D6" s="3490"/>
      <c r="E6" s="3491" t="s">
        <v>1903</v>
      </c>
      <c r="F6" s="3492"/>
      <c r="G6" s="3489" t="s">
        <v>1903</v>
      </c>
      <c r="H6" s="3490"/>
      <c r="I6" s="3489" t="s">
        <v>1903</v>
      </c>
      <c r="J6" s="3490"/>
      <c r="K6" s="537" t="s">
        <v>1662</v>
      </c>
      <c r="L6" s="2485"/>
      <c r="M6" s="2486"/>
      <c r="N6" s="2486"/>
      <c r="O6" s="2486"/>
      <c r="P6" s="3448"/>
      <c r="Q6" s="3449"/>
      <c r="R6" s="3452"/>
      <c r="S6" s="3453"/>
      <c r="T6" s="3454"/>
      <c r="U6" s="3455"/>
      <c r="V6" s="3426"/>
      <c r="W6" s="3426"/>
      <c r="X6" s="1265"/>
      <c r="Y6" s="3454"/>
      <c r="Z6" s="3455"/>
      <c r="AA6" s="3439"/>
      <c r="AB6" s="3439"/>
      <c r="AC6" s="3439"/>
    </row>
    <row r="7" spans="1:29" s="102" customFormat="1" ht="15.75" thickBot="1">
      <c r="A7" s="352" t="s">
        <v>1663</v>
      </c>
      <c r="B7" s="353"/>
      <c r="C7" s="354">
        <f>'数据-取费表'!B2</f>
        <v>45677</v>
      </c>
      <c r="D7" s="355">
        <v>100</v>
      </c>
      <c r="E7" s="356"/>
      <c r="F7" s="357">
        <f>SUMIF(65:65,YEAR(E7)&amp;"-"&amp;INT((MONTH(E7)+2)/3),66:66)</f>
        <v>0</v>
      </c>
      <c r="G7" s="1822"/>
      <c r="H7" s="355">
        <f>SUMIF(65:65,YEAR(G7)&amp;"-"&amp;INT((MONTH(G7)+2)/3),66:66)</f>
        <v>0</v>
      </c>
      <c r="I7" s="1822"/>
      <c r="J7" s="355">
        <f>SUMIF(65:65,YEAR(I7)&amp;"-"&amp;INT((MONTH(I7)+2)/3),66:66)</f>
        <v>0</v>
      </c>
      <c r="K7" s="38"/>
      <c r="L7" s="2487"/>
      <c r="M7" s="2438"/>
      <c r="N7" s="2438"/>
      <c r="O7" s="2438"/>
      <c r="P7" s="3460" t="s">
        <v>1664</v>
      </c>
      <c r="Q7" s="3462"/>
      <c r="R7" s="664" t="s">
        <v>14</v>
      </c>
      <c r="S7" s="665">
        <f t="shared" ref="S7:S15" si="0">F7</f>
        <v>0</v>
      </c>
      <c r="T7" s="664" t="s">
        <v>14</v>
      </c>
      <c r="U7" s="665">
        <f t="shared" ref="U7:U15" si="1">H7</f>
        <v>0</v>
      </c>
      <c r="V7" s="664" t="s">
        <v>14</v>
      </c>
      <c r="W7" s="665">
        <f t="shared" ref="W7:W15" si="2">J7</f>
        <v>0</v>
      </c>
      <c r="X7" s="666"/>
      <c r="Y7" s="3460" t="s">
        <v>1664</v>
      </c>
      <c r="Z7" s="3461"/>
      <c r="AA7" s="50" t="e">
        <f>D7/F7</f>
        <v>#DIV/0!</v>
      </c>
      <c r="AB7" s="50" t="e">
        <f>D7/H7</f>
        <v>#DIV/0!</v>
      </c>
      <c r="AC7" s="50" t="e">
        <f>D7/J7</f>
        <v>#DIV/0!</v>
      </c>
    </row>
    <row r="8" spans="1:29" s="102" customFormat="1" ht="15.75" thickBot="1">
      <c r="A8" s="352" t="s">
        <v>1665</v>
      </c>
      <c r="B8" s="353"/>
      <c r="C8" s="358" t="s">
        <v>1666</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460" t="s">
        <v>1667</v>
      </c>
      <c r="Q8" s="3461"/>
      <c r="R8" s="664" t="s">
        <v>14</v>
      </c>
      <c r="S8" s="665">
        <f t="shared" si="0"/>
        <v>0</v>
      </c>
      <c r="T8" s="664" t="s">
        <v>14</v>
      </c>
      <c r="U8" s="665">
        <f t="shared" si="1"/>
        <v>0</v>
      </c>
      <c r="V8" s="664" t="s">
        <v>14</v>
      </c>
      <c r="W8" s="665">
        <f t="shared" si="2"/>
        <v>0</v>
      </c>
      <c r="X8" s="666"/>
      <c r="Y8" s="3460" t="s">
        <v>1667</v>
      </c>
      <c r="Z8" s="3461"/>
      <c r="AA8" s="50" t="e">
        <f t="shared" ref="AA8:AA40" si="3">D8/F8</f>
        <v>#DIV/0!</v>
      </c>
      <c r="AB8" s="50" t="e">
        <f t="shared" ref="AB8:AB40" si="4">D8/H8</f>
        <v>#DIV/0!</v>
      </c>
      <c r="AC8" s="50" t="e">
        <f t="shared" ref="AC8:AC40" si="5">D8/J8</f>
        <v>#DIV/0!</v>
      </c>
    </row>
    <row r="9" spans="1:29" s="102" customFormat="1">
      <c r="A9" s="359" t="s">
        <v>1668</v>
      </c>
      <c r="B9" s="60" t="s">
        <v>1669</v>
      </c>
      <c r="C9" s="1825"/>
      <c r="D9" s="59">
        <v>100</v>
      </c>
      <c r="E9" s="1825"/>
      <c r="F9" s="59">
        <f>SUMIF(70:70,E9,71:71)-SUMIF(70:70,C9,71:71)+100</f>
        <v>100</v>
      </c>
      <c r="G9" s="1825"/>
      <c r="H9" s="59">
        <f>SUMIF(70:70,G9,71:71)-SUMIF(70:70,C9,71:71)+100</f>
        <v>100</v>
      </c>
      <c r="I9" s="1825"/>
      <c r="J9" s="59">
        <f>SUMIF(70:70,I9,71:71)-SUMIF(70:70,C9,71:71)+100</f>
        <v>100</v>
      </c>
      <c r="K9" s="38"/>
      <c r="L9" s="2487"/>
      <c r="M9" s="2438"/>
      <c r="N9" s="2438"/>
      <c r="O9" s="2539"/>
      <c r="P9" s="3425" t="s">
        <v>1670</v>
      </c>
      <c r="Q9" s="530" t="str">
        <f t="shared" ref="Q9:Q15" si="6">B9</f>
        <v>用途</v>
      </c>
      <c r="R9" s="664" t="s">
        <v>14</v>
      </c>
      <c r="S9" s="665">
        <f t="shared" si="0"/>
        <v>100</v>
      </c>
      <c r="T9" s="664" t="s">
        <v>14</v>
      </c>
      <c r="U9" s="665">
        <f t="shared" si="1"/>
        <v>100</v>
      </c>
      <c r="V9" s="664" t="s">
        <v>14</v>
      </c>
      <c r="W9" s="665">
        <f t="shared" si="2"/>
        <v>100</v>
      </c>
      <c r="X9" s="666"/>
      <c r="Y9" s="3300" t="s">
        <v>1671</v>
      </c>
      <c r="Z9" s="50" t="str">
        <f t="shared" ref="Z9:Z15" si="7">Q9</f>
        <v>用途</v>
      </c>
      <c r="AA9" s="50">
        <f t="shared" si="3"/>
        <v>1</v>
      </c>
      <c r="AB9" s="50">
        <f t="shared" si="4"/>
        <v>1</v>
      </c>
      <c r="AC9" s="50">
        <f t="shared" si="5"/>
        <v>1</v>
      </c>
    </row>
    <row r="10" spans="1:29" s="366" customFormat="1" ht="27">
      <c r="A10" s="363"/>
      <c r="B10" s="364" t="s">
        <v>1672</v>
      </c>
      <c r="C10" s="371"/>
      <c r="D10" s="119">
        <v>100</v>
      </c>
      <c r="E10" s="371"/>
      <c r="F10" s="119">
        <f>ROUND(100/'数据-取费表'!G16,0)</f>
        <v>125</v>
      </c>
      <c r="G10" s="371"/>
      <c r="H10" s="119">
        <f>ROUND(100/'数据-取费表'!G16,0)</f>
        <v>125</v>
      </c>
      <c r="I10" s="371"/>
      <c r="J10" s="119">
        <f>ROUND(100/'数据-取费表'!G16,0)</f>
        <v>125</v>
      </c>
      <c r="K10" s="592"/>
      <c r="L10" s="2488"/>
      <c r="M10" s="2489"/>
      <c r="N10" s="2489"/>
      <c r="O10" s="2540"/>
      <c r="P10" s="3425"/>
      <c r="Q10" s="530" t="str">
        <f t="shared" si="6"/>
        <v>土地使用年限（年）</v>
      </c>
      <c r="R10" s="664" t="s">
        <v>14</v>
      </c>
      <c r="S10" s="665">
        <f t="shared" si="0"/>
        <v>125</v>
      </c>
      <c r="T10" s="664" t="s">
        <v>14</v>
      </c>
      <c r="U10" s="665">
        <f t="shared" si="1"/>
        <v>125</v>
      </c>
      <c r="V10" s="664" t="s">
        <v>14</v>
      </c>
      <c r="W10" s="665">
        <f t="shared" si="2"/>
        <v>125</v>
      </c>
      <c r="X10" s="666"/>
      <c r="Y10" s="3300"/>
      <c r="Z10" s="50" t="str">
        <f t="shared" si="7"/>
        <v>土地使用年限（年）</v>
      </c>
      <c r="AA10" s="50">
        <f t="shared" si="3"/>
        <v>0.8</v>
      </c>
      <c r="AB10" s="50">
        <f t="shared" si="4"/>
        <v>0.8</v>
      </c>
      <c r="AC10" s="50">
        <f t="shared" si="5"/>
        <v>0.8</v>
      </c>
    </row>
    <row r="11" spans="1:29" ht="15">
      <c r="A11" s="367"/>
      <c r="B11" s="364" t="s">
        <v>1673</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425"/>
      <c r="Q11" s="530" t="str">
        <f t="shared" si="6"/>
        <v>容积率</v>
      </c>
      <c r="R11" s="664" t="s">
        <v>14</v>
      </c>
      <c r="S11" s="665" t="e">
        <f t="shared" si="0"/>
        <v>#N/A</v>
      </c>
      <c r="T11" s="664" t="s">
        <v>14</v>
      </c>
      <c r="U11" s="665" t="e">
        <f t="shared" si="1"/>
        <v>#N/A</v>
      </c>
      <c r="V11" s="664" t="s">
        <v>14</v>
      </c>
      <c r="W11" s="665" t="e">
        <f t="shared" si="2"/>
        <v>#N/A</v>
      </c>
      <c r="X11" s="666"/>
      <c r="Y11" s="3300"/>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9"/>
      <c r="P12" s="3425"/>
      <c r="Q12" s="530">
        <f t="shared" si="6"/>
        <v>111</v>
      </c>
      <c r="R12" s="664" t="s">
        <v>14</v>
      </c>
      <c r="S12" s="665">
        <f t="shared" si="0"/>
        <v>100</v>
      </c>
      <c r="T12" s="664" t="s">
        <v>14</v>
      </c>
      <c r="U12" s="665">
        <f t="shared" si="1"/>
        <v>100</v>
      </c>
      <c r="V12" s="664" t="s">
        <v>14</v>
      </c>
      <c r="W12" s="665">
        <f t="shared" si="2"/>
        <v>100</v>
      </c>
      <c r="X12" s="666"/>
      <c r="Y12" s="3300"/>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425"/>
      <c r="Q13" s="530">
        <f t="shared" si="6"/>
        <v>111</v>
      </c>
      <c r="R13" s="664" t="s">
        <v>14</v>
      </c>
      <c r="S13" s="665">
        <f t="shared" si="0"/>
        <v>100</v>
      </c>
      <c r="T13" s="664" t="s">
        <v>14</v>
      </c>
      <c r="U13" s="665">
        <f t="shared" si="1"/>
        <v>100</v>
      </c>
      <c r="V13" s="664" t="s">
        <v>14</v>
      </c>
      <c r="W13" s="665">
        <f t="shared" si="2"/>
        <v>100</v>
      </c>
      <c r="X13" s="666"/>
      <c r="Y13" s="3300"/>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425"/>
      <c r="Q14" s="530">
        <f t="shared" si="6"/>
        <v>111</v>
      </c>
      <c r="R14" s="664" t="s">
        <v>14</v>
      </c>
      <c r="S14" s="665">
        <f t="shared" si="0"/>
        <v>100</v>
      </c>
      <c r="T14" s="664" t="s">
        <v>14</v>
      </c>
      <c r="U14" s="665">
        <f t="shared" si="1"/>
        <v>100</v>
      </c>
      <c r="V14" s="664" t="s">
        <v>14</v>
      </c>
      <c r="W14" s="665">
        <f t="shared" si="2"/>
        <v>100</v>
      </c>
      <c r="X14" s="666"/>
      <c r="Y14" s="3300"/>
      <c r="Z14" s="50">
        <f t="shared" si="7"/>
        <v>111</v>
      </c>
      <c r="AA14" s="50">
        <f t="shared" si="3"/>
        <v>1</v>
      </c>
      <c r="AB14" s="50">
        <f t="shared" si="4"/>
        <v>1</v>
      </c>
      <c r="AC14" s="50">
        <f t="shared" si="5"/>
        <v>1</v>
      </c>
    </row>
    <row r="15" spans="1:29" ht="15">
      <c r="A15" s="379" t="s">
        <v>1674</v>
      </c>
      <c r="B15" s="554" t="s">
        <v>1904</v>
      </c>
      <c r="C15" s="1819">
        <f>估价对象房地状况!G15</f>
        <v>0</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427" t="s">
        <v>1675</v>
      </c>
      <c r="Q15" s="1263" t="str">
        <f t="shared" si="6"/>
        <v>产业集聚程度</v>
      </c>
      <c r="R15" s="667" t="s">
        <v>14</v>
      </c>
      <c r="S15" s="668">
        <f t="shared" si="0"/>
        <v>100</v>
      </c>
      <c r="T15" s="667" t="s">
        <v>14</v>
      </c>
      <c r="U15" s="668">
        <f t="shared" si="1"/>
        <v>100</v>
      </c>
      <c r="V15" s="667" t="s">
        <v>14</v>
      </c>
      <c r="W15" s="668">
        <f t="shared" si="2"/>
        <v>100</v>
      </c>
      <c r="X15" s="1265"/>
      <c r="Y15" s="3427" t="s">
        <v>1675</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1"/>
      <c r="P16" s="3428"/>
      <c r="Q16" s="1263"/>
      <c r="R16" s="667"/>
      <c r="S16" s="668"/>
      <c r="T16" s="667"/>
      <c r="U16" s="668"/>
      <c r="V16" s="667"/>
      <c r="W16" s="668"/>
      <c r="X16" s="1265"/>
      <c r="Y16" s="3428"/>
      <c r="Z16" s="1264"/>
      <c r="AA16" s="1264">
        <v>1</v>
      </c>
      <c r="AB16" s="1264">
        <v>1</v>
      </c>
      <c r="AC16" s="1264">
        <v>1</v>
      </c>
    </row>
    <row r="17" spans="1:29" ht="15">
      <c r="A17" s="367"/>
      <c r="B17" s="556" t="s">
        <v>1817</v>
      </c>
      <c r="C17" s="1754">
        <f>估价对象房地状况!G16</f>
        <v>0</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428"/>
      <c r="Q17" s="1263" t="str">
        <f>B17</f>
        <v>交通便捷度</v>
      </c>
      <c r="R17" s="667" t="s">
        <v>14</v>
      </c>
      <c r="S17" s="668">
        <f>F17</f>
        <v>100</v>
      </c>
      <c r="T17" s="667" t="s">
        <v>14</v>
      </c>
      <c r="U17" s="668">
        <f>H17</f>
        <v>100</v>
      </c>
      <c r="V17" s="667" t="s">
        <v>14</v>
      </c>
      <c r="W17" s="668">
        <f>J17</f>
        <v>100</v>
      </c>
      <c r="X17" s="1265"/>
      <c r="Y17" s="3428"/>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1"/>
      <c r="P18" s="3428"/>
      <c r="Q18" s="1263"/>
      <c r="R18" s="667"/>
      <c r="S18" s="668"/>
      <c r="T18" s="667"/>
      <c r="U18" s="668"/>
      <c r="V18" s="667"/>
      <c r="W18" s="668"/>
      <c r="X18" s="1265"/>
      <c r="Y18" s="3428"/>
      <c r="Z18" s="1264"/>
      <c r="AA18" s="1264">
        <v>1</v>
      </c>
      <c r="AB18" s="1264">
        <v>1</v>
      </c>
      <c r="AC18" s="1264">
        <v>1</v>
      </c>
    </row>
    <row r="19" spans="1:29" ht="15">
      <c r="A19" s="367"/>
      <c r="B19" s="556" t="s">
        <v>1855</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428"/>
      <c r="Q19" s="1263" t="str">
        <f t="shared" ref="Q19:Q33" si="8">B19</f>
        <v>区域土地利用方向</v>
      </c>
      <c r="R19" s="667" t="s">
        <v>14</v>
      </c>
      <c r="S19" s="668">
        <f>F19</f>
        <v>100</v>
      </c>
      <c r="T19" s="667" t="s">
        <v>14</v>
      </c>
      <c r="U19" s="668">
        <f>H19</f>
        <v>100</v>
      </c>
      <c r="V19" s="667" t="s">
        <v>14</v>
      </c>
      <c r="W19" s="668">
        <f>J19</f>
        <v>100</v>
      </c>
      <c r="X19" s="1265"/>
      <c r="Y19" s="3428"/>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1"/>
      <c r="P20" s="3428"/>
      <c r="Q20" s="1263"/>
      <c r="R20" s="667"/>
      <c r="S20" s="668"/>
      <c r="T20" s="667"/>
      <c r="U20" s="668"/>
      <c r="V20" s="667"/>
      <c r="W20" s="668"/>
      <c r="X20" s="1265"/>
      <c r="Y20" s="3428"/>
      <c r="Z20" s="1264"/>
      <c r="AA20" s="1264"/>
      <c r="AB20" s="1264"/>
      <c r="AC20" s="1264"/>
    </row>
    <row r="21" spans="1:29" ht="15">
      <c r="A21" s="348"/>
      <c r="B21" s="556" t="s">
        <v>1905</v>
      </c>
      <c r="C21" s="1754">
        <f>估价对象房地状况!G18</f>
        <v>0</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428"/>
      <c r="Q21" s="1263" t="str">
        <f t="shared" si="8"/>
        <v>环境状况</v>
      </c>
      <c r="R21" s="667" t="s">
        <v>14</v>
      </c>
      <c r="S21" s="668">
        <f>F21</f>
        <v>100</v>
      </c>
      <c r="T21" s="667" t="s">
        <v>14</v>
      </c>
      <c r="U21" s="668">
        <f>H21</f>
        <v>100</v>
      </c>
      <c r="V21" s="667" t="s">
        <v>14</v>
      </c>
      <c r="W21" s="668">
        <f>J21</f>
        <v>100</v>
      </c>
      <c r="X21" s="1265"/>
      <c r="Y21" s="3428"/>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1"/>
      <c r="P22" s="3428"/>
      <c r="Q22" s="1263"/>
      <c r="R22" s="667"/>
      <c r="S22" s="668"/>
      <c r="T22" s="667"/>
      <c r="U22" s="668"/>
      <c r="V22" s="667"/>
      <c r="W22" s="668"/>
      <c r="X22" s="1265"/>
      <c r="Y22" s="3428"/>
      <c r="Z22" s="1264"/>
      <c r="AA22" s="1264">
        <v>1</v>
      </c>
      <c r="AB22" s="1264">
        <v>1</v>
      </c>
      <c r="AC22" s="1264">
        <v>1</v>
      </c>
    </row>
    <row r="23" spans="1:29" s="102" customFormat="1" ht="15">
      <c r="A23" s="443"/>
      <c r="B23" s="557" t="s">
        <v>1762</v>
      </c>
      <c r="C23" s="1754">
        <f>估价对象房地状况!G19</f>
        <v>0</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9"/>
      <c r="P23" s="3428"/>
      <c r="Q23" s="530" t="str">
        <f t="shared" si="8"/>
        <v>公共配套设施</v>
      </c>
      <c r="R23" s="664" t="s">
        <v>14</v>
      </c>
      <c r="S23" s="665">
        <f>F23</f>
        <v>100</v>
      </c>
      <c r="T23" s="664" t="s">
        <v>14</v>
      </c>
      <c r="U23" s="665">
        <f>H23</f>
        <v>100</v>
      </c>
      <c r="V23" s="664" t="s">
        <v>14</v>
      </c>
      <c r="W23" s="665">
        <f>J23</f>
        <v>100</v>
      </c>
      <c r="X23" s="666"/>
      <c r="Y23" s="3428"/>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7"/>
      <c r="M24" s="2438"/>
      <c r="N24" s="2438"/>
      <c r="O24" s="2539"/>
      <c r="P24" s="3428"/>
      <c r="Q24" s="530"/>
      <c r="R24" s="664"/>
      <c r="S24" s="665"/>
      <c r="T24" s="664"/>
      <c r="U24" s="665"/>
      <c r="V24" s="664"/>
      <c r="W24" s="665"/>
      <c r="X24" s="666"/>
      <c r="Y24" s="3428"/>
      <c r="Z24" s="50"/>
      <c r="AA24" s="50">
        <v>1</v>
      </c>
      <c r="AB24" s="50">
        <v>1</v>
      </c>
      <c r="AC24" s="50">
        <v>1</v>
      </c>
    </row>
    <row r="25" spans="1:29" s="102" customFormat="1" ht="15">
      <c r="A25" s="443"/>
      <c r="B25" s="557" t="s">
        <v>1763</v>
      </c>
      <c r="C25" s="1754">
        <f>估价对象房地状况!G20</f>
        <v>0</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9"/>
      <c r="P25" s="3428"/>
      <c r="Q25" s="530" t="str">
        <f t="shared" ref="Q25" si="9">B25</f>
        <v>基础设施水平</v>
      </c>
      <c r="R25" s="664" t="s">
        <v>14</v>
      </c>
      <c r="S25" s="665">
        <f>F25</f>
        <v>100</v>
      </c>
      <c r="T25" s="664" t="s">
        <v>14</v>
      </c>
      <c r="U25" s="665">
        <f>H25</f>
        <v>100</v>
      </c>
      <c r="V25" s="664" t="s">
        <v>14</v>
      </c>
      <c r="W25" s="665">
        <f>J25</f>
        <v>100</v>
      </c>
      <c r="X25" s="666"/>
      <c r="Y25" s="3428"/>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7"/>
      <c r="M26" s="2438"/>
      <c r="N26" s="2438"/>
      <c r="O26" s="2539"/>
      <c r="P26" s="3428"/>
      <c r="Q26" s="530"/>
      <c r="R26" s="664"/>
      <c r="S26" s="665"/>
      <c r="T26" s="664"/>
      <c r="U26" s="665"/>
      <c r="V26" s="664"/>
      <c r="W26" s="665"/>
      <c r="X26" s="666"/>
      <c r="Y26" s="3428"/>
      <c r="Z26" s="50"/>
      <c r="AA26" s="50">
        <v>1</v>
      </c>
      <c r="AB26" s="50">
        <v>1</v>
      </c>
      <c r="AC26" s="50">
        <v>1</v>
      </c>
    </row>
    <row r="27" spans="1:29" ht="15">
      <c r="A27" s="367"/>
      <c r="B27" s="401" t="s">
        <v>1764</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428"/>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28"/>
      <c r="Z27" s="1264" t="str">
        <f t="shared" ref="Z27:Z40" si="13">Q27</f>
        <v>临街状况</v>
      </c>
      <c r="AA27" s="1264">
        <f t="shared" si="3"/>
        <v>1</v>
      </c>
      <c r="AB27" s="1264">
        <f t="shared" si="4"/>
        <v>1</v>
      </c>
      <c r="AC27" s="1264">
        <f t="shared" si="5"/>
        <v>1</v>
      </c>
    </row>
    <row r="28" spans="1:29" ht="27">
      <c r="A28" s="367"/>
      <c r="B28" s="557" t="s">
        <v>1799</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428"/>
      <c r="Q28" s="1263" t="str">
        <f t="shared" si="8"/>
        <v>毗邻道路的类型与等级</v>
      </c>
      <c r="R28" s="667" t="s">
        <v>14</v>
      </c>
      <c r="S28" s="668">
        <f t="shared" si="10"/>
        <v>100</v>
      </c>
      <c r="T28" s="667" t="s">
        <v>14</v>
      </c>
      <c r="U28" s="668">
        <f t="shared" si="11"/>
        <v>100</v>
      </c>
      <c r="V28" s="667" t="s">
        <v>14</v>
      </c>
      <c r="W28" s="668">
        <f t="shared" si="12"/>
        <v>100</v>
      </c>
      <c r="X28" s="1265"/>
      <c r="Y28" s="3428"/>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1"/>
      <c r="P29" s="3428"/>
      <c r="Q29" s="1263"/>
      <c r="R29" s="667"/>
      <c r="S29" s="668"/>
      <c r="T29" s="667"/>
      <c r="U29" s="668"/>
      <c r="V29" s="667"/>
      <c r="W29" s="668"/>
      <c r="X29" s="1265"/>
      <c r="Y29" s="3428"/>
      <c r="Z29" s="1264"/>
      <c r="AA29" s="1264">
        <v>1</v>
      </c>
      <c r="AB29" s="1264">
        <v>1</v>
      </c>
      <c r="AC29" s="1264">
        <v>1</v>
      </c>
    </row>
    <row r="30" spans="1:29" ht="15">
      <c r="A30" s="367"/>
      <c r="B30" s="119" t="s">
        <v>1857</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428"/>
      <c r="Q30" s="1263" t="str">
        <f t="shared" si="8"/>
        <v>土地级别</v>
      </c>
      <c r="R30" s="667" t="s">
        <v>14</v>
      </c>
      <c r="S30" s="668">
        <f t="shared" si="10"/>
        <v>100</v>
      </c>
      <c r="T30" s="667" t="s">
        <v>14</v>
      </c>
      <c r="U30" s="668">
        <f t="shared" si="11"/>
        <v>100</v>
      </c>
      <c r="V30" s="667" t="s">
        <v>14</v>
      </c>
      <c r="W30" s="668">
        <f t="shared" si="12"/>
        <v>100</v>
      </c>
      <c r="X30" s="1265"/>
      <c r="Y30" s="3428"/>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428"/>
      <c r="Q31" s="1263">
        <f t="shared" si="8"/>
        <v>111</v>
      </c>
      <c r="R31" s="667" t="s">
        <v>14</v>
      </c>
      <c r="S31" s="668">
        <f t="shared" si="10"/>
        <v>100</v>
      </c>
      <c r="T31" s="667" t="s">
        <v>14</v>
      </c>
      <c r="U31" s="668">
        <f t="shared" si="11"/>
        <v>100</v>
      </c>
      <c r="V31" s="667" t="s">
        <v>14</v>
      </c>
      <c r="W31" s="668">
        <f t="shared" si="12"/>
        <v>100</v>
      </c>
      <c r="X31" s="1265"/>
      <c r="Y31" s="3428"/>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82" t="s">
        <v>1680</v>
      </c>
      <c r="Q32" s="1263">
        <f t="shared" si="8"/>
        <v>111</v>
      </c>
      <c r="R32" s="667" t="s">
        <v>14</v>
      </c>
      <c r="S32" s="668">
        <f t="shared" si="10"/>
        <v>100</v>
      </c>
      <c r="T32" s="667" t="s">
        <v>14</v>
      </c>
      <c r="U32" s="668">
        <f t="shared" si="11"/>
        <v>100</v>
      </c>
      <c r="V32" s="667" t="s">
        <v>14</v>
      </c>
      <c r="W32" s="668">
        <f t="shared" si="12"/>
        <v>100</v>
      </c>
      <c r="X32" s="1265"/>
      <c r="Y32" s="3432" t="s">
        <v>1680</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432"/>
      <c r="Q33" s="1263">
        <f t="shared" si="8"/>
        <v>111</v>
      </c>
      <c r="R33" s="669" t="s">
        <v>14</v>
      </c>
      <c r="S33" s="670">
        <f t="shared" si="10"/>
        <v>100</v>
      </c>
      <c r="T33" s="669" t="s">
        <v>14</v>
      </c>
      <c r="U33" s="670">
        <f t="shared" si="11"/>
        <v>100</v>
      </c>
      <c r="V33" s="669" t="s">
        <v>14</v>
      </c>
      <c r="W33" s="670">
        <f t="shared" si="12"/>
        <v>100</v>
      </c>
      <c r="X33" s="671"/>
      <c r="Y33" s="3432"/>
      <c r="Z33" s="672">
        <f t="shared" si="13"/>
        <v>111</v>
      </c>
      <c r="AA33" s="1264">
        <f t="shared" si="3"/>
        <v>1</v>
      </c>
      <c r="AB33" s="1264">
        <f t="shared" si="4"/>
        <v>1</v>
      </c>
      <c r="AC33" s="1264">
        <f t="shared" si="5"/>
        <v>1</v>
      </c>
    </row>
    <row r="34" spans="1:31" ht="15">
      <c r="A34" s="379" t="s">
        <v>1678</v>
      </c>
      <c r="B34" s="395" t="s">
        <v>1858</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432"/>
      <c r="Q34" s="1263" t="str">
        <f>B34</f>
        <v>宗地面积</v>
      </c>
      <c r="R34" s="667" t="s">
        <v>14</v>
      </c>
      <c r="S34" s="668" t="e">
        <f t="shared" si="10"/>
        <v>#N/A</v>
      </c>
      <c r="T34" s="667" t="s">
        <v>14</v>
      </c>
      <c r="U34" s="668" t="e">
        <f t="shared" si="11"/>
        <v>#N/A</v>
      </c>
      <c r="V34" s="667" t="s">
        <v>14</v>
      </c>
      <c r="W34" s="668" t="e">
        <f t="shared" si="12"/>
        <v>#N/A</v>
      </c>
      <c r="X34" s="1265"/>
      <c r="Y34" s="3432"/>
      <c r="Z34" s="1264" t="str">
        <f t="shared" si="13"/>
        <v>宗地面积</v>
      </c>
      <c r="AA34" s="1264" t="e">
        <f t="shared" si="3"/>
        <v>#N/A</v>
      </c>
      <c r="AB34" s="1264" t="e">
        <f t="shared" si="4"/>
        <v>#N/A</v>
      </c>
      <c r="AC34" s="1264" t="e">
        <f t="shared" si="5"/>
        <v>#N/A</v>
      </c>
    </row>
    <row r="35" spans="1:31" ht="15">
      <c r="A35" s="409"/>
      <c r="B35" s="364" t="s">
        <v>1859</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1"/>
      <c r="P35" s="3432"/>
      <c r="Q35" s="1263" t="str">
        <f t="shared" ref="Q35:Q40" si="14">B35</f>
        <v>宗地形状</v>
      </c>
      <c r="R35" s="667" t="s">
        <v>14</v>
      </c>
      <c r="S35" s="668">
        <f t="shared" si="10"/>
        <v>100</v>
      </c>
      <c r="T35" s="667" t="s">
        <v>14</v>
      </c>
      <c r="U35" s="668">
        <f t="shared" si="11"/>
        <v>100</v>
      </c>
      <c r="V35" s="667" t="s">
        <v>14</v>
      </c>
      <c r="W35" s="668">
        <f t="shared" si="12"/>
        <v>100</v>
      </c>
      <c r="X35" s="1265"/>
      <c r="Y35" s="3432"/>
      <c r="Z35" s="1264" t="str">
        <f t="shared" si="13"/>
        <v>宗地形状</v>
      </c>
      <c r="AA35" s="1264">
        <f t="shared" si="3"/>
        <v>1</v>
      </c>
      <c r="AB35" s="1264">
        <f t="shared" si="4"/>
        <v>1</v>
      </c>
      <c r="AC35" s="1264">
        <f t="shared" si="5"/>
        <v>1</v>
      </c>
    </row>
    <row r="36" spans="1:31" s="102" customFormat="1" ht="15">
      <c r="A36" s="410"/>
      <c r="B36" s="364" t="s">
        <v>1861</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7"/>
      <c r="M36" s="2438"/>
      <c r="N36" s="2438"/>
      <c r="O36" s="2539"/>
      <c r="P36" s="3432"/>
      <c r="Q36" s="1263" t="str">
        <f t="shared" si="14"/>
        <v>宗地开发程度</v>
      </c>
      <c r="R36" s="664" t="s">
        <v>14</v>
      </c>
      <c r="S36" s="665">
        <f t="shared" si="10"/>
        <v>100</v>
      </c>
      <c r="T36" s="664" t="s">
        <v>14</v>
      </c>
      <c r="U36" s="665">
        <f t="shared" si="11"/>
        <v>100</v>
      </c>
      <c r="V36" s="664" t="s">
        <v>14</v>
      </c>
      <c r="W36" s="665">
        <f t="shared" si="12"/>
        <v>100</v>
      </c>
      <c r="X36" s="666"/>
      <c r="Y36" s="3432"/>
      <c r="Z36" s="50" t="str">
        <f t="shared" si="13"/>
        <v>宗地开发程度</v>
      </c>
      <c r="AA36" s="50">
        <f t="shared" si="3"/>
        <v>1</v>
      </c>
      <c r="AB36" s="50">
        <f t="shared" si="4"/>
        <v>1</v>
      </c>
      <c r="AC36" s="50">
        <f t="shared" si="5"/>
        <v>1</v>
      </c>
    </row>
    <row r="37" spans="1:31" ht="15">
      <c r="A37" s="409"/>
      <c r="B37" s="364" t="s">
        <v>1862</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1"/>
      <c r="P37" s="3432" t="s">
        <v>1680</v>
      </c>
      <c r="Q37" s="1263" t="str">
        <f t="shared" si="14"/>
        <v>工程地质条件</v>
      </c>
      <c r="R37" s="667" t="s">
        <v>14</v>
      </c>
      <c r="S37" s="668">
        <f t="shared" si="10"/>
        <v>100</v>
      </c>
      <c r="T37" s="667" t="s">
        <v>14</v>
      </c>
      <c r="U37" s="668">
        <f t="shared" si="11"/>
        <v>100</v>
      </c>
      <c r="V37" s="667" t="s">
        <v>14</v>
      </c>
      <c r="W37" s="668">
        <f t="shared" si="12"/>
        <v>100</v>
      </c>
      <c r="X37" s="1265"/>
      <c r="Y37" s="3432" t="s">
        <v>1680</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432"/>
      <c r="Q38" s="1263">
        <f t="shared" si="14"/>
        <v>111</v>
      </c>
      <c r="R38" s="667" t="s">
        <v>14</v>
      </c>
      <c r="S38" s="668">
        <f t="shared" si="10"/>
        <v>100</v>
      </c>
      <c r="T38" s="667" t="s">
        <v>14</v>
      </c>
      <c r="U38" s="668">
        <f t="shared" si="11"/>
        <v>100</v>
      </c>
      <c r="V38" s="667" t="s">
        <v>14</v>
      </c>
      <c r="W38" s="668">
        <f t="shared" si="12"/>
        <v>100</v>
      </c>
      <c r="X38" s="1265"/>
      <c r="Y38" s="3432"/>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432"/>
      <c r="Q39" s="1263">
        <f t="shared" si="14"/>
        <v>111</v>
      </c>
      <c r="R39" s="667" t="s">
        <v>14</v>
      </c>
      <c r="S39" s="668">
        <f t="shared" si="10"/>
        <v>100</v>
      </c>
      <c r="T39" s="667" t="s">
        <v>14</v>
      </c>
      <c r="U39" s="668">
        <f t="shared" si="11"/>
        <v>100</v>
      </c>
      <c r="V39" s="667" t="s">
        <v>14</v>
      </c>
      <c r="W39" s="668">
        <f t="shared" si="12"/>
        <v>100</v>
      </c>
      <c r="X39" s="1265"/>
      <c r="Y39" s="3432"/>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432"/>
      <c r="Q40" s="1263">
        <f t="shared" si="14"/>
        <v>111</v>
      </c>
      <c r="R40" s="669" t="s">
        <v>14</v>
      </c>
      <c r="S40" s="670">
        <f t="shared" si="10"/>
        <v>100</v>
      </c>
      <c r="T40" s="669" t="s">
        <v>14</v>
      </c>
      <c r="U40" s="670">
        <f t="shared" si="11"/>
        <v>100</v>
      </c>
      <c r="V40" s="669" t="s">
        <v>14</v>
      </c>
      <c r="W40" s="670">
        <f t="shared" si="12"/>
        <v>100</v>
      </c>
      <c r="X40" s="671"/>
      <c r="Y40" s="3432"/>
      <c r="Z40" s="672">
        <f t="shared" si="13"/>
        <v>111</v>
      </c>
      <c r="AA40" s="1264">
        <f t="shared" si="3"/>
        <v>1</v>
      </c>
      <c r="AB40" s="1264">
        <f t="shared" si="4"/>
        <v>1</v>
      </c>
      <c r="AC40" s="1264">
        <f t="shared" si="5"/>
        <v>1</v>
      </c>
    </row>
    <row r="41" spans="1:31" ht="15">
      <c r="A41" s="416" t="s">
        <v>1828</v>
      </c>
      <c r="B41" s="1830" t="s">
        <v>1906</v>
      </c>
      <c r="C41" s="602" t="s">
        <v>0</v>
      </c>
      <c r="D41" s="418"/>
      <c r="E41" s="419"/>
      <c r="F41" s="420"/>
      <c r="G41" s="421"/>
      <c r="H41" s="422"/>
      <c r="I41" s="419"/>
      <c r="J41" s="422"/>
      <c r="K41" s="674"/>
      <c r="L41" s="2493"/>
      <c r="M41" s="2486"/>
      <c r="N41" s="2486"/>
      <c r="O41" s="2486"/>
      <c r="P41" s="3425" t="str">
        <f>A41</f>
        <v>成交单价</v>
      </c>
      <c r="Q41" s="3425"/>
      <c r="R41" s="3426">
        <f>E41</f>
        <v>0</v>
      </c>
      <c r="S41" s="3426"/>
      <c r="T41" s="3426">
        <f>G41</f>
        <v>0</v>
      </c>
      <c r="U41" s="3426"/>
      <c r="V41" s="3426">
        <f>I41</f>
        <v>0</v>
      </c>
      <c r="W41" s="3426"/>
      <c r="X41" s="385"/>
      <c r="Y41" s="673"/>
      <c r="Z41" s="385"/>
      <c r="AA41" s="385"/>
      <c r="AB41" s="385"/>
      <c r="AC41" s="385"/>
    </row>
    <row r="42" spans="1:31" ht="15.75" thickBot="1">
      <c r="A42" s="423" t="s">
        <v>1777</v>
      </c>
      <c r="B42" s="603"/>
      <c r="C42" s="426" t="e">
        <f>R43</f>
        <v>#DIV/0!</v>
      </c>
      <c r="D42" s="2141" t="s">
        <v>2122</v>
      </c>
      <c r="E42" s="426" t="e">
        <f>R42</f>
        <v>#DIV/0!</v>
      </c>
      <c r="F42" s="2142"/>
      <c r="G42" s="425" t="e">
        <f>T42</f>
        <v>#DIV/0!</v>
      </c>
      <c r="H42" s="2142"/>
      <c r="I42" s="426" t="e">
        <f>V42</f>
        <v>#DIV/0!</v>
      </c>
      <c r="J42" s="2142"/>
      <c r="K42" s="2144">
        <f>F42+H42+J42</f>
        <v>0</v>
      </c>
      <c r="L42" s="2493"/>
      <c r="M42" s="2486"/>
      <c r="N42" s="2486"/>
      <c r="O42" s="2486"/>
      <c r="P42" s="3425" t="str">
        <f>A42</f>
        <v>比较价值（元/平方米）</v>
      </c>
      <c r="Q42" s="3425"/>
      <c r="R42" s="3486" t="e">
        <f>ROUND(PRODUCT(R41,AA7:AA40),0)</f>
        <v>#DIV/0!</v>
      </c>
      <c r="S42" s="3486"/>
      <c r="T42" s="3486" t="e">
        <f>ROUND(PRODUCT(T41,AB7:AB40),0)</f>
        <v>#DIV/0!</v>
      </c>
      <c r="U42" s="3486"/>
      <c r="V42" s="3486" t="e">
        <f>ROUND(PRODUCT(V41,AC7:AC40),0)</f>
        <v>#DIV/0!</v>
      </c>
      <c r="W42" s="3486"/>
      <c r="X42" s="385"/>
      <c r="Y42" s="385"/>
      <c r="Z42" s="385"/>
      <c r="AA42" s="385"/>
      <c r="AB42" s="385"/>
      <c r="AC42" s="385"/>
    </row>
    <row r="43" spans="1:31" ht="15.75" thickBot="1">
      <c r="A43" s="427" t="s">
        <v>1778</v>
      </c>
      <c r="B43" s="428"/>
      <c r="C43" s="429" t="e">
        <f>R43</f>
        <v>#DIV/0!</v>
      </c>
      <c r="D43" s="429"/>
      <c r="E43" s="429"/>
      <c r="F43" s="429"/>
      <c r="G43" s="429"/>
      <c r="H43" s="429"/>
      <c r="I43" s="429"/>
      <c r="J43" s="429"/>
      <c r="K43" s="675"/>
      <c r="L43" s="2493"/>
      <c r="M43" s="2486"/>
      <c r="N43" s="2486"/>
      <c r="O43" s="2486"/>
      <c r="P43" s="3422" t="str">
        <f>A43</f>
        <v>估价对象XX用房的比较价值（楼面单价，元/平方米）</v>
      </c>
      <c r="Q43" s="3423"/>
      <c r="R43" s="3487" t="e">
        <f>ROUND(IF(D42="简单平均",AVERAGE(R42:W42),R42*F42+T42*H42+V42*J42),0)</f>
        <v>#DIV/0!</v>
      </c>
      <c r="S43" s="3487"/>
      <c r="T43" s="3487"/>
      <c r="U43" s="3487"/>
      <c r="V43" s="3487"/>
      <c r="W43" s="3487"/>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1779</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1780</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1781</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1865</v>
      </c>
      <c r="B50" s="605" t="s">
        <v>1866</v>
      </c>
      <c r="C50" s="1831" t="s">
        <v>1867</v>
      </c>
      <c r="D50" s="1832" t="s">
        <v>1868</v>
      </c>
      <c r="E50" s="606" t="s">
        <v>1869</v>
      </c>
      <c r="F50" s="607" t="s">
        <v>1870</v>
      </c>
      <c r="G50" s="3440" t="s">
        <v>1871</v>
      </c>
      <c r="H50" s="3488"/>
      <c r="I50" s="1264" t="s">
        <v>1907</v>
      </c>
      <c r="J50" s="1264">
        <f>项目基本情况!F35</f>
        <v>0</v>
      </c>
      <c r="K50" s="1834" t="s">
        <v>1873</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1874</v>
      </c>
      <c r="B51" s="609" t="e">
        <f>C43</f>
        <v>#DIV/0!</v>
      </c>
      <c r="C51" s="610">
        <v>1</v>
      </c>
      <c r="D51" s="890">
        <v>1</v>
      </c>
      <c r="E51" s="610">
        <f>'数据-汇总表'!E8+'数据-汇总表'!E9</f>
        <v>65627.570000000007</v>
      </c>
      <c r="F51" s="611" t="e">
        <f t="shared" ref="F51:F60" si="15">ROUND(B51*E51/10000,0)</f>
        <v>#DIV/0!</v>
      </c>
      <c r="G51" s="3436"/>
      <c r="H51" s="3425"/>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1875</v>
      </c>
      <c r="B52" s="210" t="e">
        <f>ROUND($C$43*C52*D52,0)</f>
        <v>#DIV/0!</v>
      </c>
      <c r="C52" s="163">
        <f t="shared" ref="C52:C60" si="16">IF($C$50="北京市系数",I52,J52)</f>
        <v>0</v>
      </c>
      <c r="D52" s="891">
        <v>0.25</v>
      </c>
      <c r="E52" s="614"/>
      <c r="F52" s="611" t="e">
        <f t="shared" si="15"/>
        <v>#DIV/0!</v>
      </c>
      <c r="G52" s="2749" t="s">
        <v>1876</v>
      </c>
      <c r="H52" s="834">
        <f>项目基本情况!B37</f>
        <v>0</v>
      </c>
      <c r="I52" s="727">
        <f>SUMIF(修正!A57:A68,H52,修正!B57:B68)</f>
        <v>0</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1877</v>
      </c>
      <c r="B53" s="210" t="e">
        <f t="shared" ref="B53:B60" si="17">ROUND($C$43*C53*D53,0)</f>
        <v>#DIV/0!</v>
      </c>
      <c r="C53" s="163">
        <f t="shared" si="16"/>
        <v>0</v>
      </c>
      <c r="D53" s="891">
        <v>0.25</v>
      </c>
      <c r="E53" s="614"/>
      <c r="F53" s="611" t="e">
        <f t="shared" si="15"/>
        <v>#DIV/0!</v>
      </c>
      <c r="G53" s="2750"/>
      <c r="H53" s="834">
        <f>项目基本情况!B37</f>
        <v>0</v>
      </c>
      <c r="I53" s="727">
        <f>SUMIF(修正!A57:A68,H53,修正!C57:C68)</f>
        <v>0</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1878</v>
      </c>
      <c r="B54" s="210" t="e">
        <f t="shared" si="17"/>
        <v>#DIV/0!</v>
      </c>
      <c r="C54" s="163">
        <f t="shared" si="16"/>
        <v>0</v>
      </c>
      <c r="D54" s="891">
        <v>0.25</v>
      </c>
      <c r="E54" s="614"/>
      <c r="F54" s="611" t="e">
        <f t="shared" si="15"/>
        <v>#DIV/0!</v>
      </c>
      <c r="G54" s="2750"/>
      <c r="H54" s="834">
        <f>项目基本情况!B37</f>
        <v>0</v>
      </c>
      <c r="I54" s="727">
        <f>SUMIF(修正!A57:A68,H54,修正!D57:D68)</f>
        <v>0</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1879</v>
      </c>
      <c r="B56" s="210" t="e">
        <f t="shared" si="17"/>
        <v>#DIV/0!</v>
      </c>
      <c r="C56" s="163">
        <f t="shared" si="16"/>
        <v>0</v>
      </c>
      <c r="D56" s="891">
        <v>0.25</v>
      </c>
      <c r="E56" s="209">
        <f>'数据-汇总表'!E11</f>
        <v>0</v>
      </c>
      <c r="F56" s="611" t="e">
        <f t="shared" si="15"/>
        <v>#DIV/0!</v>
      </c>
      <c r="G56" s="1835" t="s">
        <v>1880</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1881</v>
      </c>
      <c r="B57" s="210" t="e">
        <f t="shared" si="17"/>
        <v>#DIV/0!</v>
      </c>
      <c r="C57" s="163">
        <f t="shared" si="16"/>
        <v>0</v>
      </c>
      <c r="D57" s="891">
        <v>0.25</v>
      </c>
      <c r="E57" s="209">
        <f>'数据-汇总表'!E12</f>
        <v>0</v>
      </c>
      <c r="F57" s="611" t="e">
        <f t="shared" si="15"/>
        <v>#DIV/0!</v>
      </c>
      <c r="G57" s="839" t="s">
        <v>1882</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1883</v>
      </c>
      <c r="B58" s="210" t="e">
        <f t="shared" si="17"/>
        <v>#DIV/0!</v>
      </c>
      <c r="C58" s="163">
        <f t="shared" si="16"/>
        <v>0</v>
      </c>
      <c r="D58" s="891">
        <v>0.25</v>
      </c>
      <c r="E58" s="209">
        <f>'数据-汇总表'!E13</f>
        <v>0</v>
      </c>
      <c r="F58" s="611" t="e">
        <f t="shared" si="15"/>
        <v>#DIV/0!</v>
      </c>
      <c r="G58" s="839" t="s">
        <v>1884</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1885</v>
      </c>
      <c r="B59" s="210" t="e">
        <f t="shared" si="17"/>
        <v>#DIV/0!</v>
      </c>
      <c r="C59" s="163">
        <f t="shared" si="16"/>
        <v>0</v>
      </c>
      <c r="D59" s="891">
        <v>0.25</v>
      </c>
      <c r="E59" s="209">
        <f>'数据-汇总表'!E14</f>
        <v>0</v>
      </c>
      <c r="F59" s="611" t="e">
        <f t="shared" si="15"/>
        <v>#DIV/0!</v>
      </c>
      <c r="G59" s="1835" t="s">
        <v>1876</v>
      </c>
      <c r="H59" s="834">
        <f>项目基本情况!B37</f>
        <v>0</v>
      </c>
      <c r="I59" s="727">
        <f>SUMIF(修正!A57:A68,H59,修正!G57:G68)</f>
        <v>0</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1886</v>
      </c>
      <c r="B60" s="210" t="e">
        <f t="shared" si="17"/>
        <v>#DIV/0!</v>
      </c>
      <c r="C60" s="163">
        <f t="shared" si="16"/>
        <v>0</v>
      </c>
      <c r="D60" s="891">
        <v>0.25</v>
      </c>
      <c r="E60" s="209">
        <f>'数据-汇总表'!E15</f>
        <v>0</v>
      </c>
      <c r="F60" s="611" t="e">
        <f t="shared" si="15"/>
        <v>#DIV/0!</v>
      </c>
      <c r="G60" s="1836" t="s">
        <v>1880</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1887</v>
      </c>
      <c r="B61" s="616" t="s">
        <v>22</v>
      </c>
      <c r="C61" s="616" t="s">
        <v>23</v>
      </c>
      <c r="D61" s="616" t="s">
        <v>392</v>
      </c>
      <c r="E61" s="616">
        <f>IF(B41="楼面地价",SUM(E51:E60),'数据-汇总表'!D3)</f>
        <v>120628.8</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2025-1-1</v>
      </c>
      <c r="D63" s="656">
        <f>EDATE(C63,-3)</f>
        <v>45566</v>
      </c>
      <c r="E63" s="656">
        <f>EDATE(D63,-3)</f>
        <v>45474</v>
      </c>
      <c r="F63" s="656">
        <f t="shared" ref="F63:O63" si="18">EDATE(E63,-3)</f>
        <v>45383</v>
      </c>
      <c r="G63" s="656">
        <f t="shared" si="18"/>
        <v>45292</v>
      </c>
      <c r="H63" s="656">
        <f t="shared" si="18"/>
        <v>45200</v>
      </c>
      <c r="I63" s="656">
        <f t="shared" si="18"/>
        <v>45108</v>
      </c>
      <c r="J63" s="656">
        <f t="shared" si="18"/>
        <v>45017</v>
      </c>
      <c r="K63" s="656">
        <f t="shared" si="18"/>
        <v>44927</v>
      </c>
      <c r="L63" s="656">
        <f t="shared" si="18"/>
        <v>44835</v>
      </c>
      <c r="M63" s="656">
        <f t="shared" si="18"/>
        <v>44743</v>
      </c>
      <c r="N63" s="656">
        <f t="shared" si="18"/>
        <v>44652</v>
      </c>
      <c r="O63" s="656">
        <f t="shared" si="18"/>
        <v>44562</v>
      </c>
      <c r="P63" s="2486"/>
      <c r="Q63" s="2486"/>
      <c r="R63" s="2486"/>
      <c r="S63" s="2486"/>
      <c r="T63" s="2486"/>
      <c r="U63" s="2486"/>
      <c r="V63" s="2486"/>
      <c r="W63" s="2486"/>
      <c r="X63" s="2486"/>
      <c r="Y63" s="2486"/>
      <c r="Z63" s="2486"/>
      <c r="AA63" s="2486"/>
      <c r="AB63" s="2486"/>
      <c r="AC63" s="2486"/>
      <c r="AD63" s="2486"/>
      <c r="AE63" s="2486"/>
    </row>
    <row r="64" spans="1:31" ht="21.75" thickBot="1">
      <c r="A64" s="658" t="s">
        <v>1782</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5">
      <c r="A65" s="1630" t="s">
        <v>1888</v>
      </c>
      <c r="B65" s="1046"/>
      <c r="C65" s="1101" t="str">
        <f>YEAR(C63)&amp;"-"&amp;ROUNDUP(MONTH(C63)/3,0)</f>
        <v>2025-1</v>
      </c>
      <c r="D65" s="1101" t="str">
        <f t="shared" ref="D65:O65" si="19">YEAR(D63)&amp;"-"&amp;ROUNDUP(MONTH(D63)/3,0)</f>
        <v>2024-4</v>
      </c>
      <c r="E65" s="1101" t="str">
        <f t="shared" si="19"/>
        <v>2024-3</v>
      </c>
      <c r="F65" s="1101" t="str">
        <f t="shared" si="19"/>
        <v>2024-2</v>
      </c>
      <c r="G65" s="1101" t="str">
        <f t="shared" si="19"/>
        <v>2024-1</v>
      </c>
      <c r="H65" s="1101" t="str">
        <f t="shared" si="19"/>
        <v>2023-4</v>
      </c>
      <c r="I65" s="1101" t="str">
        <f t="shared" si="19"/>
        <v>2023-3</v>
      </c>
      <c r="J65" s="1101" t="str">
        <f t="shared" si="19"/>
        <v>2023-2</v>
      </c>
      <c r="K65" s="1101" t="str">
        <f t="shared" si="19"/>
        <v>2023-1</v>
      </c>
      <c r="L65" s="1101" t="str">
        <f t="shared" si="19"/>
        <v>2022-4</v>
      </c>
      <c r="M65" s="1101" t="str">
        <f t="shared" si="19"/>
        <v>2022-3</v>
      </c>
      <c r="N65" s="1101" t="str">
        <f t="shared" si="19"/>
        <v>2022-2</v>
      </c>
      <c r="O65" s="1101" t="str">
        <f t="shared" si="19"/>
        <v>2022-1</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1" t="s">
        <v>1908</v>
      </c>
      <c r="B66" s="280" t="str">
        <f>"北京市平均增长率"&amp;TEXT(基准地价修正!P28,"0.00%")</f>
        <v>北京市平均增长率0.00%</v>
      </c>
      <c r="C66" s="530">
        <v>100</v>
      </c>
      <c r="D66" s="6"/>
      <c r="E66" s="6"/>
      <c r="F66" s="6"/>
      <c r="G66" s="6"/>
      <c r="H66" s="6"/>
      <c r="I66" s="6"/>
      <c r="J66" s="6"/>
      <c r="K66" s="6"/>
      <c r="L66" s="6"/>
      <c r="M66" s="1066"/>
      <c r="N66" s="1066"/>
      <c r="O66" s="1099"/>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1700</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1665</v>
      </c>
      <c r="B68" s="444"/>
      <c r="C68" s="456" t="s">
        <v>1760</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1703</v>
      </c>
      <c r="B70" s="460" t="s">
        <v>1669</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1672</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1673</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1674</v>
      </c>
      <c r="B83" s="460" t="s">
        <v>1813</v>
      </c>
      <c r="C83" s="504" t="s">
        <v>1705</v>
      </c>
      <c r="D83" s="504" t="s">
        <v>1706</v>
      </c>
      <c r="E83" s="504" t="s">
        <v>1707</v>
      </c>
      <c r="F83" s="504" t="s">
        <v>1708</v>
      </c>
      <c r="G83" s="504" t="s">
        <v>1709</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1710</v>
      </c>
      <c r="C85" s="509" t="s">
        <v>1705</v>
      </c>
      <c r="D85" s="509" t="s">
        <v>1706</v>
      </c>
      <c r="E85" s="509" t="s">
        <v>1707</v>
      </c>
      <c r="F85" s="509" t="s">
        <v>1708</v>
      </c>
      <c r="G85" s="509" t="s">
        <v>1709</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1891</v>
      </c>
      <c r="C87" s="504" t="s">
        <v>1705</v>
      </c>
      <c r="D87" s="504" t="s">
        <v>1706</v>
      </c>
      <c r="E87" s="504" t="s">
        <v>1707</v>
      </c>
      <c r="F87" s="504" t="s">
        <v>1708</v>
      </c>
      <c r="G87" s="504" t="s">
        <v>1709</v>
      </c>
      <c r="H87" s="509"/>
      <c r="I87" s="509"/>
      <c r="J87" s="509"/>
      <c r="K87" s="509"/>
      <c r="L87" s="618"/>
      <c r="M87" s="547"/>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1892</v>
      </c>
      <c r="C89" s="504" t="s">
        <v>1705</v>
      </c>
      <c r="D89" s="504" t="s">
        <v>1706</v>
      </c>
      <c r="E89" s="504" t="s">
        <v>1707</v>
      </c>
      <c r="F89" s="504" t="s">
        <v>1708</v>
      </c>
      <c r="G89" s="504" t="s">
        <v>1709</v>
      </c>
      <c r="H89" s="509"/>
      <c r="I89" s="509"/>
      <c r="J89" s="509"/>
      <c r="K89" s="509"/>
      <c r="L89" s="509"/>
      <c r="M89" s="547"/>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1762</v>
      </c>
      <c r="C91" s="504" t="s">
        <v>1705</v>
      </c>
      <c r="D91" s="504" t="s">
        <v>1706</v>
      </c>
      <c r="E91" s="504" t="s">
        <v>1707</v>
      </c>
      <c r="F91" s="504" t="s">
        <v>1708</v>
      </c>
      <c r="G91" s="504" t="s">
        <v>1709</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1909</v>
      </c>
      <c r="C93" s="581" t="s">
        <v>1783</v>
      </c>
      <c r="D93" s="581" t="s">
        <v>1784</v>
      </c>
      <c r="E93" s="581" t="s">
        <v>1785</v>
      </c>
      <c r="F93" s="581" t="s">
        <v>1786</v>
      </c>
      <c r="G93" s="581" t="s">
        <v>1787</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1893</v>
      </c>
      <c r="D95" s="470" t="s">
        <v>1894</v>
      </c>
      <c r="E95" s="470" t="s">
        <v>1895</v>
      </c>
      <c r="F95" s="470" t="s">
        <v>1896</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1799</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1857</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1678</v>
      </c>
      <c r="B107" s="460" t="s">
        <v>1897</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1898</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1900</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1901</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2067</v>
      </c>
      <c r="C1" s="3496" t="s">
        <v>2068</v>
      </c>
      <c r="D1" s="3497"/>
      <c r="E1" s="3497"/>
      <c r="F1" s="3497"/>
      <c r="G1" s="3497"/>
      <c r="H1" s="3497"/>
      <c r="I1" s="3497"/>
      <c r="J1" s="3497"/>
      <c r="K1" s="3497"/>
      <c r="L1" s="3497"/>
      <c r="M1" s="3497"/>
      <c r="N1" s="3497"/>
      <c r="O1" s="3497"/>
      <c r="P1" s="3497"/>
      <c r="Q1" s="3497"/>
      <c r="R1" s="3497"/>
      <c r="S1" s="3498"/>
      <c r="T1" s="929" t="s">
        <v>2069</v>
      </c>
    </row>
    <row r="2" spans="1:45" s="625" customFormat="1">
      <c r="A2" s="930"/>
      <c r="B2" s="622" t="s">
        <v>2070</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2071</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2072</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2073</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2074</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2075</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2076</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2077</v>
      </c>
      <c r="B17" s="1987" t="s">
        <v>2078</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2079</v>
      </c>
      <c r="E19" s="1253"/>
      <c r="F19" s="1253"/>
      <c r="G19" s="1253"/>
      <c r="H19" s="996"/>
      <c r="I19" s="151"/>
      <c r="J19" s="151"/>
      <c r="K19" s="151"/>
      <c r="L19" s="151"/>
      <c r="M19" s="151"/>
      <c r="N19" s="151"/>
      <c r="O19" s="151"/>
      <c r="P19" s="151"/>
      <c r="Q19" s="151"/>
      <c r="R19" s="151"/>
      <c r="S19" s="121"/>
    </row>
    <row r="20" spans="1:45" ht="16.5" thickBot="1">
      <c r="A20" s="632" t="s">
        <v>2080</v>
      </c>
      <c r="B20" s="286" t="e">
        <f ca="1">IF(D20="——",S22,S22-F20)</f>
        <v>#REF!</v>
      </c>
      <c r="C20" s="151"/>
      <c r="D20" s="1989"/>
      <c r="E20" s="1254"/>
      <c r="F20" s="929" t="e">
        <f ca="1">SUMIF(INDIRECT("'"&amp;H20&amp;"'"&amp;"!A:A"),"承租人权益价值",INDIRECT("'"&amp;H20&amp;"'"&amp;"!c:c"))</f>
        <v>#REF!</v>
      </c>
      <c r="G20" s="929" t="s">
        <v>2081</v>
      </c>
      <c r="H20" s="1990"/>
      <c r="I20" s="151"/>
      <c r="J20" s="151"/>
      <c r="K20" s="151"/>
      <c r="L20" s="151"/>
      <c r="M20" s="151"/>
      <c r="N20" s="151"/>
      <c r="O20" s="151"/>
      <c r="P20" s="151"/>
      <c r="Q20" s="151"/>
      <c r="R20" s="151"/>
      <c r="S20" s="121"/>
    </row>
    <row r="21" spans="1:45" ht="15.75">
      <c r="A21" s="632" t="s">
        <v>2082</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2083</v>
      </c>
      <c r="B22" s="21">
        <f>SUM(B24:B10000)</f>
        <v>0</v>
      </c>
      <c r="C22" s="3493" t="s">
        <v>27</v>
      </c>
      <c r="D22" s="3494"/>
      <c r="E22" s="3494"/>
      <c r="F22" s="3494"/>
      <c r="G22" s="3494"/>
      <c r="H22" s="3494"/>
      <c r="I22" s="3494"/>
      <c r="J22" s="3494"/>
      <c r="K22" s="3494"/>
      <c r="L22" s="3494"/>
      <c r="M22" s="3494"/>
      <c r="N22" s="3494"/>
      <c r="O22" s="3494"/>
      <c r="P22" s="3494"/>
      <c r="Q22" s="3495"/>
      <c r="R22" s="21" t="e">
        <f>ROUND(S22*10000/B22,0)</f>
        <v>#DIV/0!</v>
      </c>
      <c r="S22" s="21">
        <f>SUM(S24:S10000)</f>
        <v>0</v>
      </c>
    </row>
    <row r="23" spans="1:45" s="9" customFormat="1" ht="24">
      <c r="A23" s="8" t="s">
        <v>2084</v>
      </c>
      <c r="B23" s="8" t="s">
        <v>2085</v>
      </c>
      <c r="C23" s="8" t="s">
        <v>2086</v>
      </c>
      <c r="D23" s="8" t="str">
        <f>B5</f>
        <v>修正项2</v>
      </c>
      <c r="E23" s="8" t="s">
        <v>2086</v>
      </c>
      <c r="F23" s="8" t="str">
        <f>B7</f>
        <v>修正项3</v>
      </c>
      <c r="G23" s="8" t="s">
        <v>2086</v>
      </c>
      <c r="H23" s="8" t="str">
        <f>B9</f>
        <v>修正项4</v>
      </c>
      <c r="I23" s="8" t="s">
        <v>2086</v>
      </c>
      <c r="J23" s="8" t="str">
        <f>B11</f>
        <v>修正项5</v>
      </c>
      <c r="K23" s="8" t="s">
        <v>2086</v>
      </c>
      <c r="L23" s="8" t="str">
        <f>B13</f>
        <v>修正项6</v>
      </c>
      <c r="M23" s="8" t="s">
        <v>2086</v>
      </c>
      <c r="N23" s="8" t="str">
        <f>B15</f>
        <v>修正项7</v>
      </c>
      <c r="O23" s="8" t="s">
        <v>2086</v>
      </c>
      <c r="P23" s="8" t="str">
        <f>B17</f>
        <v>楼层</v>
      </c>
      <c r="Q23" s="8" t="s">
        <v>2086</v>
      </c>
      <c r="R23" s="8" t="s">
        <v>2087</v>
      </c>
      <c r="S23" s="8" t="s">
        <v>2088</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2089</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2065</v>
      </c>
      <c r="B1" s="4"/>
      <c r="C1" s="4"/>
      <c r="D1" s="4"/>
      <c r="E1" s="4"/>
      <c r="F1" s="2543"/>
      <c r="G1" s="2543"/>
      <c r="H1" s="2543"/>
      <c r="I1" s="2543"/>
      <c r="J1" s="2543"/>
      <c r="K1" s="2543"/>
      <c r="L1" s="2543"/>
      <c r="M1" s="2543"/>
      <c r="N1" s="2543"/>
      <c r="O1" s="2543"/>
      <c r="P1" s="2543"/>
    </row>
    <row r="2" spans="1:16" ht="15.75">
      <c r="A2" s="1984" t="s">
        <v>2057</v>
      </c>
      <c r="B2" s="2386">
        <f ca="1">SUMIF(B6:B13,"&lt;&gt;#ref!",B6:B13)</f>
        <v>10700</v>
      </c>
      <c r="C2" s="1984" t="s">
        <v>2058</v>
      </c>
      <c r="D2" s="1984" t="s">
        <v>2059</v>
      </c>
      <c r="E2" s="2396">
        <f ca="1">SUMIF(E6:E13,"&lt;&gt;#ref!",E6:E13)</f>
        <v>120628.8</v>
      </c>
      <c r="F2" s="2543"/>
      <c r="G2" s="2543"/>
      <c r="H2" s="2543"/>
      <c r="I2" s="2543"/>
      <c r="J2" s="2543"/>
      <c r="K2" s="2543"/>
      <c r="L2" s="2543"/>
      <c r="M2" s="2543"/>
      <c r="N2" s="2543"/>
      <c r="O2" s="2543"/>
      <c r="P2" s="2543"/>
    </row>
    <row r="3" spans="1:16" ht="15.75">
      <c r="A3" s="1984" t="s">
        <v>2060</v>
      </c>
      <c r="B3" s="2386">
        <f ca="1">ROUND(B2*10000/E2,0)</f>
        <v>887</v>
      </c>
      <c r="C3" s="1984" t="s">
        <v>2066</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2061</v>
      </c>
      <c r="B5" s="2394" t="s">
        <v>2062</v>
      </c>
      <c r="C5" s="1985"/>
      <c r="D5" s="2543"/>
      <c r="E5" s="2395" t="s">
        <v>2063</v>
      </c>
      <c r="F5" s="2543"/>
      <c r="G5" s="2543"/>
      <c r="H5" s="2543"/>
      <c r="I5" s="2543"/>
      <c r="J5" s="2543"/>
      <c r="K5" s="2543"/>
      <c r="L5" s="2543"/>
      <c r="M5" s="2543"/>
      <c r="N5" s="2543"/>
      <c r="O5" s="2543"/>
      <c r="P5" s="2543"/>
    </row>
    <row r="6" spans="1:16" ht="15.75">
      <c r="A6" s="2393" t="s">
        <v>2064</v>
      </c>
      <c r="B6" s="2386">
        <f ca="1">SUMIF(INDIRECT("'"&amp;A6&amp;"'"&amp;"!A:A"),"总价",INDIRECT("'"&amp;A6&amp;"'"&amp;"!B:B"))</f>
        <v>10700</v>
      </c>
      <c r="C6" s="1984" t="s">
        <v>2058</v>
      </c>
      <c r="D6" s="2543"/>
      <c r="E6" s="2396">
        <f ca="1">SUMIF(INDIRECT("'"&amp;A6&amp;"'"&amp;"!C:C"),"建筑面积",INDIRECT("'"&amp;A6&amp;"'"&amp;"!D:D"))</f>
        <v>120628.8</v>
      </c>
      <c r="F6" s="2543"/>
      <c r="G6" s="2543"/>
      <c r="H6" s="2543"/>
      <c r="I6" s="2543"/>
      <c r="J6" s="2543"/>
      <c r="K6" s="2543"/>
      <c r="L6" s="2543"/>
      <c r="M6" s="2543"/>
      <c r="N6" s="2543"/>
      <c r="O6" s="2543"/>
      <c r="P6" s="2543"/>
    </row>
    <row r="7" spans="1:16" ht="15.75">
      <c r="A7" s="2393"/>
      <c r="B7" s="2386" t="e">
        <f ca="1">SUMIF(INDIRECT("'"&amp;A7&amp;"'"&amp;"!A:A"),"总价",INDIRECT("'"&amp;A7&amp;"'"&amp;"!B:B"))</f>
        <v>#REF!</v>
      </c>
      <c r="C7" s="1984" t="s">
        <v>2058</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4" t="s">
        <v>2058</v>
      </c>
      <c r="D8" s="2543"/>
      <c r="E8" s="2396" t="e">
        <f t="shared" ca="1" si="0"/>
        <v>#REF!</v>
      </c>
      <c r="F8" s="2543"/>
      <c r="G8" s="2543"/>
      <c r="H8" s="2543"/>
      <c r="I8" s="2543"/>
      <c r="J8" s="2543"/>
      <c r="K8" s="2543"/>
      <c r="L8" s="2543"/>
      <c r="M8" s="2543"/>
      <c r="N8" s="2543"/>
      <c r="O8" s="2543"/>
      <c r="P8" s="2543"/>
    </row>
    <row r="9" spans="1:16" ht="15.75">
      <c r="A9" s="2393"/>
      <c r="B9" s="2386" t="e">
        <f t="shared" ca="1" si="1"/>
        <v>#REF!</v>
      </c>
      <c r="C9" s="1984" t="s">
        <v>2058</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4" t="s">
        <v>2058</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4" t="s">
        <v>2058</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4" t="s">
        <v>2058</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4" t="s">
        <v>2058</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K31" sqref="K31"/>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1910</v>
      </c>
      <c r="B1" s="189"/>
      <c r="C1" s="193" t="s">
        <v>1911</v>
      </c>
      <c r="D1" s="333">
        <f>SUM(D33:D34,D37:D42)</f>
        <v>120628.8</v>
      </c>
      <c r="E1" s="1842"/>
      <c r="F1" s="1842"/>
      <c r="G1" s="1842"/>
      <c r="H1" s="1842"/>
      <c r="I1" s="1842"/>
      <c r="J1" s="1842"/>
      <c r="K1" s="1056"/>
      <c r="L1" s="1843" t="s">
        <v>1912</v>
      </c>
      <c r="M1" s="810">
        <f>SUMPRODUCT((区片价!B5:B9=I2)*(区片价!C3:G3=E2)*(区片价!C5:G9))</f>
        <v>0</v>
      </c>
      <c r="N1" s="813">
        <f>SUMPRODUCT((因素修正幅度!B5:B9=I2)*(因素修正幅度!C3:G3=E2)*(因素修正幅度!C5:G9))</f>
        <v>0</v>
      </c>
      <c r="O1" s="1844"/>
      <c r="P1" s="1844"/>
      <c r="Q1" s="1056"/>
      <c r="R1" s="1129" t="s">
        <v>1913</v>
      </c>
      <c r="S1" s="1129" t="s">
        <v>1914</v>
      </c>
      <c r="T1" s="1129" t="s">
        <v>1915</v>
      </c>
      <c r="U1" s="1129" t="s">
        <v>1916</v>
      </c>
      <c r="V1" s="1129" t="s">
        <v>1917</v>
      </c>
      <c r="W1" s="1133"/>
      <c r="X1" s="1133"/>
      <c r="Y1" s="1133"/>
      <c r="Z1" s="1133"/>
      <c r="AA1" s="1133"/>
      <c r="AB1" s="1133"/>
      <c r="AC1" s="1134"/>
      <c r="AD1" s="1135"/>
      <c r="AE1" s="1135"/>
      <c r="AF1" s="1135"/>
      <c r="AG1" s="1135"/>
      <c r="AH1" s="1135"/>
      <c r="AI1" s="1135"/>
      <c r="AJ1" s="1136"/>
    </row>
    <row r="2" spans="1:36" ht="15.75">
      <c r="A2" s="193" t="s">
        <v>1918</v>
      </c>
      <c r="B2" s="196">
        <f>C30</f>
        <v>10700</v>
      </c>
      <c r="C2" s="1846" t="s">
        <v>1919</v>
      </c>
      <c r="D2" s="162" t="s">
        <v>1920</v>
      </c>
      <c r="E2" s="3119" t="s">
        <v>3</v>
      </c>
      <c r="F2" s="162" t="s">
        <v>1921</v>
      </c>
      <c r="G2" s="163" t="str">
        <f>IF(E2="商业",项目基本情况!B37,IF(E2="办公",项目基本情况!C37,IF(E2="住宅",项目基本情况!D37,IF(E2="工业",项目基本情况!E37,项目基本情况!F37))))</f>
        <v>九级</v>
      </c>
      <c r="H2" s="162" t="s">
        <v>1922</v>
      </c>
      <c r="I2" s="163" t="str">
        <f>IF(E2="商业",项目基本情况!B38,IF(E2="办公",项目基本情况!C38,IF(E2="住宅",项目基本情况!D38,IF(E2="工业",项目基本情况!E38,项目基本情况!F38))))</f>
        <v>Ⅸ-顺2</v>
      </c>
      <c r="J2" s="1842"/>
      <c r="K2" s="1056"/>
      <c r="L2" s="1847" t="s">
        <v>1923</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1.5418000000000001</v>
      </c>
      <c r="T2" s="3062">
        <f t="shared" ref="T2:T16" si="0">ROUND($C$5*$C$22*$C$23*$C$24*S2*$C$28,0)</f>
        <v>1367</v>
      </c>
      <c r="U2" s="1130"/>
      <c r="V2" s="3062">
        <f>ROUND(T2*U2/10000,0)</f>
        <v>0</v>
      </c>
      <c r="W2" s="1133"/>
      <c r="X2" s="1133"/>
      <c r="Y2" s="1133"/>
      <c r="Z2" s="1133"/>
      <c r="AA2" s="1133"/>
      <c r="AB2" s="1133"/>
      <c r="AC2" s="1134"/>
      <c r="AD2" s="1135"/>
      <c r="AE2" s="1135"/>
      <c r="AF2" s="1135"/>
      <c r="AG2" s="1135"/>
      <c r="AH2" s="1135"/>
      <c r="AI2" s="1135"/>
      <c r="AJ2" s="1136"/>
    </row>
    <row r="3" spans="1:36" ht="15.75">
      <c r="A3" s="195" t="s">
        <v>1924</v>
      </c>
      <c r="B3" s="196">
        <f>ROUND(B2*10000/D1,0)</f>
        <v>887</v>
      </c>
      <c r="C3" s="1846" t="s">
        <v>1925</v>
      </c>
      <c r="D3" s="162" t="s">
        <v>1926</v>
      </c>
      <c r="E3" s="3117" t="s">
        <v>2454</v>
      </c>
      <c r="F3" s="1848" t="s">
        <v>3415</v>
      </c>
      <c r="G3" s="708">
        <f>IF(F3="宗地容积率",'数据-汇总表'!I4,IF(F3="估价对象容积率",'数据-汇总表'!I6,'数据-汇总表'!I7))</f>
        <v>1</v>
      </c>
      <c r="H3" s="162" t="s">
        <v>1927</v>
      </c>
      <c r="I3" s="729"/>
      <c r="J3" s="1842" t="s">
        <v>1928</v>
      </c>
      <c r="K3" s="1056"/>
      <c r="L3" s="1847" t="s">
        <v>1929</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1.1883999999999999</v>
      </c>
      <c r="T3" s="3062">
        <f t="shared" si="0"/>
        <v>1054</v>
      </c>
      <c r="U3" s="1130"/>
      <c r="V3" s="3062">
        <f t="shared" ref="V3:V16" si="1">ROUND(T3*U3/10000,0)</f>
        <v>0</v>
      </c>
      <c r="W3" s="1133"/>
      <c r="X3" s="1133"/>
      <c r="Y3" s="1133"/>
      <c r="Z3" s="1133"/>
      <c r="AA3" s="1133"/>
      <c r="AB3" s="1133"/>
      <c r="AC3" s="1134"/>
      <c r="AD3" s="1135"/>
      <c r="AE3" s="1135"/>
      <c r="AF3" s="1135"/>
      <c r="AG3" s="1135"/>
      <c r="AH3" s="1135"/>
      <c r="AI3" s="1135"/>
      <c r="AJ3" s="1136"/>
    </row>
    <row r="4" spans="1:36" ht="15.75">
      <c r="A4" s="3506"/>
      <c r="B4" s="3507"/>
      <c r="C4" s="3507"/>
      <c r="D4" s="3508"/>
      <c r="E4" s="3508"/>
      <c r="F4" s="3508"/>
      <c r="G4" s="3508"/>
      <c r="H4" s="3508"/>
      <c r="I4" s="3508"/>
      <c r="J4" s="3509"/>
      <c r="K4" s="1056"/>
      <c r="L4" s="1847" t="s">
        <v>1930</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0.96940000000000004</v>
      </c>
      <c r="T4" s="3062">
        <f t="shared" si="0"/>
        <v>860</v>
      </c>
      <c r="U4" s="1130"/>
      <c r="V4" s="3062">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1931</v>
      </c>
      <c r="C5" s="709">
        <f>ROUND(IF(E2="商业",C6*C7*C17+C20,(IF(E2="住宅",C6*C13*C17+C20,IF(E2="办公",C6*C12*C17+C20,C6+C20)))),0)</f>
        <v>960</v>
      </c>
      <c r="D5" s="1252">
        <f>ROUND(C6*C17+C20,0)</f>
        <v>960</v>
      </c>
      <c r="E5" s="1252"/>
      <c r="F5" s="1851"/>
      <c r="G5" s="1852"/>
      <c r="H5" s="1852"/>
      <c r="I5" s="1852"/>
      <c r="J5" s="1853"/>
      <c r="K5" s="1854"/>
      <c r="L5" s="1847" t="s">
        <v>1932</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0.82299999999999995</v>
      </c>
      <c r="T5" s="3062">
        <f t="shared" si="0"/>
        <v>730</v>
      </c>
      <c r="U5" s="1130"/>
      <c r="V5" s="3062">
        <f t="shared" si="1"/>
        <v>0</v>
      </c>
      <c r="W5" s="1133"/>
      <c r="X5" s="1133"/>
      <c r="Y5" s="1133"/>
      <c r="Z5" s="1133"/>
      <c r="AA5" s="1133"/>
      <c r="AB5" s="1133"/>
      <c r="AC5" s="1855"/>
      <c r="AD5" s="1856"/>
      <c r="AE5" s="1856"/>
      <c r="AF5" s="1856"/>
      <c r="AG5" s="1856"/>
      <c r="AH5" s="1856"/>
      <c r="AI5" s="1856"/>
      <c r="AJ5" s="1857"/>
    </row>
    <row r="6" spans="1:36" ht="15.75" thickBot="1">
      <c r="A6" s="1859" t="s">
        <v>1933</v>
      </c>
      <c r="B6" s="1860" t="s">
        <v>1934</v>
      </c>
      <c r="C6" s="710">
        <f>SUMIF(L1:L12,G2,M1:M12)</f>
        <v>960</v>
      </c>
      <c r="D6" s="1861"/>
      <c r="E6" s="1862"/>
      <c r="F6" s="1862"/>
      <c r="G6" s="1863"/>
      <c r="H6" s="1863"/>
      <c r="I6" s="1863"/>
      <c r="J6" s="1864"/>
      <c r="K6" s="1292"/>
      <c r="L6" s="1847" t="s">
        <v>1935</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0.74980000000000002</v>
      </c>
      <c r="T6" s="3062">
        <f t="shared" si="0"/>
        <v>665</v>
      </c>
      <c r="U6" s="1130"/>
      <c r="V6" s="3062">
        <f t="shared" si="1"/>
        <v>0</v>
      </c>
      <c r="W6" s="1133"/>
      <c r="X6" s="1133"/>
      <c r="Y6" s="1133"/>
      <c r="Z6" s="1133"/>
      <c r="AA6" s="1133"/>
      <c r="AB6" s="1133"/>
      <c r="AC6" s="1855"/>
      <c r="AD6" s="1856"/>
      <c r="AE6" s="1856"/>
      <c r="AF6" s="1856"/>
      <c r="AG6" s="1856"/>
      <c r="AH6" s="1856"/>
      <c r="AI6" s="1856"/>
      <c r="AJ6" s="1857"/>
    </row>
    <row r="7" spans="1:36" ht="24.75" thickBot="1">
      <c r="A7" s="3011" t="s">
        <v>3212</v>
      </c>
      <c r="B7" s="1865" t="s">
        <v>1936</v>
      </c>
      <c r="C7" s="711" t="e">
        <f>IF(C8="不临65条商业街",1,ROUND(1+(1.6*E8+1.2*E9+0.8*E10+0.4*E11)*C9,4))</f>
        <v>#DIV/0!</v>
      </c>
      <c r="D7" s="1866" t="s">
        <v>1937</v>
      </c>
      <c r="E7" s="730"/>
      <c r="F7" s="1867"/>
      <c r="G7" s="1868"/>
      <c r="H7" s="1868"/>
      <c r="I7" s="1868"/>
      <c r="J7" s="1869"/>
      <c r="K7" s="1292"/>
      <c r="L7" s="1847" t="s">
        <v>1938</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1939</v>
      </c>
      <c r="X7" s="1131" t="str">
        <f>G2</f>
        <v>九级</v>
      </c>
      <c r="Y7" s="1131" t="s">
        <v>1940</v>
      </c>
      <c r="Z7" s="1132">
        <f>G3</f>
        <v>1</v>
      </c>
      <c r="AA7" s="1133"/>
      <c r="AB7" s="1133"/>
      <c r="AC7" s="1134"/>
      <c r="AD7" s="1135"/>
      <c r="AE7" s="1135"/>
      <c r="AF7" s="1135"/>
      <c r="AG7" s="1135"/>
      <c r="AH7" s="1135"/>
      <c r="AI7" s="1135"/>
      <c r="AJ7" s="1136"/>
    </row>
    <row r="8" spans="1:36" ht="15">
      <c r="A8" s="3008"/>
      <c r="B8" s="162" t="s">
        <v>1941</v>
      </c>
      <c r="C8" s="1870"/>
      <c r="D8" s="712" t="s">
        <v>112</v>
      </c>
      <c r="E8" s="713" t="e">
        <f>ROUND(C11/E7,4)</f>
        <v>#DIV/0!</v>
      </c>
      <c r="F8" s="1871" t="s">
        <v>1942</v>
      </c>
      <c r="G8" s="1872"/>
      <c r="H8" s="1872"/>
      <c r="I8" s="1872"/>
      <c r="J8" s="1873"/>
      <c r="K8" s="1056"/>
      <c r="L8" s="1847" t="s">
        <v>1943</v>
      </c>
      <c r="M8" s="811">
        <f>SUMPRODUCT((区片价!B234:B276=I2)*(区片价!C3:G3=E2)*(区片价!C234:G276))</f>
        <v>0</v>
      </c>
      <c r="N8" s="813">
        <f>SUMPRODUCT((因素修正幅度!B234:B276=I2)*(因素修正幅度!C3:G3=E2)*(因素修正幅度!C234:G276))</f>
        <v>0</v>
      </c>
      <c r="O8" s="1056"/>
      <c r="P8" s="1056"/>
      <c r="Q8" s="1056"/>
      <c r="R8" s="1129">
        <v>7</v>
      </c>
      <c r="S8" s="1130"/>
      <c r="T8" s="3062">
        <f t="shared" si="0"/>
        <v>0</v>
      </c>
      <c r="U8" s="1130"/>
      <c r="V8" s="3062">
        <f t="shared" si="1"/>
        <v>0</v>
      </c>
      <c r="W8" s="3503" t="s">
        <v>1944</v>
      </c>
      <c r="X8" s="3504"/>
      <c r="Y8" s="1137" t="s">
        <v>1945</v>
      </c>
      <c r="Z8" s="1137" t="s">
        <v>1946</v>
      </c>
      <c r="AA8" s="1137" t="s">
        <v>1947</v>
      </c>
      <c r="AB8" s="1137" t="s">
        <v>1948</v>
      </c>
      <c r="AC8" s="1137" t="s">
        <v>1949</v>
      </c>
      <c r="AD8" s="1137" t="s">
        <v>1950</v>
      </c>
      <c r="AE8" s="1137" t="s">
        <v>1951</v>
      </c>
      <c r="AF8" s="1137" t="s">
        <v>1952</v>
      </c>
      <c r="AG8" s="1137" t="s">
        <v>1953</v>
      </c>
      <c r="AH8" s="1137" t="s">
        <v>1954</v>
      </c>
      <c r="AI8" s="1137" t="s">
        <v>1955</v>
      </c>
      <c r="AJ8" s="1137" t="s">
        <v>1956</v>
      </c>
    </row>
    <row r="9" spans="1:36" ht="15">
      <c r="A9" s="3008"/>
      <c r="B9" s="162" t="s">
        <v>1957</v>
      </c>
      <c r="C9" s="714">
        <f>SUMIF(修正!C71:C138,C8,修正!E71:E138)</f>
        <v>0</v>
      </c>
      <c r="D9" s="163" t="s">
        <v>113</v>
      </c>
      <c r="E9" s="163" t="e">
        <f>ROUND(C11/E7,4)</f>
        <v>#DIV/0!</v>
      </c>
      <c r="F9" s="1871" t="s">
        <v>1958</v>
      </c>
      <c r="G9" s="1872"/>
      <c r="H9" s="1872"/>
      <c r="I9" s="1872"/>
      <c r="J9" s="1873"/>
      <c r="K9" s="1056"/>
      <c r="L9" s="1847" t="s">
        <v>1959</v>
      </c>
      <c r="M9" s="811">
        <f>SUMPRODUCT((区片价!B277:B326=I2)*(区片价!C3:G3=E2)*(区片价!C277:G326))</f>
        <v>960</v>
      </c>
      <c r="N9" s="813">
        <f>SUMPRODUCT((因素修正幅度!B277:B326=I2)*(因素修正幅度!C3:G3=E2)*(因素修正幅度!C277:G326))</f>
        <v>0.127</v>
      </c>
      <c r="O9" s="1056"/>
      <c r="P9" s="1056"/>
      <c r="Q9" s="1056"/>
      <c r="R9" s="1129">
        <v>8</v>
      </c>
      <c r="S9" s="1130"/>
      <c r="T9" s="3062">
        <f t="shared" si="0"/>
        <v>0</v>
      </c>
      <c r="U9" s="1130"/>
      <c r="V9" s="3062">
        <f t="shared" si="1"/>
        <v>0</v>
      </c>
      <c r="W9" s="3505"/>
      <c r="X9" s="3063" t="s">
        <v>3243</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1960</v>
      </c>
      <c r="C10" s="163">
        <f>SUMIF(修正!C71:C138,C8,修正!F71:F138)</f>
        <v>0</v>
      </c>
      <c r="D10" s="163" t="s">
        <v>114</v>
      </c>
      <c r="E10" s="163" t="e">
        <f>ROUND(C11/E7,4)</f>
        <v>#DIV/0!</v>
      </c>
      <c r="F10" s="1871" t="s">
        <v>1961</v>
      </c>
      <c r="G10" s="1872"/>
      <c r="H10" s="1872"/>
      <c r="I10" s="1872"/>
      <c r="J10" s="1873"/>
      <c r="K10" s="1056"/>
      <c r="L10" s="1847" t="s">
        <v>1962</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505"/>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4" t="s">
        <v>1963</v>
      </c>
      <c r="C11" s="715">
        <f>C10/4</f>
        <v>0</v>
      </c>
      <c r="D11" s="715" t="s">
        <v>115</v>
      </c>
      <c r="E11" s="715" t="e">
        <f>ROUND(C11/E7,4)</f>
        <v>#DIV/0!</v>
      </c>
      <c r="F11" s="1875" t="s">
        <v>1964</v>
      </c>
      <c r="G11" s="1876"/>
      <c r="H11" s="1876"/>
      <c r="I11" s="1876"/>
      <c r="J11" s="1877"/>
      <c r="K11" s="1056"/>
      <c r="L11" s="1847" t="s">
        <v>1965</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5" thickBot="1">
      <c r="A12" s="3011" t="s">
        <v>3213</v>
      </c>
      <c r="B12" s="3012" t="s">
        <v>3214</v>
      </c>
      <c r="C12" s="3013"/>
      <c r="D12" s="3014" t="s">
        <v>3215</v>
      </c>
      <c r="E12" s="3015" t="s">
        <v>3216</v>
      </c>
      <c r="F12" s="3016"/>
      <c r="G12" s="3017"/>
      <c r="H12" s="3017"/>
      <c r="I12" s="3017"/>
      <c r="J12" s="3018"/>
      <c r="K12" s="1056"/>
      <c r="L12" s="1796" t="s">
        <v>1968</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15.75" thickBot="1">
      <c r="A13" s="3011" t="s">
        <v>3217</v>
      </c>
      <c r="B13" s="1878" t="s">
        <v>1966</v>
      </c>
      <c r="C13" s="711">
        <f>ROUND(C16*D16*E16*F16*G16*H16*I16*J16,4)</f>
        <v>0</v>
      </c>
      <c r="D13" s="1879" t="s">
        <v>1967</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15">
      <c r="A14" s="3007"/>
      <c r="B14" s="1883" t="s">
        <v>1969</v>
      </c>
      <c r="C14" s="1884" t="s">
        <v>1970</v>
      </c>
      <c r="D14" s="1261" t="s">
        <v>1971</v>
      </c>
      <c r="E14" s="27" t="s">
        <v>1972</v>
      </c>
      <c r="F14" s="3019" t="s">
        <v>3218</v>
      </c>
      <c r="G14" s="3019" t="s">
        <v>3218</v>
      </c>
      <c r="H14" s="3019" t="s">
        <v>3218</v>
      </c>
      <c r="I14" s="3019" t="s">
        <v>3218</v>
      </c>
      <c r="J14" s="3019" t="s">
        <v>3218</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3219</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75" thickBot="1">
      <c r="A16" s="3007"/>
      <c r="B16" s="3025" t="s">
        <v>1973</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c r="A17" s="3034" t="s">
        <v>3220</v>
      </c>
      <c r="B17" s="3026" t="s">
        <v>3221</v>
      </c>
      <c r="C17" s="3035">
        <f>ROUND(IF(OR(E2="工业",E2="公共服务"),1,IF(AND(E18=0,E19=0),1,IF(AND(E18=J24,E19=G19),0.8,IF(E19=0,1+E17*(-0.2),1+E17*G17*(-0.2))))),4)</f>
        <v>1</v>
      </c>
      <c r="D17" s="3027" t="s">
        <v>3222</v>
      </c>
      <c r="E17" s="3035">
        <f>ROUND(G18/I18,2)</f>
        <v>0</v>
      </c>
      <c r="F17" s="3027" t="s">
        <v>3225</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7"/>
      <c r="B18" s="2308"/>
      <c r="C18" s="3033"/>
      <c r="D18" s="3028" t="s">
        <v>3223</v>
      </c>
      <c r="E18" s="2355"/>
      <c r="F18" s="3029" t="s">
        <v>3226</v>
      </c>
      <c r="G18" s="3033">
        <f>ROUND(1-(1/(POWER(1+G24,E18))),4)</f>
        <v>0</v>
      </c>
      <c r="H18" s="3029" t="s">
        <v>3228</v>
      </c>
      <c r="I18" s="3033">
        <f>ROUND(1-(1/(POWER(1+G24,J24))),4)</f>
        <v>0.91279999999999994</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5" thickBot="1">
      <c r="A19" s="3039"/>
      <c r="B19" s="3040"/>
      <c r="C19" s="3041"/>
      <c r="D19" s="3041" t="s">
        <v>3224</v>
      </c>
      <c r="E19" s="3042"/>
      <c r="F19" s="3043" t="s">
        <v>3227</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4.25">
      <c r="A20" s="3510" t="s">
        <v>3229</v>
      </c>
      <c r="B20" s="159" t="s">
        <v>1978</v>
      </c>
      <c r="C20" s="3030">
        <f>ROUND(IF(F21="与级别开发程度一致",0,(G21-E21)/C21),0)</f>
        <v>0</v>
      </c>
      <c r="D20" s="3045" t="s">
        <v>1982</v>
      </c>
      <c r="E20" s="3046"/>
      <c r="F20" s="3516" t="s">
        <v>1979</v>
      </c>
      <c r="G20" s="3517"/>
      <c r="H20" s="3031"/>
      <c r="I20" s="3031"/>
      <c r="J20" s="3032"/>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6.25" thickBot="1">
      <c r="A21" s="3511"/>
      <c r="B21" s="2002" t="s">
        <v>1981</v>
      </c>
      <c r="C21" s="2003">
        <f>IF(E3="M4科研用地",SUMPRODUCT((修正!A2:A7=E3)*(修正!B1:M1=G2)*(修正!B2:M7)),SUMPRODUCT((修正!A2:A7=E2)*(修正!B1:M1=G2)*(修正!B2:M7)))</f>
        <v>1</v>
      </c>
      <c r="D21" s="179" t="str">
        <f>IF(OR(G2="八级",G2="九级",G2="十级",G2="十一级",G2="十二级"),"五通一平","七通一平")</f>
        <v>五通一平</v>
      </c>
      <c r="E21" s="1993">
        <f>SUMPRODUCT((修正!B1:M1=G2)*(修正!B17:M17))</f>
        <v>185</v>
      </c>
      <c r="F21" s="1994" t="s">
        <v>3389</v>
      </c>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75" thickBot="1">
      <c r="A22" s="1996" t="s">
        <v>363</v>
      </c>
      <c r="B22" s="1997" t="s">
        <v>1984</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6.25" thickBot="1">
      <c r="A23" s="1892" t="s">
        <v>364</v>
      </c>
      <c r="B23" s="1893" t="s">
        <v>1985</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1.0827</v>
      </c>
      <c r="D23" s="1896" t="s">
        <v>1986</v>
      </c>
      <c r="E23" s="717">
        <v>44197</v>
      </c>
      <c r="F23" s="1896" t="s">
        <v>1987</v>
      </c>
      <c r="G23" s="718">
        <f>'数据-取费表'!B2</f>
        <v>45677</v>
      </c>
      <c r="H23" s="3047" t="s">
        <v>3231</v>
      </c>
      <c r="I23" s="3048" t="str">
        <f>IF(H23="季度增幅（自定义）",SUMIF(N25:N28,E2,O25:O28),"")</f>
        <v/>
      </c>
      <c r="J23" s="3140" t="s">
        <v>3230</v>
      </c>
      <c r="K23" s="1061"/>
      <c r="L23" s="1897" t="s">
        <v>1988</v>
      </c>
      <c r="M23" s="1241">
        <f>ROUND(SUMIF(地价!B2:G2,E2,地价!B16:G16),0)</f>
        <v>318</v>
      </c>
      <c r="N23" s="1898" t="s">
        <v>1989</v>
      </c>
      <c r="O23" s="719">
        <f>ROUNDDOWN(DATEDIF(E23,G23,"M")/3,0)</f>
        <v>16</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1990</v>
      </c>
      <c r="C24" s="720">
        <f>ROUND(POWER(1+G24,J24-I24)*(POWER(1+G24,I24)-1)/(POWER(1+G24,J24)-1),4)</f>
        <v>0.82240000000000002</v>
      </c>
      <c r="D24" s="1902" t="s">
        <v>1991</v>
      </c>
      <c r="E24" s="1248">
        <f>存贷款利率!E27/100</f>
        <v>4.3499999999999997E-2</v>
      </c>
      <c r="F24" s="1902" t="s">
        <v>1983</v>
      </c>
      <c r="G24" s="724">
        <f>SUMIF(M30:Q30,E2,M33:Q33)</f>
        <v>0.05</v>
      </c>
      <c r="H24" s="1902" t="s">
        <v>1992</v>
      </c>
      <c r="I24" s="725">
        <f>SUMIF('数据-取费表'!C6:C15,E2,'数据-取费表'!F6:F15)/COUNTIF('数据-取费表'!C6:C15,E2)</f>
        <v>28.47</v>
      </c>
      <c r="J24" s="726">
        <f>IF(E2="住宅",70,IF(E2="商业",40,50))</f>
        <v>50</v>
      </c>
      <c r="K24" s="1061"/>
      <c r="L24" s="1903" t="s">
        <v>1993</v>
      </c>
      <c r="M24" s="1242">
        <f>ROUND(SUMPRODUCT((地价!A4:A16=YEAR(G23)&amp;"-"&amp;ROUNDUP(MONTH(G23)/3,0))*(地价!B2:G2=E2)*(地价!B4:G16)),0)</f>
        <v>0</v>
      </c>
      <c r="N24" s="1904" t="s">
        <v>1994</v>
      </c>
      <c r="O24" s="1905" t="s">
        <v>1995</v>
      </c>
      <c r="P24" s="1906" t="s">
        <v>1996</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5">
      <c r="A25" s="1907" t="s">
        <v>366</v>
      </c>
      <c r="B25" s="1908" t="s">
        <v>3310</v>
      </c>
      <c r="C25" s="461">
        <f>IF(B25="容积率修正",IF(G3&lt;10,D26,J26),C27)</f>
        <v>1</v>
      </c>
      <c r="D25" s="1909"/>
      <c r="E25" s="1909"/>
      <c r="F25" s="1909"/>
      <c r="G25" s="1909"/>
      <c r="H25" s="1909"/>
      <c r="I25" s="1909"/>
      <c r="J25" s="1910"/>
      <c r="K25" s="1061"/>
      <c r="L25" s="2551"/>
      <c r="M25" s="2551"/>
      <c r="N25" s="1911" t="s">
        <v>1997</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1998</v>
      </c>
      <c r="B26" s="1912" t="s">
        <v>1999</v>
      </c>
      <c r="C26" s="1912" t="s">
        <v>3232</v>
      </c>
      <c r="D26" s="1263">
        <f>IF(E26=G26,F26,IF(G3&lt;10,ROUND(F26+(H26-F26)*(G3-E26)/(G26-E26),4),"——"))</f>
        <v>1</v>
      </c>
      <c r="E26" s="708">
        <f>ROUNDDOWN(G3,1)</f>
        <v>1</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1</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2" t="s">
        <v>3233</v>
      </c>
      <c r="J26" s="374" t="str">
        <f>IF(G3&gt;=10,D115,"——")</f>
        <v>——</v>
      </c>
      <c r="K26" s="1061"/>
      <c r="L26" s="2551"/>
      <c r="M26" s="2551"/>
      <c r="N26" s="1911" t="s">
        <v>2000</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2001</v>
      </c>
      <c r="B27" s="1913" t="s">
        <v>2002</v>
      </c>
      <c r="C27" s="791">
        <f>ROUND(IF(I3&lt;6,SUMPRODUCT((B106:B110=I3)*(C105:N105=G2)*(C106:N110)),SUMIF(C105:N105,G2,C112:N112)),4)</f>
        <v>0</v>
      </c>
      <c r="D27" s="1842"/>
      <c r="E27" s="1842"/>
      <c r="F27" s="1914"/>
      <c r="G27" s="1915"/>
      <c r="H27" s="1916"/>
      <c r="I27" s="1917"/>
      <c r="J27" s="1918"/>
      <c r="K27" s="1056"/>
      <c r="L27" s="1844"/>
      <c r="M27" s="1844"/>
      <c r="N27" s="1911" t="s">
        <v>2003</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2004</v>
      </c>
      <c r="C28" s="716">
        <f>SUMIF(A47:A101,E2,B47:B101)</f>
        <v>1.0373000000000001</v>
      </c>
      <c r="D28" s="1894"/>
      <c r="E28" s="1919"/>
      <c r="F28" s="1919"/>
      <c r="G28" s="1919"/>
      <c r="H28" s="1919"/>
      <c r="I28" s="1919"/>
      <c r="J28" s="1920"/>
      <c r="K28" s="1061"/>
      <c r="L28" s="2551"/>
      <c r="M28" s="2551"/>
      <c r="N28" s="1921" t="s">
        <v>2005</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2006</v>
      </c>
      <c r="C29" s="721"/>
      <c r="D29" s="1868"/>
      <c r="E29" s="1868"/>
      <c r="F29" s="1923"/>
      <c r="G29" s="1868"/>
      <c r="H29" s="1868"/>
      <c r="I29" s="1868"/>
      <c r="J29" s="1869"/>
      <c r="K29" s="1056"/>
      <c r="L29" s="1844"/>
      <c r="M29" s="1844"/>
      <c r="N29" s="2548" t="s">
        <v>2007</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2008</v>
      </c>
      <c r="C30" s="2145">
        <f>IF(B25="容积率修正",E33+SUM(E37:E42),SUM(V2:V16)+SUM(E37:E42))</f>
        <v>10700</v>
      </c>
      <c r="D30" s="1925"/>
      <c r="E30" s="1842"/>
      <c r="F30" s="1926"/>
      <c r="G30" s="1842"/>
      <c r="H30" s="1842"/>
      <c r="I30" s="1842"/>
      <c r="J30" s="1927"/>
      <c r="K30" s="1056">
        <f>E33/'数据-汇总表'!E3</f>
        <v>0.15972785955412938</v>
      </c>
      <c r="L30" s="3054" t="s">
        <v>1920</v>
      </c>
      <c r="M30" s="3055" t="s">
        <v>1974</v>
      </c>
      <c r="N30" s="3055" t="s">
        <v>1975</v>
      </c>
      <c r="O30" s="3055" t="s">
        <v>1976</v>
      </c>
      <c r="P30" s="3055" t="s">
        <v>1977</v>
      </c>
      <c r="Q30" s="3058" t="s">
        <v>3237</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2009</v>
      </c>
      <c r="C31" s="722">
        <f>E34+SUM(I37:I42)</f>
        <v>0</v>
      </c>
      <c r="D31" s="1929"/>
      <c r="E31" s="1930"/>
      <c r="F31" s="1931"/>
      <c r="G31" s="1930"/>
      <c r="H31" s="1930"/>
      <c r="I31" s="1930"/>
      <c r="J31" s="1932"/>
      <c r="K31" s="1056"/>
      <c r="L31" s="3056" t="s">
        <v>1980</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2010</v>
      </c>
      <c r="C32" s="1935" t="s">
        <v>2011</v>
      </c>
      <c r="D32" s="1935" t="s">
        <v>2012</v>
      </c>
      <c r="E32" s="1936" t="s">
        <v>2013</v>
      </c>
      <c r="F32" s="1937"/>
      <c r="G32" s="1881"/>
      <c r="H32" s="1881"/>
      <c r="I32" s="1881"/>
      <c r="J32" s="1882"/>
      <c r="K32" s="1056"/>
      <c r="L32" s="3057" t="s">
        <v>1983</v>
      </c>
      <c r="M32" s="2354">
        <f>ROUND($E$24*(1+M31),3)</f>
        <v>5.3999999999999999E-2</v>
      </c>
      <c r="N32" s="2354">
        <f>ROUND($E$24*(1+N31),3)</f>
        <v>5.1999999999999998E-2</v>
      </c>
      <c r="O32" s="2354">
        <f>ROUND($E$24*(1+O31),3)</f>
        <v>0.05</v>
      </c>
      <c r="P32" s="2354">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2014</v>
      </c>
      <c r="C33" s="167">
        <f>ROUND(C5*C22*C23*C24*C25*C28,0)</f>
        <v>887</v>
      </c>
      <c r="D33" s="1940">
        <f>'数据-基础表'!A3</f>
        <v>120628.8</v>
      </c>
      <c r="E33" s="727">
        <f>ROUND(C33*D33/10000,0)</f>
        <v>10700</v>
      </c>
      <c r="F33" s="3049" t="s">
        <v>3235</v>
      </c>
      <c r="G33" s="1941"/>
      <c r="H33" s="1941"/>
      <c r="I33" s="1941"/>
      <c r="J33" s="1942"/>
      <c r="K33" s="1056"/>
      <c r="L33" s="3052" t="s">
        <v>3238</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2015</v>
      </c>
      <c r="C34" s="179">
        <f>ROUND(IF(E2="工业",C33*M42,IF(B25="楼层修正",SUM(V2:V16)*M41*10000/D34,C33*M41)),0)</f>
        <v>133</v>
      </c>
      <c r="D34" s="1945"/>
      <c r="E34" s="727">
        <f>ROUND(IF(B25="楼层修正",SUM(V2:V16)*M40,C34*D34/10000),0)</f>
        <v>0</v>
      </c>
      <c r="F34" s="1946" t="s">
        <v>2016</v>
      </c>
      <c r="G34" s="1947"/>
      <c r="H34" s="1947"/>
      <c r="I34" s="1947"/>
      <c r="J34" s="1948"/>
      <c r="K34" s="1056"/>
      <c r="L34" s="3052" t="s">
        <v>3239</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2017</v>
      </c>
      <c r="C35" s="3050" t="s">
        <v>3236</v>
      </c>
      <c r="D35" s="1881"/>
      <c r="E35" s="1951"/>
      <c r="F35" s="1951"/>
      <c r="G35" s="1879" t="s">
        <v>2018</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2011</v>
      </c>
      <c r="D36" s="433" t="s">
        <v>2012</v>
      </c>
      <c r="E36" s="433" t="s">
        <v>2013</v>
      </c>
      <c r="F36" s="333" t="s">
        <v>2019</v>
      </c>
      <c r="G36" s="1954" t="s">
        <v>2011</v>
      </c>
      <c r="H36" s="1954" t="s">
        <v>2012</v>
      </c>
      <c r="I36" s="1954" t="s">
        <v>2013</v>
      </c>
      <c r="J36" s="235"/>
      <c r="K36" s="1964" t="s">
        <v>3240</v>
      </c>
      <c r="L36" s="3141">
        <f ca="1">'数据-取费表'!B40</f>
        <v>3.1E-2</v>
      </c>
      <c r="M36" s="2364">
        <f ca="1">ROUND($L$36*(1+M31),3)</f>
        <v>3.9E-2</v>
      </c>
      <c r="N36" s="2364">
        <f ca="1">ROUND($L$36*(1+N31),3)</f>
        <v>3.6999999999999998E-2</v>
      </c>
      <c r="O36" s="2364">
        <f ca="1">ROUND($L$36*(1+O31),3)</f>
        <v>3.5999999999999997E-2</v>
      </c>
      <c r="P36" s="2364">
        <f ca="1">ROUND($L$36*(1+P31),3)</f>
        <v>3.4000000000000002E-2</v>
      </c>
      <c r="Q36" s="2364">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514"/>
      <c r="B37" s="1955" t="s">
        <v>2020</v>
      </c>
      <c r="C37" s="167">
        <f>ROUND(D5*C22*C23*C24*C28*F37,0)</f>
        <v>443</v>
      </c>
      <c r="D37" s="1940"/>
      <c r="E37" s="163">
        <f>ROUND(C37*D37/10000,0)</f>
        <v>0</v>
      </c>
      <c r="F37" s="163">
        <f>SUMIF(修正!A57:A68,G2,修正!B57:B68)</f>
        <v>0.5</v>
      </c>
      <c r="G37" s="163">
        <f>ROUND(IF(E2="工业",C37*$M$42,C37*$M$41),0)</f>
        <v>66</v>
      </c>
      <c r="H37" s="163">
        <f>D37</f>
        <v>0</v>
      </c>
      <c r="I37" s="163">
        <f>ROUND(G37*H37/10000,0)</f>
        <v>0</v>
      </c>
      <c r="J37" s="2753"/>
      <c r="K37" s="3060" t="s">
        <v>3241</v>
      </c>
      <c r="L37" s="1964">
        <f ca="1">L36+K38</f>
        <v>3.5999999999999997E-2</v>
      </c>
      <c r="M37" s="2364">
        <f ca="1">ROUND($L$37*(1+M31),3)</f>
        <v>4.4999999999999998E-2</v>
      </c>
      <c r="N37" s="2364">
        <f t="shared" ref="N37:Q37" ca="1" si="3">ROUND($L$37*(1+N31),3)</f>
        <v>4.2999999999999997E-2</v>
      </c>
      <c r="O37" s="2364">
        <f t="shared" ca="1" si="3"/>
        <v>4.1000000000000002E-2</v>
      </c>
      <c r="P37" s="2364">
        <f t="shared" ca="1" si="3"/>
        <v>0.04</v>
      </c>
      <c r="Q37" s="2364">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515"/>
      <c r="B38" s="1884" t="s">
        <v>2021</v>
      </c>
      <c r="C38" s="167">
        <f>ROUND(D5*C22*C23*C24*C28*F38,0)</f>
        <v>177</v>
      </c>
      <c r="D38" s="1940"/>
      <c r="E38" s="163">
        <f t="shared" ref="E38:E42" si="4">ROUND(C38*D38/10000,0)</f>
        <v>0</v>
      </c>
      <c r="F38" s="163">
        <f>SUMIF(修正!A57:A68,G2,修正!C57:C68)</f>
        <v>0.2</v>
      </c>
      <c r="G38" s="163">
        <f>ROUND(IF(E2="工业",C38*$M$42,C38*$M$41),0)</f>
        <v>27</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515"/>
      <c r="B39" s="1884" t="s">
        <v>3234</v>
      </c>
      <c r="C39" s="167">
        <f>ROUND(D5*C22*C23*C24*C28*F39,0)</f>
        <v>177</v>
      </c>
      <c r="D39" s="1940"/>
      <c r="E39" s="163">
        <f t="shared" si="4"/>
        <v>0</v>
      </c>
      <c r="F39" s="163">
        <f>SUMIF(修正!A57:A68,G2,修正!D57:D68)</f>
        <v>0.2</v>
      </c>
      <c r="G39" s="163">
        <f>ROUND(IF(E2="工业",C39*$M$42,C39*$M$41),0)</f>
        <v>27</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2022</v>
      </c>
      <c r="C40" s="163">
        <f>ROUND(D5*C22*C23*C24*C28*F40,0)</f>
        <v>177</v>
      </c>
      <c r="D40" s="1940"/>
      <c r="E40" s="163">
        <f t="shared" si="4"/>
        <v>0</v>
      </c>
      <c r="F40" s="167">
        <f>SUMIF(修正!A57:A68,G2,修正!E57:E68)</f>
        <v>0.2</v>
      </c>
      <c r="G40" s="163">
        <f>ROUND(IF(E2="工业",C40*$M$42,C40*$M$41),0)</f>
        <v>27</v>
      </c>
      <c r="H40" s="163">
        <f t="shared" si="5"/>
        <v>0</v>
      </c>
      <c r="I40" s="163">
        <f t="shared" si="6"/>
        <v>0</v>
      </c>
      <c r="J40" s="939"/>
      <c r="L40" s="1957" t="s">
        <v>2023</v>
      </c>
      <c r="M40" s="1958"/>
      <c r="Z40" s="1057"/>
      <c r="AA40" s="1057"/>
      <c r="AB40" s="1057"/>
      <c r="AC40" s="1057"/>
      <c r="AD40" s="1057"/>
      <c r="AE40" s="1057"/>
      <c r="AF40" s="1057"/>
      <c r="AG40" s="1057"/>
      <c r="AH40" s="1057"/>
      <c r="AI40" s="1057"/>
      <c r="AJ40" s="1057"/>
    </row>
    <row r="41" spans="1:37" s="1056" customFormat="1">
      <c r="A41" s="1956"/>
      <c r="B41" s="1884" t="s">
        <v>2024</v>
      </c>
      <c r="C41" s="163">
        <f>ROUND(D5*C22*C23*C44*C28*F41,0)</f>
        <v>177</v>
      </c>
      <c r="D41" s="1940"/>
      <c r="E41" s="163">
        <f t="shared" si="4"/>
        <v>0</v>
      </c>
      <c r="F41" s="167">
        <f>SUMIF(修正!A57:A68,G2,修正!F57:F68)</f>
        <v>0.2</v>
      </c>
      <c r="G41" s="163">
        <f>ROUND(IF(E2="工业",C41*$M$42,C41*$M$41),0)</f>
        <v>27</v>
      </c>
      <c r="H41" s="163">
        <f t="shared" si="5"/>
        <v>0</v>
      </c>
      <c r="I41" s="163">
        <f t="shared" si="6"/>
        <v>0</v>
      </c>
      <c r="J41" s="939"/>
      <c r="L41" s="3061" t="s">
        <v>3242</v>
      </c>
      <c r="M41" s="1959">
        <v>0.25</v>
      </c>
      <c r="Z41" s="1057"/>
      <c r="AA41" s="1057"/>
      <c r="AB41" s="1057"/>
      <c r="AC41" s="1057"/>
      <c r="AD41" s="1057"/>
      <c r="AE41" s="1057"/>
      <c r="AF41" s="1057"/>
      <c r="AG41" s="1057"/>
      <c r="AH41" s="1057"/>
      <c r="AI41" s="1057"/>
      <c r="AJ41" s="1057"/>
    </row>
    <row r="42" spans="1:37" s="1056" customFormat="1" ht="13.5" thickBot="1">
      <c r="A42" s="1943"/>
      <c r="B42" s="1960" t="s">
        <v>2025</v>
      </c>
      <c r="C42" s="179">
        <f>ROUND(D5*C22*C23*C44*C28*F42,0)</f>
        <v>89</v>
      </c>
      <c r="D42" s="1945"/>
      <c r="E42" s="179">
        <f t="shared" si="4"/>
        <v>0</v>
      </c>
      <c r="F42" s="723">
        <f>SUMIF(修正!A57:A68,G2,修正!G57:G68)</f>
        <v>0.1</v>
      </c>
      <c r="G42" s="179">
        <f>ROUND(IF(E2="工业",C42*$M$42,C42*$M$41),0)</f>
        <v>13</v>
      </c>
      <c r="H42" s="179">
        <f t="shared" si="5"/>
        <v>0</v>
      </c>
      <c r="I42" s="179">
        <f t="shared" si="6"/>
        <v>0</v>
      </c>
      <c r="J42" s="1961"/>
      <c r="L42" s="1962" t="s">
        <v>1977</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2106</v>
      </c>
      <c r="C44" s="333">
        <f>ROUND(POWER(1+E44,H44-G44)*(POWER(1+E44,G44)-1)/(POWER(1+E44,H44)-1),4)</f>
        <v>0.82240000000000002</v>
      </c>
      <c r="D44" s="163" t="s">
        <v>1983</v>
      </c>
      <c r="E44" s="1991">
        <f>G24</f>
        <v>0.05</v>
      </c>
      <c r="F44" s="163" t="s">
        <v>1992</v>
      </c>
      <c r="G44" s="175">
        <f>项目基本情况!H15</f>
        <v>28.47</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2026</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2027</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2028</v>
      </c>
      <c r="B49" s="1262" t="s">
        <v>2029</v>
      </c>
      <c r="C49" s="1262" t="s">
        <v>2030</v>
      </c>
      <c r="D49" s="1262" t="s">
        <v>2031</v>
      </c>
      <c r="E49" s="701" t="s">
        <v>2032</v>
      </c>
      <c r="F49" s="1971" t="s">
        <v>2033</v>
      </c>
      <c r="G49" s="1262" t="s">
        <v>310</v>
      </c>
      <c r="H49" s="1972" t="s">
        <v>2034</v>
      </c>
      <c r="I49" s="1262" t="s">
        <v>2035</v>
      </c>
      <c r="J49" s="530" t="s">
        <v>1705</v>
      </c>
      <c r="K49" s="530" t="s">
        <v>1706</v>
      </c>
      <c r="L49" s="530" t="s">
        <v>1707</v>
      </c>
      <c r="M49" s="530" t="s">
        <v>1708</v>
      </c>
      <c r="N49" s="530" t="s">
        <v>1709</v>
      </c>
      <c r="AA49" s="1057"/>
      <c r="AB49" s="1057"/>
      <c r="AC49" s="1057"/>
      <c r="AD49" s="1057"/>
      <c r="AE49" s="1057"/>
      <c r="AF49" s="1057"/>
      <c r="AG49" s="1057"/>
      <c r="AH49" s="1057"/>
      <c r="AI49" s="1057"/>
      <c r="AJ49" s="1057"/>
      <c r="AK49" s="1057"/>
    </row>
    <row r="50" spans="1:37" s="1056" customFormat="1" ht="24.75">
      <c r="A50" s="1970" t="s">
        <v>2036</v>
      </c>
      <c r="B50" s="1973">
        <f>估价对象房地状况!C4</f>
        <v>0</v>
      </c>
      <c r="C50" s="1887"/>
      <c r="D50" s="1002">
        <f t="shared" ref="D50:D58" si="7">SUMIF($J$49:$N$49,C50,J50:N50)</f>
        <v>0</v>
      </c>
      <c r="E50" s="702">
        <f>ROUND(SUM(D50:D58),4)</f>
        <v>0</v>
      </c>
      <c r="F50" s="1675" t="str">
        <f>IF(E2="商业",SUMIF(L1:L12,G2,N1:N12),"——")</f>
        <v>——</v>
      </c>
      <c r="G50" s="1000"/>
      <c r="H50" s="1003" t="str">
        <f t="shared" ref="H50:H58" si="8">IFERROR(ROUNDDOWN($F$50*I50/2,4),"——")</f>
        <v>——</v>
      </c>
      <c r="I50" s="3067">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14.25">
      <c r="A51" s="1970" t="s">
        <v>2037</v>
      </c>
      <c r="B51" s="1262">
        <f>估价对象房地状况!C18</f>
        <v>0</v>
      </c>
      <c r="C51" s="1887"/>
      <c r="D51" s="1002">
        <f t="shared" si="7"/>
        <v>0</v>
      </c>
      <c r="E51" s="703"/>
      <c r="F51" s="1675"/>
      <c r="G51" s="1000"/>
      <c r="H51" s="1003" t="str">
        <f t="shared" si="8"/>
        <v>——</v>
      </c>
      <c r="I51" s="3067">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69" t="s">
        <v>3244</v>
      </c>
      <c r="B52" s="1262">
        <f>估价对象房地状况!C19</f>
        <v>0</v>
      </c>
      <c r="C52" s="1887"/>
      <c r="D52" s="1002">
        <f t="shared" si="7"/>
        <v>0</v>
      </c>
      <c r="E52" s="703"/>
      <c r="F52" s="1675"/>
      <c r="G52" s="1000"/>
      <c r="H52" s="1003" t="str">
        <f t="shared" si="8"/>
        <v>——</v>
      </c>
      <c r="I52" s="3067">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70" t="s">
        <v>2038</v>
      </c>
      <c r="B53" s="1974" t="s">
        <v>2039</v>
      </c>
      <c r="C53" s="1887"/>
      <c r="D53" s="1002">
        <f t="shared" si="7"/>
        <v>0</v>
      </c>
      <c r="E53" s="703"/>
      <c r="F53" s="1675"/>
      <c r="G53" s="1000"/>
      <c r="H53" s="1003" t="str">
        <f t="shared" si="8"/>
        <v>——</v>
      </c>
      <c r="I53" s="3067">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2040</v>
      </c>
      <c r="B54" s="1262">
        <f>估价对象房地状况!C24</f>
        <v>0</v>
      </c>
      <c r="C54" s="1887"/>
      <c r="D54" s="1002">
        <f t="shared" si="7"/>
        <v>0</v>
      </c>
      <c r="E54" s="703"/>
      <c r="F54" s="1675"/>
      <c r="G54" s="1000"/>
      <c r="H54" s="1003" t="str">
        <f t="shared" si="8"/>
        <v>——</v>
      </c>
      <c r="I54" s="3067">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70" t="s">
        <v>2041</v>
      </c>
      <c r="B55" s="1975" t="s">
        <v>2042</v>
      </c>
      <c r="C55" s="1887"/>
      <c r="D55" s="1002">
        <f t="shared" si="7"/>
        <v>0</v>
      </c>
      <c r="E55" s="703"/>
      <c r="F55" s="1675"/>
      <c r="G55" s="1000"/>
      <c r="H55" s="1003" t="str">
        <f t="shared" si="8"/>
        <v>——</v>
      </c>
      <c r="I55" s="3067">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4">
      <c r="A56" s="1976" t="s">
        <v>2043</v>
      </c>
      <c r="B56" s="1240">
        <f>估价对象房地状况!C21</f>
        <v>0</v>
      </c>
      <c r="C56" s="1887"/>
      <c r="D56" s="1002">
        <f t="shared" si="7"/>
        <v>0</v>
      </c>
      <c r="E56" s="703"/>
      <c r="F56" s="1675"/>
      <c r="G56" s="1000"/>
      <c r="H56" s="1003" t="str">
        <f t="shared" si="8"/>
        <v>——</v>
      </c>
      <c r="I56" s="3067">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4">
      <c r="A57" s="1976" t="s">
        <v>2044</v>
      </c>
      <c r="B57" s="1262">
        <f>估价对象房地状况!C22</f>
        <v>0</v>
      </c>
      <c r="C57" s="1887"/>
      <c r="D57" s="1002">
        <f t="shared" si="7"/>
        <v>0</v>
      </c>
      <c r="E57" s="703"/>
      <c r="F57" s="1675"/>
      <c r="G57" s="1000"/>
      <c r="H57" s="1003" t="str">
        <f t="shared" si="8"/>
        <v>——</v>
      </c>
      <c r="I57" s="3067">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4.75" thickBot="1">
      <c r="A58" s="1977" t="s">
        <v>2045</v>
      </c>
      <c r="B58" s="1978">
        <f>估价对象房地状况!C20</f>
        <v>0</v>
      </c>
      <c r="C58" s="1887"/>
      <c r="D58" s="1002">
        <f t="shared" si="7"/>
        <v>0</v>
      </c>
      <c r="E58" s="704"/>
      <c r="F58" s="1675"/>
      <c r="G58" s="1000"/>
      <c r="H58" s="1003" t="str">
        <f t="shared" si="8"/>
        <v>——</v>
      </c>
      <c r="I58" s="3068">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7" t="s">
        <v>2046</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2028</v>
      </c>
      <c r="B60" s="1262"/>
      <c r="C60" s="1262" t="s">
        <v>2030</v>
      </c>
      <c r="D60" s="1262" t="s">
        <v>2031</v>
      </c>
      <c r="E60" s="701" t="s">
        <v>2032</v>
      </c>
      <c r="F60" s="1971" t="s">
        <v>2047</v>
      </c>
      <c r="G60" s="1262" t="s">
        <v>310</v>
      </c>
      <c r="H60" s="1972" t="s">
        <v>2034</v>
      </c>
      <c r="I60" s="1262" t="s">
        <v>2035</v>
      </c>
      <c r="J60" s="530" t="s">
        <v>1705</v>
      </c>
      <c r="K60" s="530" t="s">
        <v>1706</v>
      </c>
      <c r="L60" s="530" t="s">
        <v>1707</v>
      </c>
      <c r="M60" s="530" t="s">
        <v>1708</v>
      </c>
      <c r="N60" s="530" t="s">
        <v>1709</v>
      </c>
      <c r="AA60" s="1057"/>
      <c r="AB60" s="1057"/>
      <c r="AC60" s="1057"/>
      <c r="AD60" s="1057"/>
      <c r="AE60" s="1057"/>
      <c r="AF60" s="1057"/>
      <c r="AG60" s="1057"/>
      <c r="AH60" s="1057"/>
      <c r="AI60" s="1057"/>
      <c r="AJ60" s="1057"/>
      <c r="AK60" s="1057"/>
    </row>
    <row r="61" spans="1:37" s="1056" customFormat="1" ht="24">
      <c r="A61" s="1970" t="s">
        <v>2048</v>
      </c>
      <c r="B61" s="1973">
        <f>估价对象房地状况!C17</f>
        <v>0</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14.25">
      <c r="A62" s="1970" t="s">
        <v>2037</v>
      </c>
      <c r="B62" s="1262">
        <f>估价对象房地状况!C18</f>
        <v>0</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69" t="s">
        <v>3244</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70" t="s">
        <v>2038</v>
      </c>
      <c r="B64" s="1974" t="s">
        <v>2039</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2040</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70" t="s">
        <v>2041</v>
      </c>
      <c r="B66" s="1975" t="s">
        <v>2042</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4">
      <c r="A67" s="1970" t="s">
        <v>2043</v>
      </c>
      <c r="B67" s="1240">
        <f>估价对象房地状况!C21</f>
        <v>0</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4">
      <c r="A68" s="1970" t="s">
        <v>2044</v>
      </c>
      <c r="B68" s="1240">
        <f>估价对象房地状况!C22</f>
        <v>0</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4.75" thickBot="1">
      <c r="A69" s="1977" t="s">
        <v>2045</v>
      </c>
      <c r="B69" s="1979">
        <f>估价对象房地状况!C20</f>
        <v>0</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2049</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2028</v>
      </c>
      <c r="B71" s="1262"/>
      <c r="C71" s="1262" t="s">
        <v>2030</v>
      </c>
      <c r="D71" s="1262" t="s">
        <v>2031</v>
      </c>
      <c r="E71" s="701" t="s">
        <v>2032</v>
      </c>
      <c r="F71" s="1971" t="s">
        <v>2047</v>
      </c>
      <c r="G71" s="1262" t="s">
        <v>310</v>
      </c>
      <c r="H71" s="1972" t="s">
        <v>2034</v>
      </c>
      <c r="I71" s="1262" t="s">
        <v>2035</v>
      </c>
      <c r="J71" s="530" t="s">
        <v>1705</v>
      </c>
      <c r="K71" s="530" t="s">
        <v>1706</v>
      </c>
      <c r="L71" s="530" t="s">
        <v>1707</v>
      </c>
      <c r="M71" s="530" t="s">
        <v>1708</v>
      </c>
      <c r="N71" s="530" t="s">
        <v>1709</v>
      </c>
      <c r="AA71" s="1057"/>
      <c r="AB71" s="1057"/>
      <c r="AC71" s="1057"/>
      <c r="AD71" s="1057"/>
      <c r="AE71" s="1057"/>
      <c r="AF71" s="1057"/>
      <c r="AG71" s="1057"/>
      <c r="AH71" s="1057"/>
      <c r="AI71" s="1057"/>
      <c r="AJ71" s="1057"/>
      <c r="AK71" s="1057"/>
    </row>
    <row r="72" spans="1:37" s="1056" customFormat="1" ht="24">
      <c r="A72" s="1970" t="s">
        <v>2050</v>
      </c>
      <c r="B72" s="1973">
        <f>估价对象房地状况!C15</f>
        <v>0</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14.25">
      <c r="A73" s="1970" t="s">
        <v>2037</v>
      </c>
      <c r="B73" s="1262">
        <f>估价对象房地状况!C18</f>
        <v>0</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69" t="s">
        <v>3244</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2051</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4">
      <c r="A76" s="1970" t="s">
        <v>2043</v>
      </c>
      <c r="B76" s="1240">
        <f>估价对象房地状况!C21</f>
        <v>0</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4">
      <c r="A77" s="1970" t="s">
        <v>2044</v>
      </c>
      <c r="B77" s="1240">
        <f>估价对象房地状况!C22</f>
        <v>0</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2041</v>
      </c>
      <c r="B78" s="1975" t="s">
        <v>2042</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24">
      <c r="A79" s="1970" t="s">
        <v>2045</v>
      </c>
      <c r="B79" s="1973">
        <f>估价对象房地状况!C20</f>
        <v>0</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24.75" thickBot="1">
      <c r="A80" s="1977" t="s">
        <v>2052</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5">
      <c r="A81" s="1967" t="s">
        <v>2053</v>
      </c>
      <c r="B81" s="1968">
        <f>1+E83</f>
        <v>1.0373000000000001</v>
      </c>
      <c r="C81" s="699"/>
      <c r="D81" s="699"/>
      <c r="E81" s="700"/>
      <c r="F81" s="1969"/>
      <c r="G81" s="3"/>
      <c r="H81" s="3"/>
      <c r="I81" s="3"/>
      <c r="J81" s="4"/>
      <c r="K81" s="4"/>
      <c r="L81" s="4"/>
      <c r="M81" s="4"/>
      <c r="N81" s="4"/>
      <c r="Z81" s="1845"/>
      <c r="AA81" s="1895"/>
      <c r="AG81" s="1058"/>
      <c r="AK81" s="1895"/>
    </row>
    <row r="82" spans="1:37" ht="24.75">
      <c r="A82" s="1970" t="s">
        <v>2028</v>
      </c>
      <c r="B82" s="1262"/>
      <c r="C82" s="1262" t="s">
        <v>2030</v>
      </c>
      <c r="D82" s="1262" t="s">
        <v>2031</v>
      </c>
      <c r="E82" s="701" t="s">
        <v>2032</v>
      </c>
      <c r="F82" s="1971" t="s">
        <v>2047</v>
      </c>
      <c r="G82" s="1262" t="s">
        <v>310</v>
      </c>
      <c r="H82" s="1972" t="s">
        <v>2034</v>
      </c>
      <c r="I82" s="1262" t="s">
        <v>2035</v>
      </c>
      <c r="J82" s="530" t="s">
        <v>1705</v>
      </c>
      <c r="K82" s="530" t="s">
        <v>1706</v>
      </c>
      <c r="L82" s="530" t="s">
        <v>1707</v>
      </c>
      <c r="M82" s="530" t="s">
        <v>1708</v>
      </c>
      <c r="N82" s="530" t="s">
        <v>1709</v>
      </c>
      <c r="Z82" s="1845"/>
      <c r="AA82" s="1895"/>
      <c r="AG82" s="1058"/>
      <c r="AK82" s="1895"/>
    </row>
    <row r="83" spans="1:37" ht="24">
      <c r="A83" s="1970" t="s">
        <v>2054</v>
      </c>
      <c r="B83" s="1262">
        <f>估价对象房地状况!G15</f>
        <v>0</v>
      </c>
      <c r="C83" s="1887" t="s">
        <v>3390</v>
      </c>
      <c r="D83" s="1002">
        <f t="shared" ref="D83:D90" si="22">SUMIF($J$82:$N$82,C83,J83:N83)</f>
        <v>1.6500000000000001E-2</v>
      </c>
      <c r="E83" s="702">
        <f>ROUND(SUM(D83:D90),4)</f>
        <v>3.73E-2</v>
      </c>
      <c r="F83" s="1675">
        <f>IF(E2="工业",SUMIF(L1:L12,G2,N1:N12),"——")</f>
        <v>0.127</v>
      </c>
      <c r="G83" s="1000">
        <f>H83</f>
        <v>1.6500000000000001E-2</v>
      </c>
      <c r="H83" s="1003">
        <f t="shared" ref="H83:H90" si="23">IFERROR(ROUNDDOWN($F$83*I83/2,4),"——")</f>
        <v>1.6500000000000001E-2</v>
      </c>
      <c r="I83" s="3067">
        <v>0.26</v>
      </c>
      <c r="J83" s="1001">
        <f t="shared" ref="J83:J90" si="24">K83+$G83</f>
        <v>3.3000000000000002E-2</v>
      </c>
      <c r="K83" s="1001">
        <f t="shared" ref="K83:K90" si="25">$L83+$G83</f>
        <v>1.6500000000000001E-2</v>
      </c>
      <c r="L83" s="1001">
        <v>0</v>
      </c>
      <c r="M83" s="1001">
        <f t="shared" ref="M83:N90" si="26">L83-$G83</f>
        <v>-1.6500000000000001E-2</v>
      </c>
      <c r="N83" s="1001">
        <f t="shared" si="26"/>
        <v>-3.3000000000000002E-2</v>
      </c>
      <c r="Z83" s="1845"/>
      <c r="AA83" s="1895"/>
      <c r="AG83" s="1058"/>
      <c r="AK83" s="1895"/>
    </row>
    <row r="84" spans="1:37" ht="14.25">
      <c r="A84" s="1970" t="s">
        <v>2037</v>
      </c>
      <c r="B84" s="1262">
        <f>估价对象房地状况!G16</f>
        <v>0</v>
      </c>
      <c r="C84" s="1887" t="s">
        <v>3391</v>
      </c>
      <c r="D84" s="1002">
        <f t="shared" si="22"/>
        <v>0</v>
      </c>
      <c r="E84" s="705"/>
      <c r="F84" s="1675"/>
      <c r="G84" s="1000">
        <f t="shared" ref="G84:G90" si="27">H84</f>
        <v>1.9E-2</v>
      </c>
      <c r="H84" s="1003">
        <f t="shared" si="23"/>
        <v>1.9E-2</v>
      </c>
      <c r="I84" s="3067">
        <v>0.3</v>
      </c>
      <c r="J84" s="1001">
        <f t="shared" si="24"/>
        <v>3.7999999999999999E-2</v>
      </c>
      <c r="K84" s="1001">
        <f t="shared" si="25"/>
        <v>1.9E-2</v>
      </c>
      <c r="L84" s="1001">
        <v>0</v>
      </c>
      <c r="M84" s="1001">
        <f t="shared" si="26"/>
        <v>-1.9E-2</v>
      </c>
      <c r="N84" s="1001">
        <f t="shared" si="26"/>
        <v>-3.7999999999999999E-2</v>
      </c>
      <c r="Z84" s="1845"/>
      <c r="AA84" s="1895"/>
      <c r="AG84" s="1058"/>
      <c r="AK84" s="1895"/>
    </row>
    <row r="85" spans="1:37" ht="36">
      <c r="A85" s="3069" t="s">
        <v>3245</v>
      </c>
      <c r="B85" s="1262">
        <f>估价对象房地状况!G17</f>
        <v>0</v>
      </c>
      <c r="C85" s="1887" t="s">
        <v>3390</v>
      </c>
      <c r="D85" s="1002">
        <f t="shared" si="22"/>
        <v>6.3E-3</v>
      </c>
      <c r="E85" s="705"/>
      <c r="F85" s="1675"/>
      <c r="G85" s="1000">
        <f t="shared" si="27"/>
        <v>6.3E-3</v>
      </c>
      <c r="H85" s="1003">
        <f t="shared" si="23"/>
        <v>6.3E-3</v>
      </c>
      <c r="I85" s="3067">
        <v>0.1</v>
      </c>
      <c r="J85" s="1001">
        <f t="shared" si="24"/>
        <v>1.26E-2</v>
      </c>
      <c r="K85" s="1001">
        <f t="shared" si="25"/>
        <v>6.3E-3</v>
      </c>
      <c r="L85" s="1001">
        <v>0</v>
      </c>
      <c r="M85" s="1001">
        <f t="shared" si="26"/>
        <v>-6.3E-3</v>
      </c>
      <c r="N85" s="1001">
        <f t="shared" si="26"/>
        <v>-1.26E-2</v>
      </c>
      <c r="Z85" s="1845"/>
      <c r="AA85" s="1895"/>
      <c r="AG85" s="1058"/>
      <c r="AK85" s="1895"/>
    </row>
    <row r="86" spans="1:37" ht="14.25">
      <c r="A86" s="1970" t="s">
        <v>2051</v>
      </c>
      <c r="B86" s="1262">
        <f>估价对象房地状况!G22</f>
        <v>0</v>
      </c>
      <c r="C86" s="1887" t="s">
        <v>3390</v>
      </c>
      <c r="D86" s="1002">
        <f t="shared" si="22"/>
        <v>3.0999999999999999E-3</v>
      </c>
      <c r="E86" s="705"/>
      <c r="F86" s="1675"/>
      <c r="G86" s="1000">
        <f t="shared" si="27"/>
        <v>3.0999999999999999E-3</v>
      </c>
      <c r="H86" s="1003">
        <f t="shared" si="23"/>
        <v>3.0999999999999999E-3</v>
      </c>
      <c r="I86" s="3067">
        <v>0.05</v>
      </c>
      <c r="J86" s="1001">
        <f t="shared" si="24"/>
        <v>6.1999999999999998E-3</v>
      </c>
      <c r="K86" s="1001">
        <f t="shared" si="25"/>
        <v>3.0999999999999999E-3</v>
      </c>
      <c r="L86" s="1001">
        <v>0</v>
      </c>
      <c r="M86" s="1001">
        <f t="shared" si="26"/>
        <v>-3.0999999999999999E-3</v>
      </c>
      <c r="N86" s="1001">
        <f t="shared" si="26"/>
        <v>-6.1999999999999998E-3</v>
      </c>
      <c r="Z86" s="1845"/>
      <c r="AA86" s="1895"/>
      <c r="AG86" s="1058"/>
      <c r="AK86" s="1895"/>
    </row>
    <row r="87" spans="1:37" ht="24">
      <c r="A87" s="1970" t="s">
        <v>2043</v>
      </c>
      <c r="B87" s="1240">
        <f>估价对象房地状况!G19</f>
        <v>0</v>
      </c>
      <c r="C87" s="1887" t="s">
        <v>3391</v>
      </c>
      <c r="D87" s="1002">
        <f t="shared" si="22"/>
        <v>0</v>
      </c>
      <c r="E87" s="705"/>
      <c r="F87" s="1675"/>
      <c r="G87" s="1000">
        <f t="shared" si="27"/>
        <v>3.8E-3</v>
      </c>
      <c r="H87" s="1003">
        <f t="shared" si="23"/>
        <v>3.8E-3</v>
      </c>
      <c r="I87" s="3067">
        <v>0.06</v>
      </c>
      <c r="J87" s="1001">
        <f t="shared" si="24"/>
        <v>7.6E-3</v>
      </c>
      <c r="K87" s="1001">
        <f t="shared" si="25"/>
        <v>3.8E-3</v>
      </c>
      <c r="L87" s="1001">
        <v>0</v>
      </c>
      <c r="M87" s="1001">
        <f t="shared" si="26"/>
        <v>-3.8E-3</v>
      </c>
      <c r="N87" s="1001">
        <f t="shared" si="26"/>
        <v>-7.6E-3</v>
      </c>
    </row>
    <row r="88" spans="1:37" ht="24">
      <c r="A88" s="1970" t="s">
        <v>2044</v>
      </c>
      <c r="B88" s="1240">
        <f>估价对象房地状况!G20</f>
        <v>0</v>
      </c>
      <c r="C88" s="1887" t="s">
        <v>3390</v>
      </c>
      <c r="D88" s="1002">
        <f t="shared" si="22"/>
        <v>7.6E-3</v>
      </c>
      <c r="E88" s="705"/>
      <c r="F88" s="1675"/>
      <c r="G88" s="1000">
        <f t="shared" si="27"/>
        <v>7.6E-3</v>
      </c>
      <c r="H88" s="1003">
        <f t="shared" si="23"/>
        <v>7.6E-3</v>
      </c>
      <c r="I88" s="3067">
        <v>0.12</v>
      </c>
      <c r="J88" s="1001">
        <f t="shared" si="24"/>
        <v>1.52E-2</v>
      </c>
      <c r="K88" s="1001">
        <f t="shared" si="25"/>
        <v>7.6E-3</v>
      </c>
      <c r="L88" s="1001">
        <v>0</v>
      </c>
      <c r="M88" s="1001">
        <f t="shared" si="26"/>
        <v>-7.6E-3</v>
      </c>
      <c r="N88" s="1001">
        <f t="shared" si="26"/>
        <v>-1.52E-2</v>
      </c>
    </row>
    <row r="89" spans="1:37" ht="24">
      <c r="A89" s="1970" t="s">
        <v>2041</v>
      </c>
      <c r="B89" s="1975" t="s">
        <v>2055</v>
      </c>
      <c r="C89" s="1887" t="s">
        <v>3390</v>
      </c>
      <c r="D89" s="1002">
        <f t="shared" si="22"/>
        <v>3.8E-3</v>
      </c>
      <c r="E89" s="705"/>
      <c r="F89" s="1675"/>
      <c r="G89" s="1000">
        <f t="shared" si="27"/>
        <v>3.8E-3</v>
      </c>
      <c r="H89" s="1003">
        <f t="shared" si="23"/>
        <v>3.8E-3</v>
      </c>
      <c r="I89" s="3067">
        <v>0.06</v>
      </c>
      <c r="J89" s="1001">
        <f t="shared" si="24"/>
        <v>7.6E-3</v>
      </c>
      <c r="K89" s="1001">
        <f t="shared" si="25"/>
        <v>3.8E-3</v>
      </c>
      <c r="L89" s="1001">
        <v>0</v>
      </c>
      <c r="M89" s="1001">
        <f t="shared" si="26"/>
        <v>-3.8E-3</v>
      </c>
      <c r="N89" s="1001">
        <f t="shared" si="26"/>
        <v>-7.6E-3</v>
      </c>
    </row>
    <row r="90" spans="1:37" ht="15" thickBot="1">
      <c r="A90" s="1977" t="s">
        <v>2056</v>
      </c>
      <c r="B90" s="1982">
        <f>估价对象房地状况!G18</f>
        <v>0</v>
      </c>
      <c r="C90" s="1887" t="s">
        <v>3391</v>
      </c>
      <c r="D90" s="1002">
        <f t="shared" si="22"/>
        <v>0</v>
      </c>
      <c r="E90" s="706"/>
      <c r="F90" s="1675"/>
      <c r="G90" s="1000">
        <f t="shared" si="27"/>
        <v>3.0999999999999999E-3</v>
      </c>
      <c r="H90" s="1003">
        <f t="shared" si="23"/>
        <v>3.0999999999999999E-3</v>
      </c>
      <c r="I90" s="3068">
        <v>0.05</v>
      </c>
      <c r="J90" s="1001">
        <f t="shared" si="24"/>
        <v>6.1999999999999998E-3</v>
      </c>
      <c r="K90" s="1001">
        <f t="shared" si="25"/>
        <v>3.0999999999999999E-3</v>
      </c>
      <c r="L90" s="1001">
        <v>0</v>
      </c>
      <c r="M90" s="1001">
        <f t="shared" si="26"/>
        <v>-3.0999999999999999E-3</v>
      </c>
      <c r="N90" s="1001">
        <f t="shared" si="26"/>
        <v>-6.1999999999999998E-3</v>
      </c>
    </row>
    <row r="91" spans="1:37" ht="15">
      <c r="A91" s="3077" t="s">
        <v>2587</v>
      </c>
      <c r="B91" s="3078">
        <f>1+E93</f>
        <v>1</v>
      </c>
      <c r="C91" s="3071"/>
      <c r="D91" s="3072"/>
      <c r="E91" s="1675"/>
      <c r="F91" s="1675"/>
      <c r="G91" s="3073"/>
      <c r="H91" s="3074"/>
      <c r="I91" s="3075"/>
      <c r="J91" s="3076"/>
      <c r="K91" s="3076"/>
      <c r="L91" s="3076"/>
      <c r="M91" s="3076"/>
      <c r="N91" s="3076"/>
    </row>
    <row r="92" spans="1:37" ht="24.75">
      <c r="A92" s="3079" t="s">
        <v>3246</v>
      </c>
      <c r="B92" s="2308"/>
      <c r="C92" s="2308" t="s">
        <v>3255</v>
      </c>
      <c r="D92" s="2308" t="s">
        <v>3256</v>
      </c>
      <c r="E92" s="3051" t="s">
        <v>3257</v>
      </c>
      <c r="F92" s="3081" t="s">
        <v>3258</v>
      </c>
      <c r="G92" s="2308" t="s">
        <v>3259</v>
      </c>
      <c r="H92" s="3088" t="s">
        <v>3262</v>
      </c>
      <c r="I92" s="2308" t="s">
        <v>3263</v>
      </c>
      <c r="J92" s="2150" t="s">
        <v>3264</v>
      </c>
      <c r="K92" s="2150" t="s">
        <v>3265</v>
      </c>
      <c r="L92" s="2150" t="s">
        <v>3266</v>
      </c>
      <c r="M92" s="2150" t="s">
        <v>3267</v>
      </c>
      <c r="N92" s="2150" t="s">
        <v>3268</v>
      </c>
    </row>
    <row r="93" spans="1:37" ht="24">
      <c r="A93" s="3069" t="s">
        <v>3247</v>
      </c>
      <c r="B93" s="1221"/>
      <c r="C93" s="1887"/>
      <c r="D93" s="2308">
        <f>SUMIF($J$92:$N$92,C93,J93:N93)</f>
        <v>0</v>
      </c>
      <c r="E93" s="3082">
        <f>ROUND(SUM(D93:D101),4)</f>
        <v>0</v>
      </c>
      <c r="F93" s="1675" t="str">
        <f>IF(E2="公共服务",SUMIF(L1:L12,G2,N1:N12),"——")</f>
        <v>——</v>
      </c>
      <c r="G93" s="3073"/>
      <c r="H93" s="3118" t="str">
        <f>IFERROR(ROUNDDOWN($F$93*I93/2,4),"——")</f>
        <v>——</v>
      </c>
      <c r="I93" s="3067">
        <v>0.25</v>
      </c>
      <c r="J93" s="1912">
        <f t="shared" ref="J93:J101" si="28">K93+$G93</f>
        <v>0</v>
      </c>
      <c r="K93" s="1912">
        <f t="shared" ref="K93:K101" si="29">$L93+$G93</f>
        <v>0</v>
      </c>
      <c r="L93" s="1912">
        <v>0</v>
      </c>
      <c r="M93" s="1912">
        <f t="shared" ref="M93:N101" si="30">L93-$G93</f>
        <v>0</v>
      </c>
      <c r="N93" s="1912">
        <f t="shared" si="30"/>
        <v>0</v>
      </c>
    </row>
    <row r="94" spans="1:37" ht="14.25">
      <c r="A94" s="3079" t="s">
        <v>3248</v>
      </c>
      <c r="B94" s="3070">
        <f>估价对象房地状况!C18</f>
        <v>0</v>
      </c>
      <c r="C94" s="1887"/>
      <c r="D94" s="2308">
        <f t="shared" ref="D94:D101" si="31">SUMIF($J$60:$N$60,C94,J94:N94)</f>
        <v>0</v>
      </c>
      <c r="E94" s="3083"/>
      <c r="F94" s="1675"/>
      <c r="G94" s="3073"/>
      <c r="H94" s="3118" t="str">
        <f>IFERROR(ROUNDDOWN($F$93*I94/2,4),"——")</f>
        <v>——</v>
      </c>
      <c r="I94" s="3067">
        <v>0.26</v>
      </c>
      <c r="J94" s="1912">
        <f t="shared" si="28"/>
        <v>0</v>
      </c>
      <c r="K94" s="1912">
        <f t="shared" si="29"/>
        <v>0</v>
      </c>
      <c r="L94" s="1912">
        <v>0</v>
      </c>
      <c r="M94" s="1912">
        <f t="shared" si="30"/>
        <v>0</v>
      </c>
      <c r="N94" s="1912">
        <f t="shared" si="30"/>
        <v>0</v>
      </c>
    </row>
    <row r="95" spans="1:37" ht="36">
      <c r="A95" s="3069" t="s">
        <v>3244</v>
      </c>
      <c r="B95" s="3070">
        <f>估价对象房地状况!C19</f>
        <v>0</v>
      </c>
      <c r="C95" s="1887"/>
      <c r="D95" s="2308">
        <f t="shared" si="31"/>
        <v>0</v>
      </c>
      <c r="E95" s="3083"/>
      <c r="F95" s="1675"/>
      <c r="G95" s="3073"/>
      <c r="H95" s="3118" t="str">
        <f t="shared" ref="H95:H101" si="32">IFERROR(ROUNDDOWN($F$93*I95/2,4),"——")</f>
        <v>——</v>
      </c>
      <c r="I95" s="3067">
        <v>0.11</v>
      </c>
      <c r="J95" s="1912">
        <f t="shared" si="28"/>
        <v>0</v>
      </c>
      <c r="K95" s="1912">
        <f t="shared" si="29"/>
        <v>0</v>
      </c>
      <c r="L95" s="1912">
        <v>0</v>
      </c>
      <c r="M95" s="1912">
        <f t="shared" si="30"/>
        <v>0</v>
      </c>
      <c r="N95" s="1912">
        <f t="shared" si="30"/>
        <v>0</v>
      </c>
    </row>
    <row r="96" spans="1:37" ht="36.75">
      <c r="A96" s="3079" t="s">
        <v>3249</v>
      </c>
      <c r="B96" s="3085" t="s">
        <v>3260</v>
      </c>
      <c r="C96" s="1887"/>
      <c r="D96" s="2308">
        <f t="shared" si="31"/>
        <v>0</v>
      </c>
      <c r="E96" s="3083"/>
      <c r="F96" s="1675"/>
      <c r="G96" s="3073"/>
      <c r="H96" s="3118" t="str">
        <f t="shared" si="32"/>
        <v>——</v>
      </c>
      <c r="I96" s="3067">
        <v>0.05</v>
      </c>
      <c r="J96" s="1912">
        <f t="shared" si="28"/>
        <v>0</v>
      </c>
      <c r="K96" s="1912">
        <f t="shared" si="29"/>
        <v>0</v>
      </c>
      <c r="L96" s="1912">
        <v>0</v>
      </c>
      <c r="M96" s="1912">
        <f t="shared" si="30"/>
        <v>0</v>
      </c>
      <c r="N96" s="1912">
        <f t="shared" si="30"/>
        <v>0</v>
      </c>
    </row>
    <row r="97" spans="1:14" ht="24">
      <c r="A97" s="3079" t="s">
        <v>3250</v>
      </c>
      <c r="B97" s="3070">
        <f>估价对象房地状况!C24</f>
        <v>0</v>
      </c>
      <c r="C97" s="1887"/>
      <c r="D97" s="2308">
        <f t="shared" si="31"/>
        <v>0</v>
      </c>
      <c r="E97" s="3083"/>
      <c r="F97" s="1675"/>
      <c r="G97" s="3073"/>
      <c r="H97" s="3118" t="str">
        <f t="shared" si="32"/>
        <v>——</v>
      </c>
      <c r="I97" s="3067">
        <v>0.05</v>
      </c>
      <c r="J97" s="1912">
        <f t="shared" si="28"/>
        <v>0</v>
      </c>
      <c r="K97" s="1912">
        <f t="shared" si="29"/>
        <v>0</v>
      </c>
      <c r="L97" s="1912">
        <v>0</v>
      </c>
      <c r="M97" s="1912">
        <f t="shared" si="30"/>
        <v>0</v>
      </c>
      <c r="N97" s="1912">
        <f t="shared" si="30"/>
        <v>0</v>
      </c>
    </row>
    <row r="98" spans="1:14" ht="24">
      <c r="A98" s="3079" t="s">
        <v>3251</v>
      </c>
      <c r="B98" s="3086" t="s">
        <v>3261</v>
      </c>
      <c r="C98" s="1887"/>
      <c r="D98" s="2308">
        <f t="shared" si="31"/>
        <v>0</v>
      </c>
      <c r="E98" s="3083"/>
      <c r="F98" s="1675"/>
      <c r="G98" s="3073"/>
      <c r="H98" s="3118" t="str">
        <f t="shared" si="32"/>
        <v>——</v>
      </c>
      <c r="I98" s="3067">
        <v>0.06</v>
      </c>
      <c r="J98" s="1912">
        <f t="shared" si="28"/>
        <v>0</v>
      </c>
      <c r="K98" s="1912">
        <f t="shared" si="29"/>
        <v>0</v>
      </c>
      <c r="L98" s="1912">
        <v>0</v>
      </c>
      <c r="M98" s="1912">
        <f t="shared" si="30"/>
        <v>0</v>
      </c>
      <c r="N98" s="1912">
        <f t="shared" si="30"/>
        <v>0</v>
      </c>
    </row>
    <row r="99" spans="1:14" ht="24">
      <c r="A99" s="3079" t="s">
        <v>3252</v>
      </c>
      <c r="B99" s="3070">
        <f>估价对象房地状况!C21</f>
        <v>0</v>
      </c>
      <c r="C99" s="1887"/>
      <c r="D99" s="2308">
        <f t="shared" si="31"/>
        <v>0</v>
      </c>
      <c r="E99" s="3083"/>
      <c r="F99" s="1675"/>
      <c r="G99" s="3073"/>
      <c r="H99" s="3118" t="str">
        <f t="shared" si="32"/>
        <v>——</v>
      </c>
      <c r="I99" s="3067">
        <v>0.06</v>
      </c>
      <c r="J99" s="1912">
        <f t="shared" si="28"/>
        <v>0</v>
      </c>
      <c r="K99" s="1912">
        <f t="shared" si="29"/>
        <v>0</v>
      </c>
      <c r="L99" s="1912">
        <v>0</v>
      </c>
      <c r="M99" s="1912">
        <f t="shared" si="30"/>
        <v>0</v>
      </c>
      <c r="N99" s="1912">
        <f t="shared" si="30"/>
        <v>0</v>
      </c>
    </row>
    <row r="100" spans="1:14" ht="24">
      <c r="A100" s="3079" t="s">
        <v>3253</v>
      </c>
      <c r="B100" s="3070">
        <f>估价对象房地状况!C22</f>
        <v>0</v>
      </c>
      <c r="C100" s="1887"/>
      <c r="D100" s="2308">
        <f t="shared" si="31"/>
        <v>0</v>
      </c>
      <c r="E100" s="3083"/>
      <c r="F100" s="1675"/>
      <c r="G100" s="3073"/>
      <c r="H100" s="3118" t="str">
        <f t="shared" si="32"/>
        <v>——</v>
      </c>
      <c r="I100" s="3067">
        <v>0.09</v>
      </c>
      <c r="J100" s="1912">
        <f t="shared" si="28"/>
        <v>0</v>
      </c>
      <c r="K100" s="1912">
        <f t="shared" si="29"/>
        <v>0</v>
      </c>
      <c r="L100" s="1912">
        <v>0</v>
      </c>
      <c r="M100" s="1912">
        <f t="shared" si="30"/>
        <v>0</v>
      </c>
      <c r="N100" s="1912">
        <f t="shared" si="30"/>
        <v>0</v>
      </c>
    </row>
    <row r="101" spans="1:14" ht="24.75" thickBot="1">
      <c r="A101" s="3080" t="s">
        <v>3254</v>
      </c>
      <c r="B101" s="3087">
        <f>估价对象房地状况!C20</f>
        <v>0</v>
      </c>
      <c r="C101" s="1887"/>
      <c r="D101" s="2308">
        <f t="shared" si="31"/>
        <v>0</v>
      </c>
      <c r="E101" s="3084"/>
      <c r="F101" s="1675"/>
      <c r="G101" s="3073"/>
      <c r="H101" s="3118" t="str">
        <f t="shared" si="32"/>
        <v>——</v>
      </c>
      <c r="I101" s="3068">
        <v>7.0000000000000007E-2</v>
      </c>
      <c r="J101" s="1912">
        <f t="shared" si="28"/>
        <v>0</v>
      </c>
      <c r="K101" s="1912">
        <f t="shared" si="29"/>
        <v>0</v>
      </c>
      <c r="L101" s="1912">
        <v>0</v>
      </c>
      <c r="M101" s="1912">
        <f t="shared" si="30"/>
        <v>0</v>
      </c>
      <c r="N101" s="1912">
        <f t="shared" si="30"/>
        <v>0</v>
      </c>
    </row>
    <row r="103" spans="1:14">
      <c r="A103" s="3512" t="s">
        <v>3269</v>
      </c>
      <c r="B103" s="3512"/>
      <c r="C103" s="3512"/>
      <c r="D103" s="3512"/>
      <c r="E103" s="3512"/>
      <c r="F103" s="3512"/>
      <c r="G103" s="3512"/>
      <c r="H103" s="3512"/>
      <c r="I103" s="3512"/>
      <c r="J103" s="3512"/>
      <c r="K103" s="1667"/>
      <c r="L103" s="1667"/>
      <c r="M103" s="1667"/>
      <c r="N103" s="1667"/>
    </row>
    <row r="104" spans="1:14">
      <c r="A104" s="3513" t="s">
        <v>3270</v>
      </c>
      <c r="B104" s="3513" t="s">
        <v>3271</v>
      </c>
      <c r="C104" s="3089" t="s">
        <v>3272</v>
      </c>
      <c r="D104" s="3090"/>
      <c r="E104" s="3090"/>
      <c r="F104" s="3090"/>
      <c r="G104" s="3090"/>
      <c r="H104" s="3090"/>
      <c r="I104" s="3090"/>
      <c r="J104" s="3091"/>
      <c r="K104" s="3092"/>
      <c r="L104" s="3092"/>
      <c r="M104" s="3092"/>
      <c r="N104" s="3092"/>
    </row>
    <row r="105" spans="1:14">
      <c r="A105" s="3513"/>
      <c r="B105" s="3513"/>
      <c r="C105" s="3093" t="s">
        <v>3273</v>
      </c>
      <c r="D105" s="3093" t="s">
        <v>3274</v>
      </c>
      <c r="E105" s="3093" t="s">
        <v>3275</v>
      </c>
      <c r="F105" s="3093" t="s">
        <v>3276</v>
      </c>
      <c r="G105" s="3093" t="s">
        <v>3277</v>
      </c>
      <c r="H105" s="3093" t="s">
        <v>3278</v>
      </c>
      <c r="I105" s="3093" t="s">
        <v>3279</v>
      </c>
      <c r="J105" s="3093" t="s">
        <v>3280</v>
      </c>
      <c r="K105" s="3093" t="s">
        <v>3281</v>
      </c>
      <c r="L105" s="3093" t="s">
        <v>3282</v>
      </c>
      <c r="M105" s="3093" t="s">
        <v>3283</v>
      </c>
      <c r="N105" s="3093" t="s">
        <v>3284</v>
      </c>
    </row>
    <row r="106" spans="1:14">
      <c r="A106" s="3499" t="s">
        <v>3285</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500"/>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500"/>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500"/>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500"/>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500"/>
      <c r="B111" s="3093" t="s">
        <v>3243</v>
      </c>
      <c r="C111" s="3094">
        <f>$I$3</f>
        <v>0</v>
      </c>
      <c r="D111" s="3094">
        <f t="shared" ref="D111:M111" si="33">$I$3</f>
        <v>0</v>
      </c>
      <c r="E111" s="3094">
        <f t="shared" si="33"/>
        <v>0</v>
      </c>
      <c r="F111" s="3094">
        <f t="shared" si="33"/>
        <v>0</v>
      </c>
      <c r="G111" s="3094">
        <f t="shared" si="33"/>
        <v>0</v>
      </c>
      <c r="H111" s="3094">
        <f t="shared" si="33"/>
        <v>0</v>
      </c>
      <c r="I111" s="3094">
        <f t="shared" si="33"/>
        <v>0</v>
      </c>
      <c r="J111" s="3094">
        <f t="shared" si="33"/>
        <v>0</v>
      </c>
      <c r="K111" s="3094">
        <f t="shared" si="33"/>
        <v>0</v>
      </c>
      <c r="L111" s="3094">
        <f t="shared" si="33"/>
        <v>0</v>
      </c>
      <c r="M111" s="3094">
        <f t="shared" si="33"/>
        <v>0</v>
      </c>
      <c r="N111" s="3094">
        <f>$I$3</f>
        <v>0</v>
      </c>
    </row>
    <row r="112" spans="1:14">
      <c r="A112" s="3501"/>
      <c r="B112" s="3093">
        <v>6</v>
      </c>
      <c r="C112" s="3088">
        <f>(-0.5556*(C111^2)-0.2719*C111+8944)*(10^(-4))</f>
        <v>0.89440000000000008</v>
      </c>
      <c r="D112" s="3088">
        <f>(-0.5556*(D111^2)-0.2719*D111+8944)*(10^(-4))</f>
        <v>0.89440000000000008</v>
      </c>
      <c r="E112" s="3088">
        <f>(-0.7912*(E111^2)-11.3794*E111+8482)*(10^(-4))</f>
        <v>0.84820000000000007</v>
      </c>
      <c r="F112" s="3088">
        <f t="shared" ref="F112:I112" si="34">(-0.7912*(F111^2)-11.3794*F111+8482)*(10^(-4))</f>
        <v>0.84820000000000007</v>
      </c>
      <c r="G112" s="3088">
        <f t="shared" si="34"/>
        <v>0.84820000000000007</v>
      </c>
      <c r="H112" s="3088">
        <f t="shared" si="34"/>
        <v>0.84820000000000007</v>
      </c>
      <c r="I112" s="3088">
        <f t="shared" si="34"/>
        <v>0.84820000000000007</v>
      </c>
      <c r="J112" s="3088">
        <f>(-0.989*(J111^2)-63.78*J111+7771)*(10^(-4))</f>
        <v>0.77710000000000001</v>
      </c>
      <c r="K112" s="3088">
        <f t="shared" ref="K112:N112" si="35">(-0.989*(K111^2)-63.78*K111+7771)*(10^(-4))</f>
        <v>0.77710000000000001</v>
      </c>
      <c r="L112" s="3088">
        <f t="shared" si="35"/>
        <v>0.77710000000000001</v>
      </c>
      <c r="M112" s="3088">
        <f t="shared" si="35"/>
        <v>0.77710000000000001</v>
      </c>
      <c r="N112" s="3088">
        <f t="shared" si="35"/>
        <v>0.77710000000000001</v>
      </c>
    </row>
    <row r="113" spans="1:14">
      <c r="A113" s="3502" t="s">
        <v>3286</v>
      </c>
      <c r="B113" s="3502"/>
      <c r="C113" s="3502"/>
      <c r="D113" s="3502"/>
      <c r="E113" s="3502"/>
      <c r="F113" s="3502"/>
      <c r="G113" s="3502"/>
      <c r="H113" s="3502"/>
      <c r="I113" s="3502"/>
      <c r="J113" s="3502"/>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5" thickBot="1">
      <c r="A115" s="3096"/>
      <c r="B115" s="3096"/>
      <c r="C115" s="3096"/>
      <c r="D115" s="3096"/>
      <c r="E115" s="3096"/>
      <c r="F115" s="3096"/>
      <c r="G115" s="3096"/>
      <c r="H115" s="3096"/>
      <c r="I115" s="3096"/>
      <c r="J115" s="3096"/>
      <c r="K115" s="1964"/>
      <c r="L115" s="3096"/>
      <c r="M115" s="3096"/>
      <c r="N115" s="3096"/>
    </row>
    <row r="116" spans="1:14" ht="25.5" thickBot="1">
      <c r="A116" s="3097" t="s">
        <v>3287</v>
      </c>
      <c r="B116" s="3113">
        <f>G3</f>
        <v>1</v>
      </c>
      <c r="C116" s="3098" t="s">
        <v>3288</v>
      </c>
      <c r="D116" s="3099">
        <f>SUMPRODUCT((A118:A122=F116)*(B117:M117=H116)*B118:M122)</f>
        <v>0.57150000000000001</v>
      </c>
      <c r="E116" s="162" t="s">
        <v>3289</v>
      </c>
      <c r="F116" s="3100" t="str">
        <f>E2</f>
        <v>工业</v>
      </c>
      <c r="G116" s="162" t="s">
        <v>3290</v>
      </c>
      <c r="H116" s="3100" t="str">
        <f>G2</f>
        <v>九级</v>
      </c>
      <c r="I116" s="162"/>
      <c r="J116" s="3101"/>
      <c r="K116" s="3101"/>
      <c r="L116" s="3101"/>
      <c r="M116" s="3101"/>
      <c r="N116" s="3096"/>
    </row>
    <row r="117" spans="1:14">
      <c r="A117" s="3102"/>
      <c r="B117" s="3103" t="s">
        <v>3291</v>
      </c>
      <c r="C117" s="3103" t="s">
        <v>3292</v>
      </c>
      <c r="D117" s="3103" t="s">
        <v>3293</v>
      </c>
      <c r="E117" s="3104" t="s">
        <v>3294</v>
      </c>
      <c r="F117" s="3104" t="s">
        <v>3295</v>
      </c>
      <c r="G117" s="3104" t="s">
        <v>3296</v>
      </c>
      <c r="H117" s="3105" t="s">
        <v>3297</v>
      </c>
      <c r="I117" s="3105" t="s">
        <v>3298</v>
      </c>
      <c r="J117" s="3106" t="s">
        <v>3299</v>
      </c>
      <c r="K117" s="3106" t="s">
        <v>3300</v>
      </c>
      <c r="L117" s="3106" t="s">
        <v>3301</v>
      </c>
      <c r="M117" s="3107" t="s">
        <v>3302</v>
      </c>
      <c r="N117" s="3096"/>
    </row>
    <row r="118" spans="1:14">
      <c r="A118" s="3056" t="s">
        <v>3303</v>
      </c>
      <c r="B118" s="3088">
        <f>ROUND(0.9968-0.011*B116,4)</f>
        <v>0.98580000000000001</v>
      </c>
      <c r="C118" s="3088">
        <f>B118</f>
        <v>0.98580000000000001</v>
      </c>
      <c r="D118" s="3088">
        <f>ROUND(0.949-0.014*B116,4)</f>
        <v>0.93500000000000005</v>
      </c>
      <c r="E118" s="3088">
        <f>D118</f>
        <v>0.93500000000000005</v>
      </c>
      <c r="F118" s="3088">
        <f>E118</f>
        <v>0.93500000000000005</v>
      </c>
      <c r="G118" s="3088">
        <f>F118</f>
        <v>0.93500000000000005</v>
      </c>
      <c r="H118" s="3088">
        <f>G118</f>
        <v>0.93500000000000005</v>
      </c>
      <c r="I118" s="3088">
        <f>ROUND(0.8486-0.018*B116,4)</f>
        <v>0.8306</v>
      </c>
      <c r="J118" s="3088">
        <f t="shared" ref="J118:M122" si="36">I118</f>
        <v>0.8306</v>
      </c>
      <c r="K118" s="3088">
        <f t="shared" si="36"/>
        <v>0.8306</v>
      </c>
      <c r="L118" s="3088">
        <f t="shared" si="36"/>
        <v>0.8306</v>
      </c>
      <c r="M118" s="3108">
        <f t="shared" si="36"/>
        <v>0.8306</v>
      </c>
      <c r="N118" s="3096"/>
    </row>
    <row r="119" spans="1:14">
      <c r="A119" s="3056" t="s">
        <v>3304</v>
      </c>
      <c r="B119" s="3088">
        <f>ROUND(0.993-0.0112*B116,4)</f>
        <v>0.98180000000000001</v>
      </c>
      <c r="C119" s="3088">
        <f>B119</f>
        <v>0.98180000000000001</v>
      </c>
      <c r="D119" s="3088">
        <f>ROUND(0.9415-0.0142*B116,4)</f>
        <v>0.92730000000000001</v>
      </c>
      <c r="E119" s="3088">
        <f t="shared" ref="E119:H120" si="37">D119</f>
        <v>0.92730000000000001</v>
      </c>
      <c r="F119" s="3088">
        <f t="shared" si="37"/>
        <v>0.92730000000000001</v>
      </c>
      <c r="G119" s="3088">
        <f t="shared" si="37"/>
        <v>0.92730000000000001</v>
      </c>
      <c r="H119" s="3088">
        <f t="shared" si="37"/>
        <v>0.92730000000000001</v>
      </c>
      <c r="I119" s="3088">
        <f>ROUND(0.838-0.0182*B116,4)</f>
        <v>0.81979999999999997</v>
      </c>
      <c r="J119" s="3088">
        <f t="shared" si="36"/>
        <v>0.81979999999999997</v>
      </c>
      <c r="K119" s="3088">
        <f t="shared" si="36"/>
        <v>0.81979999999999997</v>
      </c>
      <c r="L119" s="3088">
        <f t="shared" si="36"/>
        <v>0.81979999999999997</v>
      </c>
      <c r="M119" s="3108">
        <f t="shared" si="36"/>
        <v>0.81979999999999997</v>
      </c>
      <c r="N119" s="3096"/>
    </row>
    <row r="120" spans="1:14">
      <c r="A120" s="3056" t="s">
        <v>3305</v>
      </c>
      <c r="B120" s="3088">
        <f>ROUND(0.9448-0.0115*B116,4)</f>
        <v>0.93330000000000002</v>
      </c>
      <c r="C120" s="3088">
        <f>B120</f>
        <v>0.93330000000000002</v>
      </c>
      <c r="D120" s="3088">
        <f>ROUND(0.937-0.0145*B116,4)</f>
        <v>0.92249999999999999</v>
      </c>
      <c r="E120" s="3088">
        <f t="shared" si="37"/>
        <v>0.92249999999999999</v>
      </c>
      <c r="F120" s="3088">
        <f t="shared" si="37"/>
        <v>0.92249999999999999</v>
      </c>
      <c r="G120" s="3088">
        <f t="shared" si="37"/>
        <v>0.92249999999999999</v>
      </c>
      <c r="H120" s="3088">
        <f t="shared" si="37"/>
        <v>0.92249999999999999</v>
      </c>
      <c r="I120" s="3088">
        <f>ROUND(0.7965-0.0185*B116,4)</f>
        <v>0.77800000000000002</v>
      </c>
      <c r="J120" s="3088">
        <f t="shared" si="36"/>
        <v>0.77800000000000002</v>
      </c>
      <c r="K120" s="3088">
        <f t="shared" si="36"/>
        <v>0.77800000000000002</v>
      </c>
      <c r="L120" s="3088">
        <f t="shared" si="36"/>
        <v>0.77800000000000002</v>
      </c>
      <c r="M120" s="3108">
        <f t="shared" si="36"/>
        <v>0.77800000000000002</v>
      </c>
      <c r="N120" s="3096"/>
    </row>
    <row r="121" spans="1:14" ht="13.5" thickBot="1">
      <c r="A121" s="3109" t="s">
        <v>3306</v>
      </c>
      <c r="B121" s="3110">
        <f>ROUND(0.7836-0.012*B116,4)</f>
        <v>0.77159999999999995</v>
      </c>
      <c r="C121" s="3110">
        <f>B121</f>
        <v>0.77159999999999995</v>
      </c>
      <c r="D121" s="3110">
        <f>ROUND(0.753-0.015*B116,4)</f>
        <v>0.73799999999999999</v>
      </c>
      <c r="E121" s="3110">
        <f>D121</f>
        <v>0.73799999999999999</v>
      </c>
      <c r="F121" s="3110">
        <f>E121</f>
        <v>0.73799999999999999</v>
      </c>
      <c r="G121" s="3110">
        <f>ROUND(0.6612-0.018*B116,4)</f>
        <v>0.64319999999999999</v>
      </c>
      <c r="H121" s="3110">
        <f>G121</f>
        <v>0.64319999999999999</v>
      </c>
      <c r="I121" s="3110">
        <f>ROUND(0.5905-0.019*B116,4)</f>
        <v>0.57150000000000001</v>
      </c>
      <c r="J121" s="3110">
        <f t="shared" si="36"/>
        <v>0.57150000000000001</v>
      </c>
      <c r="K121" s="3110">
        <f t="shared" si="36"/>
        <v>0.57150000000000001</v>
      </c>
      <c r="L121" s="3110">
        <f t="shared" si="36"/>
        <v>0.57150000000000001</v>
      </c>
      <c r="M121" s="3111">
        <f t="shared" si="36"/>
        <v>0.57150000000000001</v>
      </c>
      <c r="N121" s="3096"/>
    </row>
    <row r="122" spans="1:14">
      <c r="A122" s="3112" t="s">
        <v>2587</v>
      </c>
      <c r="B122" s="3088">
        <f>ROUND(0.9404-0.0106*B116,4)</f>
        <v>0.92979999999999996</v>
      </c>
      <c r="C122" s="3088">
        <f>B122</f>
        <v>0.92979999999999996</v>
      </c>
      <c r="D122" s="3088">
        <f>ROUND(0.8955-0.0135*B116,4)</f>
        <v>0.88200000000000001</v>
      </c>
      <c r="E122" s="3088">
        <f t="shared" ref="E122:H122" si="38">D122</f>
        <v>0.88200000000000001</v>
      </c>
      <c r="F122" s="3088">
        <f t="shared" si="38"/>
        <v>0.88200000000000001</v>
      </c>
      <c r="G122" s="3088">
        <f t="shared" si="38"/>
        <v>0.88200000000000001</v>
      </c>
      <c r="H122" s="3088">
        <f t="shared" si="38"/>
        <v>0.88200000000000001</v>
      </c>
      <c r="I122" s="3088">
        <f>ROUND(0.7632-0.0166*B116,4)</f>
        <v>0.74660000000000004</v>
      </c>
      <c r="J122" s="3088">
        <f t="shared" si="36"/>
        <v>0.74660000000000004</v>
      </c>
      <c r="K122" s="3088">
        <f t="shared" si="36"/>
        <v>0.74660000000000004</v>
      </c>
      <c r="L122" s="3088">
        <f t="shared" si="36"/>
        <v>0.74660000000000004</v>
      </c>
      <c r="M122" s="3108">
        <f t="shared" si="36"/>
        <v>0.74660000000000004</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K5:W22"/>
  <sheetViews>
    <sheetView zoomScale="85" zoomScaleNormal="85" workbookViewId="0">
      <selection activeCell="R23" sqref="R23"/>
    </sheetView>
  </sheetViews>
  <sheetFormatPr defaultRowHeight="13.5"/>
  <cols>
    <col min="20" max="20" width="11" bestFit="1" customWidth="1"/>
    <col min="23" max="23" width="9.5" bestFit="1" customWidth="1"/>
  </cols>
  <sheetData>
    <row r="5" spans="11:23">
      <c r="K5" s="2812"/>
      <c r="L5" s="2812"/>
      <c r="M5" s="2812"/>
    </row>
    <row r="6" spans="11:23">
      <c r="K6" s="3154"/>
      <c r="L6" s="3152" t="s">
        <v>3412</v>
      </c>
      <c r="M6" s="3152" t="s">
        <v>3413</v>
      </c>
      <c r="N6" s="3152" t="s">
        <v>3416</v>
      </c>
      <c r="O6" s="3152" t="s">
        <v>3418</v>
      </c>
      <c r="P6" s="3152" t="s">
        <v>3419</v>
      </c>
      <c r="Q6" s="3152" t="s">
        <v>3417</v>
      </c>
      <c r="R6" s="3152" t="s">
        <v>3434</v>
      </c>
      <c r="S6" s="3152" t="s">
        <v>3438</v>
      </c>
      <c r="T6" s="3152" t="s">
        <v>3424</v>
      </c>
      <c r="U6" s="3152" t="s">
        <v>3435</v>
      </c>
      <c r="V6" s="3154"/>
      <c r="W6" s="3154"/>
    </row>
    <row r="7" spans="11:23">
      <c r="K7" s="1429" t="s">
        <v>3400</v>
      </c>
      <c r="L7" s="3153">
        <f>ROUND(4084.11/3*2,2)</f>
        <v>2722.74</v>
      </c>
      <c r="M7" s="3153">
        <f>ROUND(4084.11/3,2)</f>
        <v>1361.37</v>
      </c>
      <c r="N7" s="3153">
        <v>2004</v>
      </c>
      <c r="O7" s="1429" t="s">
        <v>3420</v>
      </c>
      <c r="P7" s="1429" t="s">
        <v>3423</v>
      </c>
      <c r="Q7" s="3153">
        <f>40-(2025-N7)</f>
        <v>19</v>
      </c>
      <c r="R7" s="3550">
        <f>ROUND(1-(1-2%)*(2025-N7)/50,2)</f>
        <v>0.59</v>
      </c>
      <c r="S7" s="3153">
        <v>2800</v>
      </c>
      <c r="T7" s="1429" t="s">
        <v>3527</v>
      </c>
      <c r="U7" s="3153">
        <f>50-(2041-N7)</f>
        <v>13</v>
      </c>
      <c r="V7" s="3153">
        <f t="shared" ref="V7:V18" si="0">(L7+M7)*R7</f>
        <v>2409.6248999999998</v>
      </c>
      <c r="W7" s="3153">
        <f>(L7+M7)*S7</f>
        <v>11435508</v>
      </c>
    </row>
    <row r="8" spans="11:23">
      <c r="K8" s="1429" t="s">
        <v>3401</v>
      </c>
      <c r="L8" s="3153">
        <v>12.2</v>
      </c>
      <c r="M8" s="3153"/>
      <c r="N8" s="3153">
        <f>N7</f>
        <v>2004</v>
      </c>
      <c r="O8" s="1429" t="s">
        <v>3420</v>
      </c>
      <c r="P8" s="1429" t="s">
        <v>3423</v>
      </c>
      <c r="Q8" s="3153">
        <f t="shared" ref="Q8:Q17" si="1">40-(2025-N8)</f>
        <v>19</v>
      </c>
      <c r="R8" s="3550">
        <f t="shared" ref="R8:R18" si="2">ROUND(1-(1-2%)*(2025-N8)/50,2)</f>
        <v>0.59</v>
      </c>
      <c r="S8" s="3153">
        <v>2600</v>
      </c>
      <c r="T8" s="3158" t="s">
        <v>3425</v>
      </c>
      <c r="U8" s="3153">
        <f>50-(2041-N8)</f>
        <v>13</v>
      </c>
      <c r="V8" s="3153">
        <f t="shared" si="0"/>
        <v>7.1979999999999995</v>
      </c>
      <c r="W8" s="3153">
        <f t="shared" ref="W8:W18" si="3">L8*S8</f>
        <v>31719.999999999996</v>
      </c>
    </row>
    <row r="9" spans="11:23">
      <c r="K9" s="1429" t="s">
        <v>3402</v>
      </c>
      <c r="L9" s="3153">
        <v>279.3</v>
      </c>
      <c r="M9" s="3153"/>
      <c r="N9" s="3153">
        <f t="shared" ref="N9:N18" si="4">N8</f>
        <v>2004</v>
      </c>
      <c r="O9" s="1429" t="s">
        <v>3420</v>
      </c>
      <c r="P9" s="1429" t="s">
        <v>3423</v>
      </c>
      <c r="Q9" s="3153">
        <f t="shared" si="1"/>
        <v>19</v>
      </c>
      <c r="R9" s="3550">
        <f t="shared" si="2"/>
        <v>0.59</v>
      </c>
      <c r="S9" s="3153">
        <f>S8</f>
        <v>2600</v>
      </c>
      <c r="T9" s="3158" t="s">
        <v>3426</v>
      </c>
      <c r="U9" s="3153">
        <f>50-(2041-N9)</f>
        <v>13</v>
      </c>
      <c r="V9" s="3153">
        <f t="shared" si="0"/>
        <v>164.78700000000001</v>
      </c>
      <c r="W9" s="3153">
        <f t="shared" si="3"/>
        <v>726180</v>
      </c>
    </row>
    <row r="10" spans="11:23">
      <c r="K10" s="1429" t="s">
        <v>3403</v>
      </c>
      <c r="L10" s="3153">
        <v>30049.22</v>
      </c>
      <c r="M10" s="3153"/>
      <c r="N10" s="3153">
        <f t="shared" si="4"/>
        <v>2004</v>
      </c>
      <c r="O10" s="1429" t="s">
        <v>3422</v>
      </c>
      <c r="P10" s="1429" t="s">
        <v>3422</v>
      </c>
      <c r="Q10" s="3153">
        <f>70-(2025-N10)</f>
        <v>49</v>
      </c>
      <c r="R10" s="3550">
        <f>ROUND(1-(1-3%)*(2025-N10)/70,2)</f>
        <v>0.71</v>
      </c>
      <c r="S10" s="3153">
        <f>S8</f>
        <v>2600</v>
      </c>
      <c r="T10" s="1429" t="s">
        <v>3427</v>
      </c>
      <c r="U10" s="3153">
        <f>70-(2041-N10)</f>
        <v>33</v>
      </c>
      <c r="V10" s="3153">
        <f t="shared" si="0"/>
        <v>21334.946199999998</v>
      </c>
      <c r="W10" s="3153">
        <f t="shared" si="3"/>
        <v>78127972</v>
      </c>
    </row>
    <row r="11" spans="11:23">
      <c r="K11" s="1429" t="s">
        <v>3404</v>
      </c>
      <c r="L11" s="3153">
        <v>199.29</v>
      </c>
      <c r="M11" s="3153"/>
      <c r="N11" s="3153">
        <f t="shared" si="4"/>
        <v>2004</v>
      </c>
      <c r="O11" s="1429" t="s">
        <v>3421</v>
      </c>
      <c r="P11" s="1429" t="s">
        <v>3423</v>
      </c>
      <c r="Q11" s="3153">
        <f t="shared" si="1"/>
        <v>19</v>
      </c>
      <c r="R11" s="3550">
        <f t="shared" si="2"/>
        <v>0.59</v>
      </c>
      <c r="S11" s="3153">
        <f>S8</f>
        <v>2600</v>
      </c>
      <c r="T11" s="3158" t="s">
        <v>3428</v>
      </c>
      <c r="U11" s="3153">
        <f t="shared" ref="U11:U17" si="5">50-(2041-N11)</f>
        <v>13</v>
      </c>
      <c r="V11" s="3153">
        <f t="shared" si="0"/>
        <v>117.58109999999999</v>
      </c>
      <c r="W11" s="3153">
        <f t="shared" si="3"/>
        <v>518154</v>
      </c>
    </row>
    <row r="12" spans="11:23">
      <c r="K12" s="1429" t="s">
        <v>3405</v>
      </c>
      <c r="L12" s="3153">
        <v>64.44</v>
      </c>
      <c r="M12" s="3153"/>
      <c r="N12" s="3153">
        <f t="shared" si="4"/>
        <v>2004</v>
      </c>
      <c r="O12" s="1429" t="s">
        <v>3421</v>
      </c>
      <c r="P12" s="1429" t="s">
        <v>3423</v>
      </c>
      <c r="Q12" s="3153">
        <f t="shared" si="1"/>
        <v>19</v>
      </c>
      <c r="R12" s="3550">
        <f t="shared" si="2"/>
        <v>0.59</v>
      </c>
      <c r="S12" s="3153">
        <f>S8</f>
        <v>2600</v>
      </c>
      <c r="T12" s="3158" t="s">
        <v>3429</v>
      </c>
      <c r="U12" s="3153">
        <f t="shared" si="5"/>
        <v>13</v>
      </c>
      <c r="V12" s="3153">
        <f t="shared" si="0"/>
        <v>38.019599999999997</v>
      </c>
      <c r="W12" s="3153">
        <f t="shared" si="3"/>
        <v>167544</v>
      </c>
    </row>
    <row r="13" spans="11:23">
      <c r="K13" s="1429" t="s">
        <v>3406</v>
      </c>
      <c r="L13" s="3153">
        <v>250.39</v>
      </c>
      <c r="M13" s="3153"/>
      <c r="N13" s="3153">
        <f t="shared" si="4"/>
        <v>2004</v>
      </c>
      <c r="O13" s="1429" t="s">
        <v>3421</v>
      </c>
      <c r="P13" s="1429" t="s">
        <v>3423</v>
      </c>
      <c r="Q13" s="3153">
        <f t="shared" si="1"/>
        <v>19</v>
      </c>
      <c r="R13" s="3550">
        <f t="shared" si="2"/>
        <v>0.59</v>
      </c>
      <c r="S13" s="3153">
        <f>S8</f>
        <v>2600</v>
      </c>
      <c r="T13" s="3158" t="s">
        <v>3430</v>
      </c>
      <c r="U13" s="3153">
        <f t="shared" si="5"/>
        <v>13</v>
      </c>
      <c r="V13" s="3153">
        <f t="shared" si="0"/>
        <v>147.73009999999999</v>
      </c>
      <c r="W13" s="3153">
        <f t="shared" si="3"/>
        <v>651014</v>
      </c>
    </row>
    <row r="14" spans="11:23">
      <c r="K14" s="1429" t="s">
        <v>3407</v>
      </c>
      <c r="L14" s="3153">
        <v>4941.49</v>
      </c>
      <c r="M14" s="3153"/>
      <c r="N14" s="3153">
        <f t="shared" si="4"/>
        <v>2004</v>
      </c>
      <c r="O14" s="1429" t="s">
        <v>3420</v>
      </c>
      <c r="P14" s="1429" t="s">
        <v>3423</v>
      </c>
      <c r="Q14" s="3153">
        <f t="shared" si="1"/>
        <v>19</v>
      </c>
      <c r="R14" s="3550">
        <f t="shared" si="2"/>
        <v>0.59</v>
      </c>
      <c r="S14" s="3153">
        <v>2800</v>
      </c>
      <c r="T14" s="1429" t="s">
        <v>3431</v>
      </c>
      <c r="U14" s="3153">
        <f t="shared" si="5"/>
        <v>13</v>
      </c>
      <c r="V14" s="3153">
        <f t="shared" si="0"/>
        <v>2915.4790999999996</v>
      </c>
      <c r="W14" s="3153">
        <f t="shared" si="3"/>
        <v>13836172</v>
      </c>
    </row>
    <row r="15" spans="11:23">
      <c r="K15" s="1429" t="s">
        <v>3408</v>
      </c>
      <c r="L15" s="3153">
        <v>510.64</v>
      </c>
      <c r="M15" s="3153"/>
      <c r="N15" s="3153">
        <f t="shared" si="4"/>
        <v>2004</v>
      </c>
      <c r="O15" s="1429" t="s">
        <v>3420</v>
      </c>
      <c r="P15" s="1429" t="s">
        <v>3423</v>
      </c>
      <c r="Q15" s="3153">
        <f t="shared" si="1"/>
        <v>19</v>
      </c>
      <c r="R15" s="3550">
        <f t="shared" si="2"/>
        <v>0.59</v>
      </c>
      <c r="S15" s="3153">
        <f>S8</f>
        <v>2600</v>
      </c>
      <c r="T15" s="1429" t="s">
        <v>3432</v>
      </c>
      <c r="U15" s="3153">
        <f t="shared" si="5"/>
        <v>13</v>
      </c>
      <c r="V15" s="3153">
        <f t="shared" si="0"/>
        <v>301.27759999999995</v>
      </c>
      <c r="W15" s="3153">
        <f t="shared" si="3"/>
        <v>1327664</v>
      </c>
    </row>
    <row r="16" spans="11:23">
      <c r="K16" s="1429" t="s">
        <v>3409</v>
      </c>
      <c r="L16" s="3153">
        <v>466.18</v>
      </c>
      <c r="M16" s="3153"/>
      <c r="N16" s="3153">
        <f t="shared" si="4"/>
        <v>2004</v>
      </c>
      <c r="O16" s="1429" t="s">
        <v>3420</v>
      </c>
      <c r="P16" s="1429" t="s">
        <v>3423</v>
      </c>
      <c r="Q16" s="3153">
        <f t="shared" si="1"/>
        <v>19</v>
      </c>
      <c r="R16" s="3550">
        <f t="shared" si="2"/>
        <v>0.59</v>
      </c>
      <c r="S16" s="3153">
        <f>S8</f>
        <v>2600</v>
      </c>
      <c r="T16" s="1429" t="s">
        <v>3432</v>
      </c>
      <c r="U16" s="3153">
        <f t="shared" si="5"/>
        <v>13</v>
      </c>
      <c r="V16" s="3153">
        <f t="shared" si="0"/>
        <v>275.0462</v>
      </c>
      <c r="W16" s="3153">
        <f t="shared" si="3"/>
        <v>1212068</v>
      </c>
    </row>
    <row r="17" spans="11:23">
      <c r="K17" s="1429" t="s">
        <v>3410</v>
      </c>
      <c r="L17" s="3153">
        <v>126.07</v>
      </c>
      <c r="M17" s="3153"/>
      <c r="N17" s="3153">
        <f t="shared" si="4"/>
        <v>2004</v>
      </c>
      <c r="O17" s="1429" t="s">
        <v>3420</v>
      </c>
      <c r="P17" s="1429" t="s">
        <v>3423</v>
      </c>
      <c r="Q17" s="3153">
        <f t="shared" si="1"/>
        <v>19</v>
      </c>
      <c r="R17" s="3550">
        <f t="shared" si="2"/>
        <v>0.59</v>
      </c>
      <c r="S17" s="3153">
        <f>S8</f>
        <v>2600</v>
      </c>
      <c r="T17" s="3158" t="s">
        <v>3433</v>
      </c>
      <c r="U17" s="3153">
        <f t="shared" si="5"/>
        <v>13</v>
      </c>
      <c r="V17" s="3153">
        <f t="shared" si="0"/>
        <v>74.381299999999996</v>
      </c>
      <c r="W17" s="3153">
        <f t="shared" si="3"/>
        <v>327782</v>
      </c>
    </row>
    <row r="18" spans="11:23">
      <c r="K18" s="1429" t="s">
        <v>3411</v>
      </c>
      <c r="L18" s="3153">
        <v>26005.61</v>
      </c>
      <c r="M18" s="3153"/>
      <c r="N18" s="3153">
        <f t="shared" si="4"/>
        <v>2004</v>
      </c>
      <c r="O18" s="1429" t="s">
        <v>3420</v>
      </c>
      <c r="P18" s="1429" t="s">
        <v>3422</v>
      </c>
      <c r="Q18" s="3153">
        <f>Q10</f>
        <v>49</v>
      </c>
      <c r="R18" s="3550">
        <f>ROUND(1-(1-3%)*(2025-N18)/70,2)</f>
        <v>0.71</v>
      </c>
      <c r="S18" s="3153">
        <f>S8</f>
        <v>2600</v>
      </c>
      <c r="T18" s="1429" t="s">
        <v>3427</v>
      </c>
      <c r="U18" s="3153">
        <f>70-(2041-N18)</f>
        <v>33</v>
      </c>
      <c r="V18" s="3153">
        <f t="shared" si="0"/>
        <v>18463.983100000001</v>
      </c>
      <c r="W18" s="3153">
        <f t="shared" si="3"/>
        <v>67614586</v>
      </c>
    </row>
    <row r="19" spans="11:23">
      <c r="K19" s="1429"/>
      <c r="L19" s="3153">
        <f>SUM(L7:L18)+M7</f>
        <v>66988.94</v>
      </c>
      <c r="M19" s="3153"/>
      <c r="N19" s="3153"/>
      <c r="O19" s="3153"/>
      <c r="P19" s="3153"/>
      <c r="Q19" s="3153"/>
      <c r="R19" s="3153">
        <f>ROUND(V19/L19,2)</f>
        <v>0.69</v>
      </c>
      <c r="S19" s="3153">
        <f>ROUND(W19/L19,0)</f>
        <v>2627</v>
      </c>
      <c r="T19" s="3153"/>
      <c r="U19" s="3153"/>
      <c r="V19" s="3153">
        <f>SUM(V7:V18)</f>
        <v>46250.054199999999</v>
      </c>
      <c r="W19" s="3153">
        <f>SUM(W7:W18)</f>
        <v>175976364</v>
      </c>
    </row>
    <row r="20" spans="11:23">
      <c r="K20" s="1421"/>
      <c r="L20" s="2812"/>
    </row>
    <row r="21" spans="11:23">
      <c r="K21" s="2812"/>
      <c r="L21" s="2812"/>
      <c r="Q21" s="1405" t="s">
        <v>3528</v>
      </c>
      <c r="R21">
        <v>0.8</v>
      </c>
    </row>
    <row r="22" spans="11:23">
      <c r="R22">
        <f>ROUND((R19+R21)/2,2)</f>
        <v>0.75</v>
      </c>
    </row>
  </sheetData>
  <phoneticPr fontId="135"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zoomScale="85" zoomScaleNormal="85" workbookViewId="0">
      <selection activeCell="L25" sqref="L25"/>
    </sheetView>
  </sheetViews>
  <sheetFormatPr defaultRowHeight="14.25"/>
  <cols>
    <col min="1" max="1" width="10.125" style="3160" bestFit="1" customWidth="1"/>
    <col min="2" max="2" width="10.75" style="3160" bestFit="1" customWidth="1"/>
    <col min="3" max="3" width="23.125" style="3160" bestFit="1" customWidth="1"/>
    <col min="4" max="4" width="12.5" style="3160" bestFit="1" customWidth="1"/>
    <col min="5" max="5" width="8.5" style="3160" customWidth="1"/>
    <col min="6" max="6" width="15.75" style="3162" customWidth="1"/>
    <col min="7" max="7" width="8.5" style="3162" customWidth="1"/>
    <col min="8" max="8" width="10.75" style="3160" bestFit="1" customWidth="1"/>
    <col min="9" max="10" width="7.875" style="3160" bestFit="1" customWidth="1"/>
    <col min="11" max="11" width="11.25" style="3160" bestFit="1" customWidth="1"/>
    <col min="12" max="12" width="17.125" style="3160" bestFit="1" customWidth="1"/>
    <col min="13" max="15" width="13.625" style="3160" bestFit="1" customWidth="1"/>
    <col min="16" max="16" width="12.5" style="3160" bestFit="1" customWidth="1"/>
    <col min="17" max="17" width="17.125" style="3160" customWidth="1"/>
    <col min="18" max="20" width="17.125" style="3160" bestFit="1" customWidth="1"/>
    <col min="21" max="22" width="11.625" style="3160" bestFit="1" customWidth="1"/>
    <col min="23" max="16384" width="9" style="3160"/>
  </cols>
  <sheetData>
    <row r="1" spans="1:22" ht="27">
      <c r="A1" s="3518"/>
      <c r="B1" s="3518"/>
      <c r="C1" s="3518"/>
      <c r="D1" s="3518"/>
      <c r="E1" s="3518"/>
      <c r="F1" s="3518"/>
      <c r="G1" s="3159"/>
      <c r="K1" s="3160" t="s">
        <v>3461</v>
      </c>
      <c r="L1" s="3161"/>
      <c r="M1" s="3185">
        <v>46204</v>
      </c>
      <c r="N1" s="3161">
        <v>46569</v>
      </c>
      <c r="O1" s="3185">
        <v>46935</v>
      </c>
      <c r="P1" s="3161">
        <v>47300</v>
      </c>
      <c r="Q1" s="3161"/>
      <c r="R1" s="3161"/>
      <c r="S1" s="3161"/>
      <c r="T1" s="3161"/>
      <c r="U1" s="3161"/>
      <c r="V1" s="3161"/>
    </row>
    <row r="2" spans="1:22">
      <c r="K2" s="3161">
        <f>项目基本情况!D3</f>
        <v>45677</v>
      </c>
      <c r="L2" s="3161">
        <v>45838</v>
      </c>
      <c r="M2" s="3185">
        <v>46568</v>
      </c>
      <c r="N2" s="3161">
        <v>46934</v>
      </c>
      <c r="O2" s="3185">
        <v>47299</v>
      </c>
      <c r="P2" s="3161">
        <v>47344</v>
      </c>
      <c r="Q2" s="3161"/>
      <c r="R2" s="3161"/>
      <c r="S2" s="3161"/>
      <c r="T2" s="3161"/>
      <c r="U2" s="3161"/>
      <c r="V2" s="3161"/>
    </row>
    <row r="3" spans="1:22" s="3165" customFormat="1">
      <c r="A3" s="3163" t="s">
        <v>2619</v>
      </c>
      <c r="B3" s="3163" t="s">
        <v>3439</v>
      </c>
      <c r="C3" s="3163" t="s">
        <v>3440</v>
      </c>
      <c r="D3" s="3163" t="s">
        <v>3441</v>
      </c>
      <c r="E3" s="3163" t="s">
        <v>3442</v>
      </c>
      <c r="F3" s="3164" t="s">
        <v>3443</v>
      </c>
      <c r="G3" s="3164" t="s">
        <v>3444</v>
      </c>
      <c r="H3" s="3165" t="s">
        <v>3445</v>
      </c>
      <c r="I3" s="3165" t="s">
        <v>3463</v>
      </c>
      <c r="J3" s="3165" t="s">
        <v>3464</v>
      </c>
    </row>
    <row r="4" spans="1:22">
      <c r="A4" s="3176" t="s">
        <v>3453</v>
      </c>
      <c r="B4" s="3177">
        <v>2892</v>
      </c>
      <c r="C4" s="3177" t="s">
        <v>3459</v>
      </c>
      <c r="D4" s="3177" t="str">
        <f>RIGHT(C4,10)</f>
        <v>2023.12.15</v>
      </c>
      <c r="E4" s="3177" t="s">
        <v>3458</v>
      </c>
      <c r="F4" s="3178"/>
      <c r="G4" s="3179">
        <v>1.1000000000000001</v>
      </c>
      <c r="H4" s="3168">
        <v>0</v>
      </c>
      <c r="I4" s="3168">
        <v>1.1000000000000001</v>
      </c>
      <c r="J4" s="3168">
        <v>1.1000000000000001</v>
      </c>
      <c r="L4" s="3160">
        <f>$B$4*$G$4*(L$2-K$2)</f>
        <v>512173.20000000007</v>
      </c>
      <c r="M4" s="3160">
        <f>$B$4*$G$4*(M$2-M$1)</f>
        <v>1157956.8</v>
      </c>
      <c r="N4" s="3160">
        <f>$B$4*$G$4*(N$2-N$1)</f>
        <v>1161138</v>
      </c>
      <c r="O4" s="3160">
        <f t="shared" ref="O4:P4" si="0">$B$4*$G$4*(O$2-O$1)</f>
        <v>1157956.8</v>
      </c>
      <c r="P4" s="3160">
        <f t="shared" si="0"/>
        <v>139972.80000000002</v>
      </c>
      <c r="Q4" s="3168"/>
      <c r="R4" s="3168"/>
      <c r="S4" s="3168"/>
      <c r="T4" s="3168"/>
    </row>
    <row r="5" spans="1:22">
      <c r="A5" s="3180" t="s">
        <v>3454</v>
      </c>
      <c r="B5" s="3181">
        <v>5625</v>
      </c>
      <c r="C5" s="3181" t="s">
        <v>3460</v>
      </c>
      <c r="D5" s="3181" t="str">
        <f>RIGHT(C5,9)</f>
        <v>2028.6.30</v>
      </c>
      <c r="E5" s="3181">
        <v>4</v>
      </c>
      <c r="F5" s="3182">
        <f>B5*G5*365</f>
        <v>2073656.25</v>
      </c>
      <c r="G5" s="3182">
        <v>1.01</v>
      </c>
      <c r="H5" s="3168">
        <f>0.07/G5/2</f>
        <v>3.4653465346534656E-2</v>
      </c>
      <c r="I5" s="3168">
        <f>G5+0.07</f>
        <v>1.08</v>
      </c>
      <c r="J5" s="3168">
        <f>I5+0.07</f>
        <v>1.1500000000000001</v>
      </c>
      <c r="L5" s="3160">
        <f>$B$5*$G$5*(L$2-K$2)</f>
        <v>914681.25</v>
      </c>
      <c r="M5" s="3160">
        <f>$B$5*$I$5*(M$2-M$1)</f>
        <v>2211300</v>
      </c>
      <c r="N5" s="3160">
        <f>$B$5*$I$5*(N$2-N$1)</f>
        <v>2217375</v>
      </c>
      <c r="O5" s="3160">
        <f>$B$5*$J$9*(O$2-O$1)</f>
        <v>2661750</v>
      </c>
      <c r="P5" s="3160">
        <f>$B$5*$J$9*(P$2-P$1)</f>
        <v>321750</v>
      </c>
    </row>
    <row r="6" spans="1:22">
      <c r="A6" s="3180" t="s">
        <v>3455</v>
      </c>
      <c r="B6" s="3181">
        <v>152</v>
      </c>
      <c r="C6" s="3181" t="s">
        <v>3460</v>
      </c>
      <c r="D6" s="3181" t="str">
        <f>RIGHT(C6,9)</f>
        <v>2028.6.30</v>
      </c>
      <c r="E6" s="3181">
        <v>4</v>
      </c>
      <c r="F6" s="3182">
        <f t="shared" ref="F6:F8" si="1">B6*G6*365</f>
        <v>64356.799999999996</v>
      </c>
      <c r="G6" s="3182">
        <v>1.1599999999999999</v>
      </c>
      <c r="H6" s="3168">
        <f>0.08/G6/2</f>
        <v>3.4482758620689662E-2</v>
      </c>
      <c r="I6" s="3168">
        <f>G6+0.08</f>
        <v>1.24</v>
      </c>
      <c r="J6" s="3168">
        <f>I6+0.08</f>
        <v>1.32</v>
      </c>
      <c r="L6" s="3160">
        <f>B6*G6*(L$2-K$2)</f>
        <v>28387.52</v>
      </c>
      <c r="M6" s="3160">
        <f>B6*I6*(M$2-M$1)</f>
        <v>68606.720000000001</v>
      </c>
      <c r="N6" s="3160">
        <f>B6*I6*(N$2-N$1)</f>
        <v>68795.199999999997</v>
      </c>
      <c r="O6" s="3160">
        <f>B6*J9*(O$2-O$1)</f>
        <v>71926.399999999994</v>
      </c>
      <c r="P6" s="3160">
        <f>B6*J9*(P$2-P$1)</f>
        <v>8694.4</v>
      </c>
    </row>
    <row r="7" spans="1:22">
      <c r="A7" s="3183" t="s">
        <v>3457</v>
      </c>
      <c r="B7" s="3183">
        <v>3600</v>
      </c>
      <c r="C7" s="3183" t="s">
        <v>3462</v>
      </c>
      <c r="D7" s="3183" t="str">
        <f>RIGHT(C7,9)</f>
        <v>2029.8.14</v>
      </c>
      <c r="E7" s="3183">
        <v>4</v>
      </c>
      <c r="F7" s="3182">
        <f t="shared" si="1"/>
        <v>1327140</v>
      </c>
      <c r="G7" s="3184">
        <v>1.01</v>
      </c>
      <c r="H7" s="3168">
        <f>0.07/G7/2</f>
        <v>3.4653465346534656E-2</v>
      </c>
      <c r="I7" s="3168">
        <f>G7+0.07</f>
        <v>1.08</v>
      </c>
      <c r="J7" s="3168">
        <f>I7+0.07</f>
        <v>1.1500000000000001</v>
      </c>
      <c r="L7" s="3160">
        <f>B7*G7*(L$2-K$2)</f>
        <v>585396</v>
      </c>
      <c r="M7" s="3160">
        <f>B7*I7*(M$2-M$1)</f>
        <v>1415232.0000000002</v>
      </c>
      <c r="N7" s="3160">
        <f>$B$7*$I$7*(N$2-N$1)</f>
        <v>1419120.0000000002</v>
      </c>
      <c r="O7" s="3160">
        <f>$B$7*$J$7*(O$2-O$1)</f>
        <v>1506960.0000000002</v>
      </c>
      <c r="P7" s="3160">
        <f>B7*J7*(P$2-P$1)</f>
        <v>182160.00000000003</v>
      </c>
    </row>
    <row r="8" spans="1:22">
      <c r="A8" s="3183" t="s">
        <v>3456</v>
      </c>
      <c r="B8" s="3183">
        <f>450+600</f>
        <v>1050</v>
      </c>
      <c r="C8" s="3183" t="s">
        <v>3462</v>
      </c>
      <c r="D8" s="3183" t="str">
        <f>RIGHT(C8,9)</f>
        <v>2029.8.14</v>
      </c>
      <c r="E8" s="3183">
        <v>4</v>
      </c>
      <c r="F8" s="3182">
        <f t="shared" si="1"/>
        <v>444570</v>
      </c>
      <c r="G8" s="3184">
        <v>1.1599999999999999</v>
      </c>
      <c r="H8" s="3168">
        <f>0.07/G8/2</f>
        <v>3.0172413793103453E-2</v>
      </c>
      <c r="I8" s="3168">
        <f>G6+0.08</f>
        <v>1.24</v>
      </c>
      <c r="J8" s="3168">
        <f>I8+0.08</f>
        <v>1.32</v>
      </c>
      <c r="L8" s="3160">
        <f>B8*G8*(L$2-K$2)</f>
        <v>196098</v>
      </c>
      <c r="M8" s="3160">
        <f>$B$8*$I$8*(M$2-M$1)</f>
        <v>473928</v>
      </c>
      <c r="N8" s="3160">
        <f>$B$8*$I$8*(N$2-N$1)</f>
        <v>475230</v>
      </c>
      <c r="O8" s="3160">
        <f>B8*J8*(O$2-O$1)</f>
        <v>504504</v>
      </c>
      <c r="P8" s="3160">
        <f>B8*J8*(P$2-P$1)</f>
        <v>60984</v>
      </c>
    </row>
    <row r="9" spans="1:22" ht="28.5">
      <c r="A9" s="3175" t="s">
        <v>3465</v>
      </c>
      <c r="B9" s="3166">
        <f>'数据-汇总表'!E3-SUM(B4:B8)</f>
        <v>53669.94</v>
      </c>
      <c r="C9" s="3166"/>
      <c r="D9" s="3166"/>
      <c r="E9" s="3166"/>
      <c r="F9" s="3167"/>
      <c r="G9" s="3167">
        <f>M16</f>
        <v>1.2</v>
      </c>
      <c r="I9" s="3160">
        <f>ROUND(M16*(1+M17)^2,2)</f>
        <v>1.25</v>
      </c>
      <c r="J9" s="3160">
        <f>ROUND(M16*(1+M17)^4,2)</f>
        <v>1.3</v>
      </c>
      <c r="L9" s="3160">
        <f>$B$9*$G$9*(L$2-K$2)*(1-10%)</f>
        <v>9332129.167200001</v>
      </c>
      <c r="M9" s="3160">
        <f>$B$9*$I$9*(M$2-M$1)*(1-10%)</f>
        <v>21977840.43</v>
      </c>
      <c r="N9" s="3160">
        <f>$B$9*$I$9*(N$2-N$1)*(1-10%)</f>
        <v>22038219.112500001</v>
      </c>
      <c r="O9" s="3160">
        <f>$B$9*$J$9*(O$2-O$1)*(1-10%)</f>
        <v>22856954.047200002</v>
      </c>
      <c r="P9" s="3160">
        <f>$B$9*$J$9*(P$2-P$1)*(1-10%)</f>
        <v>2762928.5112000005</v>
      </c>
    </row>
    <row r="10" spans="1:22">
      <c r="L10" s="3160">
        <f>SUM(L4:L9)</f>
        <v>11568865.137200002</v>
      </c>
      <c r="M10" s="3160">
        <f t="shared" ref="M10:P10" si="2">SUM(M4:M9)</f>
        <v>27304863.949999999</v>
      </c>
      <c r="N10" s="3160">
        <f t="shared" si="2"/>
        <v>27379877.3125</v>
      </c>
      <c r="O10" s="3160">
        <f t="shared" si="2"/>
        <v>28760051.247200001</v>
      </c>
      <c r="P10" s="3160">
        <f t="shared" si="2"/>
        <v>3476489.7112000007</v>
      </c>
    </row>
    <row r="12" spans="1:22">
      <c r="G12" s="3172"/>
    </row>
    <row r="13" spans="1:22">
      <c r="F13" s="3160"/>
      <c r="G13" s="3173"/>
      <c r="L13" s="3169" t="s">
        <v>3446</v>
      </c>
      <c r="M13" s="3170">
        <f>ROUND((P2-K2)/365,2)</f>
        <v>4.57</v>
      </c>
      <c r="N13" s="3170" t="s">
        <v>3447</v>
      </c>
    </row>
    <row r="14" spans="1:22">
      <c r="F14" s="3160"/>
      <c r="G14" s="3173"/>
      <c r="L14" s="3169" t="s">
        <v>3448</v>
      </c>
      <c r="M14" s="3170">
        <f>SUM(L10:P10)</f>
        <v>98490147.358099997</v>
      </c>
      <c r="N14" s="3170">
        <f>ROUND(M14/M15/M13/365,2)</f>
        <v>0.88</v>
      </c>
    </row>
    <row r="15" spans="1:22">
      <c r="F15" s="3160"/>
      <c r="G15" s="3174"/>
      <c r="L15" s="3169" t="s">
        <v>3449</v>
      </c>
      <c r="M15" s="3170">
        <f>'数据-汇总表'!E3</f>
        <v>66988.94</v>
      </c>
      <c r="N15" s="3170"/>
    </row>
    <row r="16" spans="1:22">
      <c r="F16" s="3160"/>
      <c r="G16" s="3174"/>
      <c r="L16" s="3169" t="s">
        <v>3450</v>
      </c>
      <c r="M16" s="3195">
        <v>1.2</v>
      </c>
      <c r="N16" s="3170"/>
    </row>
    <row r="17" spans="6:14">
      <c r="F17" s="3172"/>
      <c r="G17" s="3172"/>
      <c r="L17" s="3169" t="s">
        <v>3451</v>
      </c>
      <c r="M17" s="3171">
        <v>0.02</v>
      </c>
      <c r="N17" s="3170"/>
    </row>
    <row r="18" spans="6:14">
      <c r="F18" s="3160"/>
      <c r="G18" s="3160"/>
      <c r="L18" s="3169" t="s">
        <v>3452</v>
      </c>
      <c r="M18" s="3170">
        <f>ROUND(M16*(1+M17)^M13,2)</f>
        <v>1.31</v>
      </c>
      <c r="N18" s="3170"/>
    </row>
    <row r="19" spans="6:14">
      <c r="F19" s="3160"/>
      <c r="G19" s="3160"/>
    </row>
    <row r="20" spans="6:14">
      <c r="F20" s="3160"/>
      <c r="G20" s="3160"/>
      <c r="L20" s="3162"/>
      <c r="M20" s="3162"/>
      <c r="N20" s="3162"/>
    </row>
    <row r="21" spans="6:14">
      <c r="F21" s="3160"/>
      <c r="G21" s="3160"/>
      <c r="L21" s="3172"/>
      <c r="M21" s="3172"/>
      <c r="N21" s="3172"/>
    </row>
    <row r="22" spans="6:14">
      <c r="F22" s="3160"/>
      <c r="G22" s="3160"/>
      <c r="L22" s="3172"/>
      <c r="M22" s="3172"/>
      <c r="N22" s="3172"/>
    </row>
    <row r="23" spans="6:14">
      <c r="F23" s="3160"/>
      <c r="G23" s="3160"/>
      <c r="L23" s="3172"/>
      <c r="M23" s="3172"/>
      <c r="N23" s="3172"/>
    </row>
    <row r="24" spans="6:14">
      <c r="F24" s="3160"/>
      <c r="G24" s="3160"/>
      <c r="I24" s="3172"/>
      <c r="J24" s="3172"/>
      <c r="L24" s="3172"/>
      <c r="M24" s="3172"/>
      <c r="N24" s="3172"/>
    </row>
    <row r="25" spans="6:14">
      <c r="F25" s="3160"/>
      <c r="G25" s="3160"/>
      <c r="L25" s="3172"/>
      <c r="M25" s="3172"/>
      <c r="N25" s="3172"/>
    </row>
    <row r="26" spans="6:14">
      <c r="F26" s="3160"/>
      <c r="G26" s="3160"/>
      <c r="L26" s="3172"/>
      <c r="M26" s="3172"/>
      <c r="N26" s="3172"/>
    </row>
    <row r="27" spans="6:14">
      <c r="F27" s="3160"/>
      <c r="G27" s="3160"/>
      <c r="L27" s="3172"/>
      <c r="M27" s="3172"/>
      <c r="N27" s="3172"/>
    </row>
    <row r="28" spans="6:14">
      <c r="F28" s="3160"/>
      <c r="G28" s="3160"/>
      <c r="L28" s="3172"/>
      <c r="M28" s="3172"/>
      <c r="N28" s="3172"/>
    </row>
    <row r="29" spans="6:14">
      <c r="F29" s="3160"/>
      <c r="G29" s="3160"/>
    </row>
    <row r="30" spans="6:14">
      <c r="F30" s="3160"/>
      <c r="G30" s="3160"/>
    </row>
    <row r="31" spans="6:14">
      <c r="F31" s="3160"/>
      <c r="G31" s="3160"/>
    </row>
    <row r="32" spans="6:14">
      <c r="F32" s="3160"/>
      <c r="G32" s="3160"/>
    </row>
    <row r="33" s="3160" customFormat="1"/>
  </sheetData>
  <mergeCells count="1">
    <mergeCell ref="A1:F1"/>
  </mergeCells>
  <phoneticPr fontId="135" type="noConversion"/>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34:P103"/>
  <sheetViews>
    <sheetView workbookViewId="0">
      <selection activeCell="P20" sqref="P20"/>
    </sheetView>
  </sheetViews>
  <sheetFormatPr defaultRowHeight="13.5"/>
  <sheetData>
    <row r="34" spans="13:16">
      <c r="P34" s="3200"/>
    </row>
    <row r="35" spans="13:16">
      <c r="M35" t="s">
        <v>3510</v>
      </c>
    </row>
    <row r="56" spans="13:13">
      <c r="M56" t="s">
        <v>3511</v>
      </c>
    </row>
    <row r="78" spans="13:13">
      <c r="M78" t="s">
        <v>3512</v>
      </c>
    </row>
    <row r="103" spans="13:13">
      <c r="M103" t="s">
        <v>3519</v>
      </c>
    </row>
  </sheetData>
  <phoneticPr fontId="135" type="noConversion"/>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2569</v>
      </c>
      <c r="B1" s="2810" t="s">
        <v>2570</v>
      </c>
      <c r="C1" s="2810" t="s">
        <v>2571</v>
      </c>
      <c r="D1" s="2810" t="s">
        <v>2572</v>
      </c>
      <c r="E1" s="2810" t="s">
        <v>2573</v>
      </c>
      <c r="F1" s="2810" t="s">
        <v>2574</v>
      </c>
      <c r="G1" s="2810" t="s">
        <v>2575</v>
      </c>
      <c r="H1" s="2810" t="s">
        <v>2576</v>
      </c>
      <c r="I1" s="2810" t="s">
        <v>2577</v>
      </c>
      <c r="J1" s="2810" t="s">
        <v>2578</v>
      </c>
      <c r="K1" s="2810" t="s">
        <v>2579</v>
      </c>
      <c r="L1" s="2810" t="s">
        <v>2580</v>
      </c>
      <c r="M1" s="2811" t="s">
        <v>2581</v>
      </c>
    </row>
    <row r="2" spans="1:13" ht="19.5" customHeight="1">
      <c r="A2" s="2813" t="s">
        <v>2582</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2583</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2584</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2585</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2586</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2587</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2588</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2589</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2590</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2591</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2592</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2593</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2594</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2595</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2596</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2597</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2598</v>
      </c>
      <c r="B18" s="2835"/>
      <c r="C18" s="2836"/>
      <c r="D18" s="2836"/>
      <c r="E18" s="2835"/>
      <c r="F18" s="2836"/>
      <c r="G18" s="2836"/>
    </row>
    <row r="19" spans="1:13" ht="19.5" customHeight="1" thickBot="1">
      <c r="A19" s="2833" t="s">
        <v>2599</v>
      </c>
      <c r="B19" s="2838" t="s">
        <v>2600</v>
      </c>
      <c r="C19" s="2838" t="s">
        <v>2601</v>
      </c>
      <c r="D19" s="2839"/>
      <c r="E19" s="2833" t="s">
        <v>2602</v>
      </c>
      <c r="F19" s="2840"/>
      <c r="G19" s="2840"/>
    </row>
    <row r="20" spans="1:13" ht="19.5" customHeight="1">
      <c r="A20" s="3528" t="s">
        <v>2582</v>
      </c>
      <c r="B20" s="3523" t="s">
        <v>2603</v>
      </c>
      <c r="C20" s="2841" t="s">
        <v>2414</v>
      </c>
      <c r="D20" s="2842"/>
      <c r="E20" s="2843">
        <v>1</v>
      </c>
      <c r="F20" s="2844" t="s">
        <v>2415</v>
      </c>
      <c r="G20" s="2844"/>
    </row>
    <row r="21" spans="1:13" ht="19.5" customHeight="1">
      <c r="A21" s="3529"/>
      <c r="B21" s="3522"/>
      <c r="C21" s="2845" t="s">
        <v>2416</v>
      </c>
      <c r="D21" s="2846"/>
      <c r="E21" s="2847">
        <v>1</v>
      </c>
      <c r="F21" s="2844" t="s">
        <v>2417</v>
      </c>
      <c r="G21" s="2844"/>
    </row>
    <row r="22" spans="1:13" ht="19.5" customHeight="1">
      <c r="A22" s="3529"/>
      <c r="B22" s="3522"/>
      <c r="C22" s="2845" t="s">
        <v>2418</v>
      </c>
      <c r="D22" s="2846"/>
      <c r="E22" s="2847">
        <v>0.9</v>
      </c>
      <c r="F22" s="2844" t="s">
        <v>2419</v>
      </c>
      <c r="G22" s="2844"/>
    </row>
    <row r="23" spans="1:13" ht="19.5" customHeight="1">
      <c r="A23" s="3529"/>
      <c r="B23" s="3522"/>
      <c r="C23" s="2845" t="s">
        <v>2420</v>
      </c>
      <c r="D23" s="2846"/>
      <c r="E23" s="2847">
        <v>0.9</v>
      </c>
      <c r="F23" s="2844" t="s">
        <v>2421</v>
      </c>
      <c r="G23" s="2844"/>
    </row>
    <row r="24" spans="1:13" ht="19.5" customHeight="1">
      <c r="A24" s="3529"/>
      <c r="B24" s="3522"/>
      <c r="C24" s="2845" t="s">
        <v>2422</v>
      </c>
      <c r="D24" s="2846"/>
      <c r="E24" s="2847">
        <v>0.8</v>
      </c>
      <c r="F24" s="2844" t="s">
        <v>2423</v>
      </c>
      <c r="G24" s="2844"/>
    </row>
    <row r="25" spans="1:13" ht="19.5" customHeight="1" thickBot="1">
      <c r="A25" s="3530"/>
      <c r="B25" s="3524"/>
      <c r="C25" s="2848" t="s">
        <v>2424</v>
      </c>
      <c r="D25" s="2849"/>
      <c r="E25" s="2850">
        <v>0.8</v>
      </c>
      <c r="F25" s="2844" t="s">
        <v>2425</v>
      </c>
      <c r="G25" s="2844"/>
    </row>
    <row r="26" spans="1:13" ht="19.5" customHeight="1" thickBot="1">
      <c r="A26" s="2851" t="s">
        <v>2604</v>
      </c>
      <c r="B26" s="2852" t="s">
        <v>2603</v>
      </c>
      <c r="C26" s="2853" t="s">
        <v>2605</v>
      </c>
      <c r="D26" s="2854"/>
      <c r="E26" s="2855">
        <v>1</v>
      </c>
      <c r="F26" s="2844" t="s">
        <v>2426</v>
      </c>
      <c r="G26" s="2844"/>
    </row>
    <row r="27" spans="1:13" ht="19.5" customHeight="1">
      <c r="A27" s="3525" t="s">
        <v>2606</v>
      </c>
      <c r="B27" s="3523" t="s">
        <v>2587</v>
      </c>
      <c r="C27" s="2841" t="s">
        <v>2427</v>
      </c>
      <c r="D27" s="2842"/>
      <c r="E27" s="2843">
        <v>1</v>
      </c>
      <c r="F27" s="2844" t="s">
        <v>2428</v>
      </c>
      <c r="G27" s="2844"/>
    </row>
    <row r="28" spans="1:13" ht="19.5" customHeight="1">
      <c r="A28" s="3526"/>
      <c r="B28" s="3522"/>
      <c r="C28" s="2845" t="s">
        <v>2429</v>
      </c>
      <c r="D28" s="2846"/>
      <c r="E28" s="2847">
        <v>1</v>
      </c>
      <c r="F28" s="2844" t="s">
        <v>2430</v>
      </c>
      <c r="G28" s="2844"/>
    </row>
    <row r="29" spans="1:13" ht="19.5" customHeight="1">
      <c r="A29" s="3526"/>
      <c r="B29" s="3522"/>
      <c r="C29" s="2845" t="s">
        <v>2431</v>
      </c>
      <c r="D29" s="2846"/>
      <c r="E29" s="2847">
        <v>0.8</v>
      </c>
      <c r="F29" s="2844" t="s">
        <v>2432</v>
      </c>
      <c r="G29" s="2844"/>
    </row>
    <row r="30" spans="1:13" ht="19.5" customHeight="1">
      <c r="A30" s="3526"/>
      <c r="B30" s="3522"/>
      <c r="C30" s="2845" t="s">
        <v>2433</v>
      </c>
      <c r="D30" s="2846"/>
      <c r="E30" s="2847">
        <v>0.8</v>
      </c>
      <c r="F30" s="2844" t="s">
        <v>2434</v>
      </c>
      <c r="G30" s="2844"/>
    </row>
    <row r="31" spans="1:13" ht="19.5" customHeight="1">
      <c r="A31" s="3526"/>
      <c r="B31" s="3522"/>
      <c r="C31" s="2845" t="s">
        <v>2435</v>
      </c>
      <c r="D31" s="2846"/>
      <c r="E31" s="2847">
        <v>0.8</v>
      </c>
      <c r="F31" s="2844" t="s">
        <v>2436</v>
      </c>
      <c r="G31" s="2844"/>
    </row>
    <row r="32" spans="1:13" ht="19.5" customHeight="1">
      <c r="A32" s="3526"/>
      <c r="B32" s="3522"/>
      <c r="C32" s="2845" t="s">
        <v>2437</v>
      </c>
      <c r="D32" s="2846"/>
      <c r="E32" s="2847">
        <v>0.7</v>
      </c>
      <c r="F32" s="2844" t="s">
        <v>2438</v>
      </c>
      <c r="G32" s="2844"/>
    </row>
    <row r="33" spans="1:7" ht="19.5" customHeight="1">
      <c r="A33" s="3526"/>
      <c r="B33" s="3522"/>
      <c r="C33" s="2845" t="s">
        <v>2439</v>
      </c>
      <c r="D33" s="2846"/>
      <c r="E33" s="2847">
        <v>0.8</v>
      </c>
      <c r="F33" s="2844" t="s">
        <v>2440</v>
      </c>
      <c r="G33" s="2844"/>
    </row>
    <row r="34" spans="1:7" ht="19.5" customHeight="1">
      <c r="A34" s="3526"/>
      <c r="B34" s="3522"/>
      <c r="C34" s="2845" t="s">
        <v>2441</v>
      </c>
      <c r="D34" s="2846"/>
      <c r="E34" s="2847">
        <v>0.6</v>
      </c>
      <c r="F34" s="2844" t="s">
        <v>2442</v>
      </c>
      <c r="G34" s="2844"/>
    </row>
    <row r="35" spans="1:7" ht="19.5" customHeight="1">
      <c r="A35" s="3526"/>
      <c r="B35" s="3522"/>
      <c r="C35" s="2845" t="s">
        <v>2443</v>
      </c>
      <c r="D35" s="2846"/>
      <c r="E35" s="2847">
        <v>0.2</v>
      </c>
      <c r="F35" s="2844" t="s">
        <v>2444</v>
      </c>
      <c r="G35" s="2844"/>
    </row>
    <row r="36" spans="1:7" ht="19.5" customHeight="1">
      <c r="A36" s="3526"/>
      <c r="B36" s="3522"/>
      <c r="C36" s="2845" t="s">
        <v>2445</v>
      </c>
      <c r="D36" s="2846"/>
      <c r="E36" s="2847">
        <v>0.2</v>
      </c>
      <c r="F36" s="2844" t="s">
        <v>2446</v>
      </c>
      <c r="G36" s="2844"/>
    </row>
    <row r="37" spans="1:7" ht="19.5" customHeight="1">
      <c r="A37" s="3526"/>
      <c r="B37" s="3520" t="s">
        <v>2607</v>
      </c>
      <c r="C37" s="2845" t="s">
        <v>2447</v>
      </c>
      <c r="D37" s="2846"/>
      <c r="E37" s="2847">
        <v>0.6</v>
      </c>
      <c r="F37" s="2844" t="s">
        <v>2448</v>
      </c>
      <c r="G37" s="2844"/>
    </row>
    <row r="38" spans="1:7" ht="19.5" customHeight="1">
      <c r="A38" s="3526"/>
      <c r="B38" s="3522"/>
      <c r="C38" s="2845" t="s">
        <v>2449</v>
      </c>
      <c r="D38" s="2846"/>
      <c r="E38" s="2847">
        <v>0.6</v>
      </c>
      <c r="F38" s="2844" t="s">
        <v>2450</v>
      </c>
      <c r="G38" s="2844"/>
    </row>
    <row r="39" spans="1:7" ht="19.5" customHeight="1" thickBot="1">
      <c r="A39" s="3527"/>
      <c r="B39" s="3524"/>
      <c r="C39" s="2848" t="s">
        <v>2451</v>
      </c>
      <c r="D39" s="2849"/>
      <c r="E39" s="2850">
        <v>0.6</v>
      </c>
      <c r="F39" s="2844" t="s">
        <v>2452</v>
      </c>
      <c r="G39" s="2844"/>
    </row>
    <row r="40" spans="1:7" ht="19.5" customHeight="1" thickBot="1">
      <c r="A40" s="2851" t="s">
        <v>2584</v>
      </c>
      <c r="B40" s="2852" t="s">
        <v>2584</v>
      </c>
      <c r="C40" s="2853" t="s">
        <v>2608</v>
      </c>
      <c r="D40" s="2854"/>
      <c r="E40" s="2855">
        <v>1</v>
      </c>
      <c r="F40" s="2844" t="s">
        <v>2453</v>
      </c>
      <c r="G40" s="2844"/>
    </row>
    <row r="41" spans="1:7" ht="19.5" customHeight="1">
      <c r="A41" s="3528" t="s">
        <v>2585</v>
      </c>
      <c r="B41" s="3523" t="s">
        <v>2609</v>
      </c>
      <c r="C41" s="2841" t="s">
        <v>2454</v>
      </c>
      <c r="D41" s="2842"/>
      <c r="E41" s="2843">
        <v>1</v>
      </c>
      <c r="F41" s="2844" t="s">
        <v>2455</v>
      </c>
      <c r="G41" s="2844"/>
    </row>
    <row r="42" spans="1:7" ht="19.5" customHeight="1">
      <c r="A42" s="3529"/>
      <c r="B42" s="3522"/>
      <c r="C42" s="2845" t="s">
        <v>2456</v>
      </c>
      <c r="D42" s="2846"/>
      <c r="E42" s="2847">
        <v>1</v>
      </c>
      <c r="F42" s="2844" t="s">
        <v>2457</v>
      </c>
      <c r="G42" s="2844"/>
    </row>
    <row r="43" spans="1:7" ht="19.5" customHeight="1">
      <c r="A43" s="3529"/>
      <c r="B43" s="3521"/>
      <c r="C43" s="2845" t="s">
        <v>2458</v>
      </c>
      <c r="D43" s="2846"/>
      <c r="E43" s="2847">
        <v>1.5</v>
      </c>
      <c r="F43" s="2844" t="s">
        <v>2459</v>
      </c>
      <c r="G43" s="2844"/>
    </row>
    <row r="44" spans="1:7" ht="19.5" customHeight="1">
      <c r="A44" s="3529"/>
      <c r="B44" s="2856" t="s">
        <v>2610</v>
      </c>
      <c r="C44" s="2845" t="s">
        <v>2611</v>
      </c>
      <c r="D44" s="2846"/>
      <c r="E44" s="2847">
        <v>2</v>
      </c>
      <c r="F44" s="2844" t="s">
        <v>2460</v>
      </c>
      <c r="G44" s="2844"/>
    </row>
    <row r="45" spans="1:7" ht="19.5" customHeight="1">
      <c r="A45" s="3529"/>
      <c r="B45" s="3520" t="s">
        <v>2612</v>
      </c>
      <c r="C45" s="2845" t="s">
        <v>2461</v>
      </c>
      <c r="D45" s="2846"/>
      <c r="E45" s="2847">
        <v>1</v>
      </c>
      <c r="F45" s="2844" t="s">
        <v>2462</v>
      </c>
      <c r="G45" s="2844"/>
    </row>
    <row r="46" spans="1:7" ht="19.5" customHeight="1">
      <c r="A46" s="3529"/>
      <c r="B46" s="3522"/>
      <c r="C46" s="2845" t="s">
        <v>2463</v>
      </c>
      <c r="D46" s="2846"/>
      <c r="E46" s="2847">
        <v>1</v>
      </c>
      <c r="F46" s="2844" t="s">
        <v>2464</v>
      </c>
      <c r="G46" s="2844"/>
    </row>
    <row r="47" spans="1:7" ht="19.5" customHeight="1">
      <c r="A47" s="3529"/>
      <c r="B47" s="3522"/>
      <c r="C47" s="2845" t="s">
        <v>2465</v>
      </c>
      <c r="D47" s="2846"/>
      <c r="E47" s="2847">
        <v>1</v>
      </c>
      <c r="F47" s="2844" t="s">
        <v>2466</v>
      </c>
      <c r="G47" s="2844"/>
    </row>
    <row r="48" spans="1:7" ht="19.5" customHeight="1">
      <c r="A48" s="3529"/>
      <c r="B48" s="3522"/>
      <c r="C48" s="2845" t="s">
        <v>2467</v>
      </c>
      <c r="D48" s="2846"/>
      <c r="E48" s="2847">
        <v>1</v>
      </c>
      <c r="F48" s="2844" t="s">
        <v>2468</v>
      </c>
      <c r="G48" s="2844"/>
    </row>
    <row r="49" spans="1:7" ht="19.5" customHeight="1">
      <c r="A49" s="3529"/>
      <c r="B49" s="3522"/>
      <c r="C49" s="2845" t="s">
        <v>2469</v>
      </c>
      <c r="D49" s="2846"/>
      <c r="E49" s="2847">
        <v>1</v>
      </c>
      <c r="F49" s="2844" t="s">
        <v>2470</v>
      </c>
      <c r="G49" s="2844"/>
    </row>
    <row r="50" spans="1:7" ht="19.5" customHeight="1">
      <c r="A50" s="3529"/>
      <c r="B50" s="3522"/>
      <c r="C50" s="2845" t="s">
        <v>2471</v>
      </c>
      <c r="D50" s="2846"/>
      <c r="E50" s="2847">
        <v>1</v>
      </c>
      <c r="F50" s="2844" t="s">
        <v>2472</v>
      </c>
      <c r="G50" s="2844"/>
    </row>
    <row r="51" spans="1:7" ht="19.5" customHeight="1" thickBot="1">
      <c r="A51" s="3530"/>
      <c r="B51" s="3524"/>
      <c r="C51" s="2848" t="s">
        <v>2473</v>
      </c>
      <c r="D51" s="2849"/>
      <c r="E51" s="2850">
        <v>1</v>
      </c>
      <c r="F51" s="2844" t="s">
        <v>2474</v>
      </c>
      <c r="G51" s="2844"/>
    </row>
    <row r="52" spans="1:7" ht="19.5" customHeight="1">
      <c r="A52" s="2857"/>
      <c r="B52" s="2857"/>
      <c r="C52" s="2857"/>
      <c r="D52" s="2857"/>
      <c r="E52" s="2857"/>
      <c r="F52" s="2857"/>
      <c r="G52" s="2857"/>
    </row>
    <row r="54" spans="1:7" ht="19.5" customHeight="1">
      <c r="A54" s="2858"/>
      <c r="B54" s="2830" t="s">
        <v>2613</v>
      </c>
      <c r="C54" s="2830" t="s">
        <v>2613</v>
      </c>
      <c r="D54" s="2830" t="s">
        <v>2613</v>
      </c>
      <c r="E54" s="2833" t="s">
        <v>2613</v>
      </c>
      <c r="F54" s="2833" t="s">
        <v>2614</v>
      </c>
      <c r="G54" s="2833" t="s">
        <v>2615</v>
      </c>
    </row>
    <row r="55" spans="1:7" ht="19.5" customHeight="1">
      <c r="A55" s="2859"/>
      <c r="B55" s="2833" t="s">
        <v>2582</v>
      </c>
      <c r="C55" s="2833" t="s">
        <v>2582</v>
      </c>
      <c r="D55" s="2833" t="s">
        <v>2582</v>
      </c>
      <c r="E55" s="2830" t="s">
        <v>2583</v>
      </c>
      <c r="F55" s="2830" t="s">
        <v>2585</v>
      </c>
      <c r="G55" s="2830" t="s">
        <v>2616</v>
      </c>
    </row>
    <row r="56" spans="1:7" ht="19.5" customHeight="1">
      <c r="A56" s="2860"/>
      <c r="B56" s="2830">
        <v>1</v>
      </c>
      <c r="C56" s="2830">
        <v>2</v>
      </c>
      <c r="D56" s="2830">
        <v>3</v>
      </c>
      <c r="E56" s="2861" t="s">
        <v>2617</v>
      </c>
      <c r="F56" s="2861" t="s">
        <v>2617</v>
      </c>
      <c r="G56" s="2861" t="s">
        <v>2617</v>
      </c>
    </row>
    <row r="57" spans="1:7" ht="19.5" customHeight="1">
      <c r="A57" s="2862" t="s">
        <v>2570</v>
      </c>
      <c r="B57" s="2830">
        <v>0.7</v>
      </c>
      <c r="C57" s="2830">
        <v>0.4</v>
      </c>
      <c r="D57" s="2830">
        <v>0.3</v>
      </c>
      <c r="E57" s="2861">
        <v>0.3</v>
      </c>
      <c r="F57" s="2830">
        <v>0.3</v>
      </c>
      <c r="G57" s="2830">
        <v>0.2</v>
      </c>
    </row>
    <row r="58" spans="1:7" ht="19.5" customHeight="1">
      <c r="A58" s="2862" t="s">
        <v>2571</v>
      </c>
      <c r="B58" s="2830">
        <v>0.7</v>
      </c>
      <c r="C58" s="2830">
        <v>0.4</v>
      </c>
      <c r="D58" s="2830">
        <v>0.3</v>
      </c>
      <c r="E58" s="2830">
        <v>0.3</v>
      </c>
      <c r="F58" s="2830">
        <v>0.3</v>
      </c>
      <c r="G58" s="2830">
        <v>0.2</v>
      </c>
    </row>
    <row r="59" spans="1:7" ht="19.5" customHeight="1">
      <c r="A59" s="2862" t="s">
        <v>2572</v>
      </c>
      <c r="B59" s="2830">
        <v>0.6</v>
      </c>
      <c r="C59" s="2830">
        <v>0.3</v>
      </c>
      <c r="D59" s="2830">
        <v>0.25</v>
      </c>
      <c r="E59" s="2830">
        <v>0.25</v>
      </c>
      <c r="F59" s="2830">
        <v>0.25</v>
      </c>
      <c r="G59" s="2830">
        <v>0.15</v>
      </c>
    </row>
    <row r="60" spans="1:7" ht="19.5" customHeight="1">
      <c r="A60" s="2862" t="s">
        <v>2573</v>
      </c>
      <c r="B60" s="2830">
        <v>0.6</v>
      </c>
      <c r="C60" s="2830">
        <v>0.3</v>
      </c>
      <c r="D60" s="2830">
        <v>0.25</v>
      </c>
      <c r="E60" s="2830">
        <v>0.25</v>
      </c>
      <c r="F60" s="2830">
        <v>0.25</v>
      </c>
      <c r="G60" s="2830">
        <v>0.15</v>
      </c>
    </row>
    <row r="61" spans="1:7" ht="19.5" customHeight="1">
      <c r="A61" s="2862" t="s">
        <v>2574</v>
      </c>
      <c r="B61" s="2830">
        <v>0.6</v>
      </c>
      <c r="C61" s="2830">
        <v>0.3</v>
      </c>
      <c r="D61" s="2830">
        <v>0.25</v>
      </c>
      <c r="E61" s="2830">
        <v>0.25</v>
      </c>
      <c r="F61" s="2830">
        <v>0.25</v>
      </c>
      <c r="G61" s="2830">
        <v>0.15</v>
      </c>
    </row>
    <row r="62" spans="1:7" ht="19.5" customHeight="1">
      <c r="A62" s="2862" t="s">
        <v>2575</v>
      </c>
      <c r="B62" s="2830">
        <v>0.6</v>
      </c>
      <c r="C62" s="2830">
        <v>0.3</v>
      </c>
      <c r="D62" s="2830">
        <v>0.25</v>
      </c>
      <c r="E62" s="2830">
        <v>0.25</v>
      </c>
      <c r="F62" s="2830">
        <v>0.25</v>
      </c>
      <c r="G62" s="2830">
        <v>0.15</v>
      </c>
    </row>
    <row r="63" spans="1:7" ht="19.5" customHeight="1">
      <c r="A63" s="2862" t="s">
        <v>2576</v>
      </c>
      <c r="B63" s="2830">
        <v>0.6</v>
      </c>
      <c r="C63" s="2830">
        <v>0.3</v>
      </c>
      <c r="D63" s="2830">
        <v>0.25</v>
      </c>
      <c r="E63" s="2830">
        <v>0.25</v>
      </c>
      <c r="F63" s="2830">
        <v>0.25</v>
      </c>
      <c r="G63" s="2830">
        <v>0.15</v>
      </c>
    </row>
    <row r="64" spans="1:7" ht="19.5" customHeight="1">
      <c r="A64" s="2862" t="s">
        <v>2577</v>
      </c>
      <c r="B64" s="2830">
        <v>0.5</v>
      </c>
      <c r="C64" s="2830">
        <v>0.2</v>
      </c>
      <c r="D64" s="2830">
        <v>0.2</v>
      </c>
      <c r="E64" s="2830">
        <v>0.2</v>
      </c>
      <c r="F64" s="2830">
        <v>0.2</v>
      </c>
      <c r="G64" s="2830">
        <v>0.1</v>
      </c>
    </row>
    <row r="65" spans="1:7" ht="19.5" customHeight="1">
      <c r="A65" s="2862" t="s">
        <v>2578</v>
      </c>
      <c r="B65" s="2830">
        <v>0.5</v>
      </c>
      <c r="C65" s="2830">
        <v>0.2</v>
      </c>
      <c r="D65" s="2830">
        <v>0.2</v>
      </c>
      <c r="E65" s="2830">
        <v>0.2</v>
      </c>
      <c r="F65" s="2830">
        <v>0.2</v>
      </c>
      <c r="G65" s="2830">
        <v>0.1</v>
      </c>
    </row>
    <row r="66" spans="1:7" ht="19.5" customHeight="1">
      <c r="A66" s="2862" t="s">
        <v>2579</v>
      </c>
      <c r="B66" s="2830">
        <v>0.5</v>
      </c>
      <c r="C66" s="2830">
        <v>0.2</v>
      </c>
      <c r="D66" s="2830">
        <v>0.2</v>
      </c>
      <c r="E66" s="2830">
        <v>0.2</v>
      </c>
      <c r="F66" s="2830">
        <v>0.2</v>
      </c>
      <c r="G66" s="2830">
        <v>0.1</v>
      </c>
    </row>
    <row r="67" spans="1:7" ht="19.5" customHeight="1">
      <c r="A67" s="2862" t="s">
        <v>2580</v>
      </c>
      <c r="B67" s="2830">
        <v>0.5</v>
      </c>
      <c r="C67" s="2830">
        <v>0.2</v>
      </c>
      <c r="D67" s="2830">
        <v>0.2</v>
      </c>
      <c r="E67" s="2830">
        <v>0.2</v>
      </c>
      <c r="F67" s="2830">
        <v>0.2</v>
      </c>
      <c r="G67" s="2830">
        <v>0.1</v>
      </c>
    </row>
    <row r="68" spans="1:7" ht="19.5" customHeight="1">
      <c r="A68" s="2862" t="s">
        <v>2581</v>
      </c>
      <c r="B68" s="2830">
        <v>0.5</v>
      </c>
      <c r="C68" s="2830">
        <v>0.2</v>
      </c>
      <c r="D68" s="2830">
        <v>0.2</v>
      </c>
      <c r="E68" s="2830">
        <v>0.2</v>
      </c>
      <c r="F68" s="2830">
        <v>0.2</v>
      </c>
      <c r="G68" s="2830">
        <v>0.1</v>
      </c>
    </row>
    <row r="70" spans="1:7" ht="19.5" customHeight="1">
      <c r="A70" s="2844"/>
      <c r="B70" s="2863"/>
      <c r="C70" s="2863"/>
      <c r="D70" s="2863" t="s">
        <v>2618</v>
      </c>
      <c r="E70" s="2863"/>
      <c r="F70" s="2863"/>
    </row>
    <row r="71" spans="1:7" ht="19.5" customHeight="1">
      <c r="A71" s="2856" t="s">
        <v>2619</v>
      </c>
      <c r="B71" s="2856" t="s">
        <v>2620</v>
      </c>
      <c r="C71" s="2856" t="s">
        <v>2621</v>
      </c>
      <c r="D71" s="2856" t="s">
        <v>2622</v>
      </c>
      <c r="E71" s="2856" t="s">
        <v>2623</v>
      </c>
      <c r="F71" s="2856" t="s">
        <v>2624</v>
      </c>
    </row>
    <row r="72" spans="1:7" ht="13.5">
      <c r="A72" s="2856"/>
      <c r="B72" s="2856"/>
      <c r="C72" s="2856" t="s">
        <v>2625</v>
      </c>
      <c r="D72" s="2856"/>
      <c r="E72" s="2856" t="s">
        <v>2596</v>
      </c>
      <c r="F72" s="2856" t="s">
        <v>2596</v>
      </c>
    </row>
    <row r="73" spans="1:7" ht="13.5">
      <c r="A73" s="2856">
        <v>1</v>
      </c>
      <c r="B73" s="3520" t="s">
        <v>2626</v>
      </c>
      <c r="C73" s="2830" t="s">
        <v>2627</v>
      </c>
      <c r="D73" s="2830" t="s">
        <v>2628</v>
      </c>
      <c r="E73" s="2856">
        <v>0.2</v>
      </c>
      <c r="F73" s="2856">
        <v>25</v>
      </c>
    </row>
    <row r="74" spans="1:7" ht="24">
      <c r="A74" s="2856">
        <v>2</v>
      </c>
      <c r="B74" s="3522"/>
      <c r="C74" s="2830" t="s">
        <v>2629</v>
      </c>
      <c r="D74" s="2830" t="s">
        <v>2630</v>
      </c>
      <c r="E74" s="2856">
        <v>0.2</v>
      </c>
      <c r="F74" s="2856">
        <v>25</v>
      </c>
    </row>
    <row r="75" spans="1:7" ht="24">
      <c r="A75" s="2856">
        <v>3</v>
      </c>
      <c r="B75" s="3522"/>
      <c r="C75" s="2830" t="s">
        <v>2631</v>
      </c>
      <c r="D75" s="2830" t="s">
        <v>2632</v>
      </c>
      <c r="E75" s="2856">
        <v>0.2</v>
      </c>
      <c r="F75" s="2856">
        <v>25</v>
      </c>
    </row>
    <row r="76" spans="1:7" ht="13.5">
      <c r="A76" s="2856">
        <v>4</v>
      </c>
      <c r="B76" s="3522"/>
      <c r="C76" s="2830" t="s">
        <v>2633</v>
      </c>
      <c r="D76" s="2830" t="s">
        <v>2634</v>
      </c>
      <c r="E76" s="2856">
        <v>0.15</v>
      </c>
      <c r="F76" s="2856">
        <v>20</v>
      </c>
    </row>
    <row r="77" spans="1:7" ht="24">
      <c r="A77" s="2856">
        <v>5</v>
      </c>
      <c r="B77" s="3522"/>
      <c r="C77" s="2830" t="s">
        <v>2635</v>
      </c>
      <c r="D77" s="2830" t="s">
        <v>2636</v>
      </c>
      <c r="E77" s="2856">
        <v>0.15</v>
      </c>
      <c r="F77" s="2856">
        <v>20</v>
      </c>
    </row>
    <row r="78" spans="1:7" ht="24">
      <c r="A78" s="2856">
        <v>6</v>
      </c>
      <c r="B78" s="3522"/>
      <c r="C78" s="2830" t="s">
        <v>2637</v>
      </c>
      <c r="D78" s="2830" t="s">
        <v>2638</v>
      </c>
      <c r="E78" s="2856">
        <v>0.15</v>
      </c>
      <c r="F78" s="2856">
        <v>20</v>
      </c>
    </row>
    <row r="79" spans="1:7" ht="24">
      <c r="A79" s="2856">
        <v>7</v>
      </c>
      <c r="B79" s="3522"/>
      <c r="C79" s="2830" t="s">
        <v>2639</v>
      </c>
      <c r="D79" s="2830" t="s">
        <v>2640</v>
      </c>
      <c r="E79" s="2856">
        <v>0.15</v>
      </c>
      <c r="F79" s="2856">
        <v>20</v>
      </c>
    </row>
    <row r="80" spans="1:7" ht="24">
      <c r="A80" s="2856">
        <v>8</v>
      </c>
      <c r="B80" s="3522"/>
      <c r="C80" s="2830" t="s">
        <v>2641</v>
      </c>
      <c r="D80" s="2830" t="s">
        <v>2642</v>
      </c>
      <c r="E80" s="2856">
        <v>0.1</v>
      </c>
      <c r="F80" s="2856">
        <v>15</v>
      </c>
    </row>
    <row r="81" spans="1:6" ht="24">
      <c r="A81" s="2856">
        <v>9</v>
      </c>
      <c r="B81" s="3522"/>
      <c r="C81" s="2830" t="s">
        <v>2643</v>
      </c>
      <c r="D81" s="2830" t="s">
        <v>2644</v>
      </c>
      <c r="E81" s="2856">
        <v>0.1</v>
      </c>
      <c r="F81" s="2856">
        <v>15</v>
      </c>
    </row>
    <row r="82" spans="1:6" ht="24">
      <c r="A82" s="2856">
        <v>10</v>
      </c>
      <c r="B82" s="3522"/>
      <c r="C82" s="2830" t="s">
        <v>2645</v>
      </c>
      <c r="D82" s="2830" t="s">
        <v>2646</v>
      </c>
      <c r="E82" s="2856">
        <v>0.1</v>
      </c>
      <c r="F82" s="2856">
        <v>15</v>
      </c>
    </row>
    <row r="83" spans="1:6" ht="24">
      <c r="A83" s="2856">
        <v>11</v>
      </c>
      <c r="B83" s="3522"/>
      <c r="C83" s="2830" t="s">
        <v>2647</v>
      </c>
      <c r="D83" s="2830" t="s">
        <v>2648</v>
      </c>
      <c r="E83" s="2856">
        <v>0.1</v>
      </c>
      <c r="F83" s="2856">
        <v>15</v>
      </c>
    </row>
    <row r="84" spans="1:6" ht="24">
      <c r="A84" s="2856">
        <v>12</v>
      </c>
      <c r="B84" s="3522"/>
      <c r="C84" s="2830" t="s">
        <v>2649</v>
      </c>
      <c r="D84" s="2830" t="s">
        <v>2650</v>
      </c>
      <c r="E84" s="2856">
        <v>0.1</v>
      </c>
      <c r="F84" s="2856">
        <v>15</v>
      </c>
    </row>
    <row r="85" spans="1:6" ht="13.5">
      <c r="A85" s="2856">
        <v>13</v>
      </c>
      <c r="B85" s="3522"/>
      <c r="C85" s="2830" t="s">
        <v>2651</v>
      </c>
      <c r="D85" s="2830" t="s">
        <v>2652</v>
      </c>
      <c r="E85" s="2856">
        <v>0.1</v>
      </c>
      <c r="F85" s="2856">
        <v>15</v>
      </c>
    </row>
    <row r="86" spans="1:6" ht="13.5">
      <c r="A86" s="2856">
        <v>14</v>
      </c>
      <c r="B86" s="3522"/>
      <c r="C86" s="2830" t="s">
        <v>2653</v>
      </c>
      <c r="D86" s="2830" t="s">
        <v>2654</v>
      </c>
      <c r="E86" s="2856">
        <v>0.1</v>
      </c>
      <c r="F86" s="2856">
        <v>15</v>
      </c>
    </row>
    <row r="87" spans="1:6" ht="13.5">
      <c r="A87" s="2856">
        <v>15</v>
      </c>
      <c r="B87" s="3522"/>
      <c r="C87" s="2830" t="s">
        <v>2655</v>
      </c>
      <c r="D87" s="2830" t="s">
        <v>2656</v>
      </c>
      <c r="E87" s="2856">
        <v>0.1</v>
      </c>
      <c r="F87" s="2856">
        <v>15</v>
      </c>
    </row>
    <row r="88" spans="1:6" ht="24">
      <c r="A88" s="2856">
        <v>16</v>
      </c>
      <c r="B88" s="3522"/>
      <c r="C88" s="2830" t="s">
        <v>2657</v>
      </c>
      <c r="D88" s="2830" t="s">
        <v>2658</v>
      </c>
      <c r="E88" s="2856">
        <v>0.1</v>
      </c>
      <c r="F88" s="2856">
        <v>15</v>
      </c>
    </row>
    <row r="89" spans="1:6" ht="24">
      <c r="A89" s="2856">
        <v>17</v>
      </c>
      <c r="B89" s="3521"/>
      <c r="C89" s="2830" t="s">
        <v>2659</v>
      </c>
      <c r="D89" s="2830" t="s">
        <v>2660</v>
      </c>
      <c r="E89" s="2856">
        <v>0.1</v>
      </c>
      <c r="F89" s="2856">
        <v>15</v>
      </c>
    </row>
    <row r="90" spans="1:6" ht="13.5">
      <c r="A90" s="2856">
        <v>18</v>
      </c>
      <c r="B90" s="3520" t="s">
        <v>2661</v>
      </c>
      <c r="C90" s="2830" t="s">
        <v>2662</v>
      </c>
      <c r="D90" s="2830" t="s">
        <v>2663</v>
      </c>
      <c r="E90" s="2856">
        <v>0.2</v>
      </c>
      <c r="F90" s="2856">
        <v>25</v>
      </c>
    </row>
    <row r="91" spans="1:6" ht="24">
      <c r="A91" s="2856">
        <v>19</v>
      </c>
      <c r="B91" s="3522"/>
      <c r="C91" s="2830" t="s">
        <v>2664</v>
      </c>
      <c r="D91" s="2830" t="s">
        <v>2665</v>
      </c>
      <c r="E91" s="2856">
        <v>0.2</v>
      </c>
      <c r="F91" s="2856">
        <v>25</v>
      </c>
    </row>
    <row r="92" spans="1:6" ht="13.5">
      <c r="A92" s="2856">
        <v>20</v>
      </c>
      <c r="B92" s="3522"/>
      <c r="C92" s="2830" t="s">
        <v>2666</v>
      </c>
      <c r="D92" s="2830" t="s">
        <v>2667</v>
      </c>
      <c r="E92" s="2856">
        <v>0.15</v>
      </c>
      <c r="F92" s="2856">
        <v>20</v>
      </c>
    </row>
    <row r="93" spans="1:6" ht="13.5">
      <c r="A93" s="2856">
        <v>21</v>
      </c>
      <c r="B93" s="3522"/>
      <c r="C93" s="2830" t="s">
        <v>2668</v>
      </c>
      <c r="D93" s="2830" t="s">
        <v>2669</v>
      </c>
      <c r="E93" s="2856">
        <v>0.15</v>
      </c>
      <c r="F93" s="2856">
        <v>20</v>
      </c>
    </row>
    <row r="94" spans="1:6" ht="13.5">
      <c r="A94" s="2856">
        <v>22</v>
      </c>
      <c r="B94" s="3522"/>
      <c r="C94" s="2830" t="s">
        <v>2670</v>
      </c>
      <c r="D94" s="2830" t="s">
        <v>2671</v>
      </c>
      <c r="E94" s="2856">
        <v>0.15</v>
      </c>
      <c r="F94" s="2856">
        <v>20</v>
      </c>
    </row>
    <row r="95" spans="1:6" ht="36">
      <c r="A95" s="2856">
        <v>23</v>
      </c>
      <c r="B95" s="3522"/>
      <c r="C95" s="2830" t="s">
        <v>2672</v>
      </c>
      <c r="D95" s="2830" t="s">
        <v>2673</v>
      </c>
      <c r="E95" s="2856">
        <v>0.15</v>
      </c>
      <c r="F95" s="2856">
        <v>20</v>
      </c>
    </row>
    <row r="96" spans="1:6" ht="13.5">
      <c r="A96" s="2856">
        <v>24</v>
      </c>
      <c r="B96" s="3522"/>
      <c r="C96" s="2830" t="s">
        <v>2674</v>
      </c>
      <c r="D96" s="2830" t="s">
        <v>2675</v>
      </c>
      <c r="E96" s="2856">
        <v>0.1</v>
      </c>
      <c r="F96" s="2856">
        <v>15</v>
      </c>
    </row>
    <row r="97" spans="1:6" ht="13.5">
      <c r="A97" s="2856">
        <v>25</v>
      </c>
      <c r="B97" s="3522"/>
      <c r="C97" s="2830" t="s">
        <v>2676</v>
      </c>
      <c r="D97" s="2830" t="s">
        <v>2677</v>
      </c>
      <c r="E97" s="2856">
        <v>0.1</v>
      </c>
      <c r="F97" s="2856">
        <v>15</v>
      </c>
    </row>
    <row r="98" spans="1:6" ht="24">
      <c r="A98" s="2856">
        <v>26</v>
      </c>
      <c r="B98" s="3522"/>
      <c r="C98" s="2830" t="s">
        <v>2678</v>
      </c>
      <c r="D98" s="2830" t="s">
        <v>2679</v>
      </c>
      <c r="E98" s="2856">
        <v>0.1</v>
      </c>
      <c r="F98" s="2856">
        <v>15</v>
      </c>
    </row>
    <row r="99" spans="1:6" ht="24">
      <c r="A99" s="2856">
        <v>27</v>
      </c>
      <c r="B99" s="3522"/>
      <c r="C99" s="2830" t="s">
        <v>2680</v>
      </c>
      <c r="D99" s="2830" t="s">
        <v>2681</v>
      </c>
      <c r="E99" s="2856">
        <v>0.1</v>
      </c>
      <c r="F99" s="2856">
        <v>15</v>
      </c>
    </row>
    <row r="100" spans="1:6" ht="13.5">
      <c r="A100" s="2856">
        <v>28</v>
      </c>
      <c r="B100" s="3522"/>
      <c r="C100" s="2830" t="s">
        <v>2682</v>
      </c>
      <c r="D100" s="2830" t="s">
        <v>2683</v>
      </c>
      <c r="E100" s="2856">
        <v>0.1</v>
      </c>
      <c r="F100" s="2856">
        <v>15</v>
      </c>
    </row>
    <row r="101" spans="1:6" ht="13.5">
      <c r="A101" s="2856">
        <v>29</v>
      </c>
      <c r="B101" s="3522"/>
      <c r="C101" s="2830" t="s">
        <v>2684</v>
      </c>
      <c r="D101" s="2830" t="s">
        <v>2685</v>
      </c>
      <c r="E101" s="2856">
        <v>0.1</v>
      </c>
      <c r="F101" s="2856">
        <v>15</v>
      </c>
    </row>
    <row r="102" spans="1:6" ht="13.5">
      <c r="A102" s="2856">
        <v>30</v>
      </c>
      <c r="B102" s="3522"/>
      <c r="C102" s="2830" t="s">
        <v>2686</v>
      </c>
      <c r="D102" s="2830" t="s">
        <v>2687</v>
      </c>
      <c r="E102" s="2856">
        <v>0.1</v>
      </c>
      <c r="F102" s="2856">
        <v>15</v>
      </c>
    </row>
    <row r="103" spans="1:6" ht="24">
      <c r="A103" s="2856">
        <v>31</v>
      </c>
      <c r="B103" s="3522"/>
      <c r="C103" s="2830" t="s">
        <v>2688</v>
      </c>
      <c r="D103" s="2830" t="s">
        <v>2689</v>
      </c>
      <c r="E103" s="2856">
        <v>0.1</v>
      </c>
      <c r="F103" s="2856">
        <v>15</v>
      </c>
    </row>
    <row r="104" spans="1:6" ht="24">
      <c r="A104" s="2856">
        <v>32</v>
      </c>
      <c r="B104" s="3522"/>
      <c r="C104" s="2830" t="s">
        <v>2690</v>
      </c>
      <c r="D104" s="2830" t="s">
        <v>2691</v>
      </c>
      <c r="E104" s="2856">
        <v>0.1</v>
      </c>
      <c r="F104" s="2856">
        <v>15</v>
      </c>
    </row>
    <row r="105" spans="1:6" ht="24">
      <c r="A105" s="2856">
        <v>33</v>
      </c>
      <c r="B105" s="3522"/>
      <c r="C105" s="2830" t="s">
        <v>2692</v>
      </c>
      <c r="D105" s="2830" t="s">
        <v>2693</v>
      </c>
      <c r="E105" s="2856">
        <v>0.1</v>
      </c>
      <c r="F105" s="2856">
        <v>15</v>
      </c>
    </row>
    <row r="106" spans="1:6" ht="24">
      <c r="A106" s="2856">
        <v>34</v>
      </c>
      <c r="B106" s="3521"/>
      <c r="C106" s="2830" t="s">
        <v>2694</v>
      </c>
      <c r="D106" s="2830" t="s">
        <v>2695</v>
      </c>
      <c r="E106" s="2856">
        <v>0.1</v>
      </c>
      <c r="F106" s="2856">
        <v>15</v>
      </c>
    </row>
    <row r="107" spans="1:6" ht="24">
      <c r="A107" s="2856">
        <v>35</v>
      </c>
      <c r="B107" s="3520" t="s">
        <v>2696</v>
      </c>
      <c r="C107" s="2856" t="s">
        <v>2697</v>
      </c>
      <c r="D107" s="2830" t="s">
        <v>2698</v>
      </c>
      <c r="E107" s="2856">
        <v>0.15</v>
      </c>
      <c r="F107" s="2856">
        <v>20</v>
      </c>
    </row>
    <row r="108" spans="1:6" ht="13.5">
      <c r="A108" s="2856">
        <v>36</v>
      </c>
      <c r="B108" s="3522"/>
      <c r="C108" s="2856" t="s">
        <v>2699</v>
      </c>
      <c r="D108" s="2830" t="s">
        <v>2700</v>
      </c>
      <c r="E108" s="2856">
        <v>0.15</v>
      </c>
      <c r="F108" s="2856">
        <v>20</v>
      </c>
    </row>
    <row r="109" spans="1:6" ht="13.5">
      <c r="A109" s="2856">
        <v>37</v>
      </c>
      <c r="B109" s="3522"/>
      <c r="C109" s="2856" t="s">
        <v>2701</v>
      </c>
      <c r="D109" s="2830" t="s">
        <v>2702</v>
      </c>
      <c r="E109" s="2856">
        <v>0.15</v>
      </c>
      <c r="F109" s="2856">
        <v>20</v>
      </c>
    </row>
    <row r="110" spans="1:6" ht="13.5">
      <c r="A110" s="2856">
        <v>38</v>
      </c>
      <c r="B110" s="3522"/>
      <c r="C110" s="2856" t="s">
        <v>2703</v>
      </c>
      <c r="D110" s="2830" t="s">
        <v>2704</v>
      </c>
      <c r="E110" s="2856">
        <v>0.1</v>
      </c>
      <c r="F110" s="2856">
        <v>15</v>
      </c>
    </row>
    <row r="111" spans="1:6" ht="24">
      <c r="A111" s="2856">
        <v>39</v>
      </c>
      <c r="B111" s="3522"/>
      <c r="C111" s="2856" t="s">
        <v>2705</v>
      </c>
      <c r="D111" s="2830" t="s">
        <v>2706</v>
      </c>
      <c r="E111" s="2856">
        <v>0.1</v>
      </c>
      <c r="F111" s="2856">
        <v>15</v>
      </c>
    </row>
    <row r="112" spans="1:6" ht="24">
      <c r="A112" s="2856">
        <v>40</v>
      </c>
      <c r="B112" s="3521"/>
      <c r="C112" s="2856" t="s">
        <v>2707</v>
      </c>
      <c r="D112" s="2830" t="s">
        <v>2708</v>
      </c>
      <c r="E112" s="2856">
        <v>0.1</v>
      </c>
      <c r="F112" s="2856">
        <v>15</v>
      </c>
    </row>
    <row r="113" spans="1:6" ht="13.5">
      <c r="A113" s="2856">
        <v>41</v>
      </c>
      <c r="B113" s="3519" t="s">
        <v>2709</v>
      </c>
      <c r="C113" s="2856" t="s">
        <v>2710</v>
      </c>
      <c r="D113" s="2830" t="s">
        <v>2711</v>
      </c>
      <c r="E113" s="2856">
        <v>0.1</v>
      </c>
      <c r="F113" s="2856">
        <v>15</v>
      </c>
    </row>
    <row r="114" spans="1:6" ht="13.5">
      <c r="A114" s="2856">
        <v>42</v>
      </c>
      <c r="B114" s="3519"/>
      <c r="C114" s="2856" t="s">
        <v>2712</v>
      </c>
      <c r="D114" s="2830" t="s">
        <v>2713</v>
      </c>
      <c r="E114" s="2856">
        <v>0.1</v>
      </c>
      <c r="F114" s="2856">
        <v>15</v>
      </c>
    </row>
    <row r="115" spans="1:6" ht="24">
      <c r="A115" s="2856">
        <v>43</v>
      </c>
      <c r="B115" s="3519"/>
      <c r="C115" s="2856" t="s">
        <v>2714</v>
      </c>
      <c r="D115" s="2830" t="s">
        <v>2715</v>
      </c>
      <c r="E115" s="2856">
        <v>0.1</v>
      </c>
      <c r="F115" s="2856">
        <v>15</v>
      </c>
    </row>
    <row r="116" spans="1:6" ht="13.5">
      <c r="A116" s="2856">
        <v>44</v>
      </c>
      <c r="B116" s="3520" t="s">
        <v>2716</v>
      </c>
      <c r="C116" s="2856" t="s">
        <v>2717</v>
      </c>
      <c r="D116" s="2830" t="s">
        <v>2718</v>
      </c>
      <c r="E116" s="2856">
        <v>0.1</v>
      </c>
      <c r="F116" s="2856">
        <v>15</v>
      </c>
    </row>
    <row r="117" spans="1:6" ht="24">
      <c r="A117" s="2856">
        <v>45</v>
      </c>
      <c r="B117" s="3521"/>
      <c r="C117" s="2830" t="s">
        <v>2719</v>
      </c>
      <c r="D117" s="2830" t="s">
        <v>2720</v>
      </c>
      <c r="E117" s="2856">
        <v>0.1</v>
      </c>
      <c r="F117" s="2856">
        <v>15</v>
      </c>
    </row>
    <row r="118" spans="1:6" ht="24">
      <c r="A118" s="2856">
        <v>46</v>
      </c>
      <c r="B118" s="3520" t="s">
        <v>2721</v>
      </c>
      <c r="C118" s="2856" t="s">
        <v>2722</v>
      </c>
      <c r="D118" s="2830" t="s">
        <v>2723</v>
      </c>
      <c r="E118" s="2856">
        <v>0.1</v>
      </c>
      <c r="F118" s="2856">
        <v>15</v>
      </c>
    </row>
    <row r="119" spans="1:6" ht="24">
      <c r="A119" s="2856">
        <v>47</v>
      </c>
      <c r="B119" s="3521"/>
      <c r="C119" s="2856" t="s">
        <v>2724</v>
      </c>
      <c r="D119" s="2830" t="s">
        <v>2725</v>
      </c>
      <c r="E119" s="2856">
        <v>0.1</v>
      </c>
      <c r="F119" s="2856">
        <v>15</v>
      </c>
    </row>
    <row r="120" spans="1:6" ht="13.5">
      <c r="A120" s="2856">
        <v>48</v>
      </c>
      <c r="B120" s="3520" t="s">
        <v>2726</v>
      </c>
      <c r="C120" s="2856" t="s">
        <v>2727</v>
      </c>
      <c r="D120" s="2830" t="s">
        <v>2728</v>
      </c>
      <c r="E120" s="2856">
        <v>0.1</v>
      </c>
      <c r="F120" s="2856">
        <v>15</v>
      </c>
    </row>
    <row r="121" spans="1:6" ht="13.5">
      <c r="A121" s="2856">
        <v>49</v>
      </c>
      <c r="B121" s="3521"/>
      <c r="C121" s="2856" t="s">
        <v>2729</v>
      </c>
      <c r="D121" s="2830" t="s">
        <v>2730</v>
      </c>
      <c r="E121" s="2856">
        <v>0.1</v>
      </c>
      <c r="F121" s="2856">
        <v>15</v>
      </c>
    </row>
    <row r="122" spans="1:6" ht="24">
      <c r="A122" s="2856">
        <v>50</v>
      </c>
      <c r="B122" s="3519" t="s">
        <v>2731</v>
      </c>
      <c r="C122" s="2856" t="s">
        <v>2732</v>
      </c>
      <c r="D122" s="2830" t="s">
        <v>2733</v>
      </c>
      <c r="E122" s="2856">
        <v>0.1</v>
      </c>
      <c r="F122" s="2856">
        <v>15</v>
      </c>
    </row>
    <row r="123" spans="1:6" ht="24">
      <c r="A123" s="2856">
        <v>51</v>
      </c>
      <c r="B123" s="3519"/>
      <c r="C123" s="2856" t="s">
        <v>2734</v>
      </c>
      <c r="D123" s="2830" t="s">
        <v>2735</v>
      </c>
      <c r="E123" s="2856">
        <v>0.1</v>
      </c>
      <c r="F123" s="2856">
        <v>15</v>
      </c>
    </row>
    <row r="124" spans="1:6" ht="24">
      <c r="A124" s="2856">
        <v>52</v>
      </c>
      <c r="B124" s="3519" t="s">
        <v>2736</v>
      </c>
      <c r="C124" s="2856" t="s">
        <v>2737</v>
      </c>
      <c r="D124" s="2830" t="s">
        <v>2738</v>
      </c>
      <c r="E124" s="2856">
        <v>0.1</v>
      </c>
      <c r="F124" s="2856">
        <v>15</v>
      </c>
    </row>
    <row r="125" spans="1:6" ht="24">
      <c r="A125" s="2856">
        <v>53</v>
      </c>
      <c r="B125" s="3519"/>
      <c r="C125" s="2856" t="s">
        <v>2739</v>
      </c>
      <c r="D125" s="2830" t="s">
        <v>2740</v>
      </c>
      <c r="E125" s="2856">
        <v>0.1</v>
      </c>
      <c r="F125" s="2856">
        <v>15</v>
      </c>
    </row>
    <row r="126" spans="1:6" ht="13.5">
      <c r="A126" s="2856">
        <v>54</v>
      </c>
      <c r="B126" s="2856" t="s">
        <v>2741</v>
      </c>
      <c r="C126" s="2856" t="s">
        <v>2742</v>
      </c>
      <c r="D126" s="2830" t="s">
        <v>2743</v>
      </c>
      <c r="E126" s="2856">
        <v>0.1</v>
      </c>
      <c r="F126" s="2856">
        <v>15</v>
      </c>
    </row>
    <row r="127" spans="1:6" ht="13.5">
      <c r="A127" s="2856">
        <v>55</v>
      </c>
      <c r="B127" s="3519" t="s">
        <v>2744</v>
      </c>
      <c r="C127" s="2856" t="s">
        <v>2745</v>
      </c>
      <c r="D127" s="2830" t="s">
        <v>2746</v>
      </c>
      <c r="E127" s="2856">
        <v>0.1</v>
      </c>
      <c r="F127" s="2856">
        <v>15</v>
      </c>
    </row>
    <row r="128" spans="1:6" ht="13.5">
      <c r="A128" s="2856">
        <v>56</v>
      </c>
      <c r="B128" s="3519"/>
      <c r="C128" s="2856" t="s">
        <v>2747</v>
      </c>
      <c r="D128" s="2830" t="s">
        <v>2748</v>
      </c>
      <c r="E128" s="2856">
        <v>0.1</v>
      </c>
      <c r="F128" s="2856">
        <v>15</v>
      </c>
    </row>
    <row r="129" spans="1:6" ht="24">
      <c r="A129" s="2856">
        <v>57</v>
      </c>
      <c r="B129" s="3519"/>
      <c r="C129" s="2856" t="s">
        <v>2749</v>
      </c>
      <c r="D129" s="2830" t="s">
        <v>2750</v>
      </c>
      <c r="E129" s="2856">
        <v>0.1</v>
      </c>
      <c r="F129" s="2856">
        <v>15</v>
      </c>
    </row>
    <row r="130" spans="1:6" ht="24">
      <c r="A130" s="2856">
        <v>58</v>
      </c>
      <c r="B130" s="3519" t="s">
        <v>2751</v>
      </c>
      <c r="C130" s="2856" t="s">
        <v>2752</v>
      </c>
      <c r="D130" s="2830" t="s">
        <v>2753</v>
      </c>
      <c r="E130" s="2856">
        <v>0.1</v>
      </c>
      <c r="F130" s="2856">
        <v>15</v>
      </c>
    </row>
    <row r="131" spans="1:6" ht="13.5">
      <c r="A131" s="2856">
        <v>59</v>
      </c>
      <c r="B131" s="3519"/>
      <c r="C131" s="2856" t="s">
        <v>2754</v>
      </c>
      <c r="D131" s="2830" t="s">
        <v>2755</v>
      </c>
      <c r="E131" s="2856">
        <v>0.1</v>
      </c>
      <c r="F131" s="2856">
        <v>15</v>
      </c>
    </row>
    <row r="132" spans="1:6" ht="13.5">
      <c r="A132" s="2856">
        <v>60</v>
      </c>
      <c r="B132" s="3520" t="s">
        <v>2756</v>
      </c>
      <c r="C132" s="2856" t="s">
        <v>2757</v>
      </c>
      <c r="D132" s="2830" t="s">
        <v>2758</v>
      </c>
      <c r="E132" s="2856">
        <v>0.1</v>
      </c>
      <c r="F132" s="2856">
        <v>15</v>
      </c>
    </row>
    <row r="133" spans="1:6" ht="13.5">
      <c r="A133" s="2856">
        <v>61</v>
      </c>
      <c r="B133" s="3521"/>
      <c r="C133" s="2856" t="s">
        <v>2759</v>
      </c>
      <c r="D133" s="2830" t="s">
        <v>2760</v>
      </c>
      <c r="E133" s="2856">
        <v>0.1</v>
      </c>
      <c r="F133" s="2856">
        <v>15</v>
      </c>
    </row>
    <row r="134" spans="1:6" ht="24">
      <c r="A134" s="2856">
        <v>62</v>
      </c>
      <c r="B134" s="2856" t="s">
        <v>2761</v>
      </c>
      <c r="C134" s="2856" t="s">
        <v>2762</v>
      </c>
      <c r="D134" s="2830" t="s">
        <v>2763</v>
      </c>
      <c r="E134" s="2856">
        <v>0.1</v>
      </c>
      <c r="F134" s="2856">
        <v>15</v>
      </c>
    </row>
    <row r="135" spans="1:6" ht="13.5">
      <c r="A135" s="2856">
        <v>63</v>
      </c>
      <c r="B135" s="3519" t="s">
        <v>2764</v>
      </c>
      <c r="C135" s="2856" t="s">
        <v>2765</v>
      </c>
      <c r="D135" s="2830" t="s">
        <v>2766</v>
      </c>
      <c r="E135" s="2856">
        <v>0.1</v>
      </c>
      <c r="F135" s="2856">
        <v>15</v>
      </c>
    </row>
    <row r="136" spans="1:6" ht="13.5">
      <c r="A136" s="2856">
        <v>64</v>
      </c>
      <c r="B136" s="3519"/>
      <c r="C136" s="2856" t="s">
        <v>2767</v>
      </c>
      <c r="D136" s="2830" t="s">
        <v>2768</v>
      </c>
      <c r="E136" s="2856">
        <v>0.1</v>
      </c>
      <c r="F136" s="2856">
        <v>15</v>
      </c>
    </row>
    <row r="137" spans="1:6" ht="13.5">
      <c r="A137" s="2856">
        <v>65</v>
      </c>
      <c r="B137" s="2856" t="s">
        <v>2769</v>
      </c>
      <c r="C137" s="2856" t="s">
        <v>2770</v>
      </c>
      <c r="D137" s="2830" t="s">
        <v>2771</v>
      </c>
      <c r="E137" s="2856">
        <v>0.1</v>
      </c>
      <c r="F137" s="2856">
        <v>15</v>
      </c>
    </row>
    <row r="138" spans="1:6" ht="13.5">
      <c r="A138" s="2856"/>
      <c r="B138" s="2856"/>
      <c r="C138" s="2856"/>
      <c r="D138" s="2856"/>
      <c r="E138" s="2856" t="s">
        <v>2772</v>
      </c>
      <c r="F138" s="2856" t="s">
        <v>2772</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2773</v>
      </c>
      <c r="B1" s="2864"/>
      <c r="C1" s="2864"/>
      <c r="D1" s="2864"/>
      <c r="E1" s="2864"/>
      <c r="F1" s="2864"/>
      <c r="G1" s="2864"/>
      <c r="H1" s="2864"/>
      <c r="I1" s="2864"/>
      <c r="J1" s="2864"/>
      <c r="K1" s="2864"/>
      <c r="L1" s="2864"/>
      <c r="M1" s="2864"/>
      <c r="N1" s="707"/>
    </row>
    <row r="2" spans="1:20">
      <c r="A2" s="2865" t="s">
        <v>2774</v>
      </c>
      <c r="B2" s="2866" t="s">
        <v>2570</v>
      </c>
      <c r="C2" s="2866" t="s">
        <v>2571</v>
      </c>
      <c r="D2" s="2866" t="s">
        <v>2572</v>
      </c>
      <c r="E2" s="2866" t="s">
        <v>2573</v>
      </c>
      <c r="F2" s="2866" t="s">
        <v>2574</v>
      </c>
      <c r="G2" s="2866" t="s">
        <v>2575</v>
      </c>
      <c r="H2" s="2867" t="s">
        <v>2576</v>
      </c>
      <c r="I2" s="2867" t="s">
        <v>2577</v>
      </c>
      <c r="J2" s="2868" t="s">
        <v>2578</v>
      </c>
      <c r="K2" s="2868" t="s">
        <v>2579</v>
      </c>
      <c r="L2" s="2868" t="s">
        <v>2580</v>
      </c>
      <c r="M2" s="2869" t="s">
        <v>2581</v>
      </c>
      <c r="Q2" s="2879" t="s">
        <v>2779</v>
      </c>
      <c r="R2" s="2879" t="s">
        <v>2780</v>
      </c>
      <c r="S2" s="2879" t="s">
        <v>2781</v>
      </c>
      <c r="T2" s="2879" t="s">
        <v>2782</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2775</v>
      </c>
      <c r="B93" s="2864"/>
      <c r="C93" s="2864"/>
      <c r="D93" s="2864"/>
      <c r="E93" s="2864"/>
      <c r="F93" s="2864"/>
      <c r="G93" s="2864"/>
      <c r="H93" s="2864"/>
      <c r="I93" s="2864"/>
      <c r="J93" s="2864"/>
      <c r="K93" s="2864"/>
      <c r="L93" s="2864"/>
      <c r="M93" s="2864"/>
    </row>
    <row r="94" spans="1:20">
      <c r="A94" s="2865" t="s">
        <v>2774</v>
      </c>
      <c r="B94" s="2866" t="s">
        <v>2570</v>
      </c>
      <c r="C94" s="2866" t="s">
        <v>2571</v>
      </c>
      <c r="D94" s="2866" t="s">
        <v>2572</v>
      </c>
      <c r="E94" s="2866" t="s">
        <v>2573</v>
      </c>
      <c r="F94" s="2866" t="s">
        <v>2574</v>
      </c>
      <c r="G94" s="2866" t="s">
        <v>2575</v>
      </c>
      <c r="H94" s="2867" t="s">
        <v>2576</v>
      </c>
      <c r="I94" s="2867" t="s">
        <v>2577</v>
      </c>
      <c r="J94" s="2868" t="s">
        <v>2578</v>
      </c>
      <c r="K94" s="2868" t="s">
        <v>2579</v>
      </c>
      <c r="L94" s="2868" t="s">
        <v>2580</v>
      </c>
      <c r="M94" s="2869" t="s">
        <v>2581</v>
      </c>
      <c r="N94">
        <f>SUMPRODUCT((A95:A184=ROUNDDOWN(基准地价修正!G3,1))*(B94:M94=基准地价修正!G2)*(B95:M184))</f>
        <v>1.2302</v>
      </c>
      <c r="Q94" s="2879" t="s">
        <v>2779</v>
      </c>
      <c r="R94" s="2879" t="s">
        <v>2780</v>
      </c>
      <c r="S94" s="2879" t="s">
        <v>2781</v>
      </c>
      <c r="T94" s="2879" t="s">
        <v>2782</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2776</v>
      </c>
      <c r="B185" s="2864"/>
      <c r="C185" s="2864"/>
      <c r="D185" s="2864"/>
      <c r="E185" s="2864"/>
      <c r="F185" s="2864"/>
      <c r="G185" s="2864"/>
      <c r="H185" s="2864"/>
      <c r="I185" s="2864"/>
      <c r="J185" s="2864"/>
      <c r="K185" s="2864"/>
      <c r="L185" s="2864"/>
      <c r="M185" s="2864"/>
    </row>
    <row r="186" spans="1:20">
      <c r="A186" s="2865" t="s">
        <v>2774</v>
      </c>
      <c r="B186" s="2866" t="s">
        <v>2570</v>
      </c>
      <c r="C186" s="2866" t="s">
        <v>2571</v>
      </c>
      <c r="D186" s="2866" t="s">
        <v>2572</v>
      </c>
      <c r="E186" s="2866" t="s">
        <v>2573</v>
      </c>
      <c r="F186" s="2866" t="s">
        <v>2574</v>
      </c>
      <c r="G186" s="2866" t="s">
        <v>2575</v>
      </c>
      <c r="H186" s="2867" t="s">
        <v>2576</v>
      </c>
      <c r="I186" s="2867" t="s">
        <v>2577</v>
      </c>
      <c r="J186" s="2868" t="s">
        <v>2578</v>
      </c>
      <c r="K186" s="2868" t="s">
        <v>2579</v>
      </c>
      <c r="L186" s="2868" t="s">
        <v>2580</v>
      </c>
      <c r="M186" s="2869" t="s">
        <v>2581</v>
      </c>
      <c r="Q186" s="2879" t="s">
        <v>2779</v>
      </c>
      <c r="R186" s="2879" t="s">
        <v>2780</v>
      </c>
      <c r="S186" s="2879" t="s">
        <v>2781</v>
      </c>
      <c r="T186" s="2879" t="s">
        <v>2782</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2777</v>
      </c>
      <c r="B277" s="2864"/>
      <c r="C277" s="2864"/>
      <c r="D277" s="2864"/>
      <c r="E277" s="2864"/>
      <c r="F277" s="2864"/>
      <c r="G277" s="2864"/>
      <c r="H277" s="2864"/>
      <c r="I277" s="2864"/>
      <c r="J277" s="2864"/>
      <c r="K277" s="2864"/>
      <c r="L277" s="2864"/>
      <c r="M277" s="2864"/>
    </row>
    <row r="278" spans="1:21">
      <c r="A278" s="2865" t="s">
        <v>2774</v>
      </c>
      <c r="B278" s="2866" t="s">
        <v>2570</v>
      </c>
      <c r="C278" s="2866" t="s">
        <v>2571</v>
      </c>
      <c r="D278" s="2866" t="s">
        <v>2572</v>
      </c>
      <c r="E278" s="2866" t="s">
        <v>2573</v>
      </c>
      <c r="F278" s="2866" t="s">
        <v>2574</v>
      </c>
      <c r="G278" s="2866" t="s">
        <v>2575</v>
      </c>
      <c r="H278" s="2867" t="s">
        <v>2576</v>
      </c>
      <c r="I278" s="2867" t="s">
        <v>2577</v>
      </c>
      <c r="J278" s="2868" t="s">
        <v>2578</v>
      </c>
      <c r="K278" s="2868" t="s">
        <v>2579</v>
      </c>
      <c r="L278" s="2868" t="s">
        <v>2580</v>
      </c>
      <c r="M278" s="2869" t="s">
        <v>2581</v>
      </c>
      <c r="Q278" s="2879" t="s">
        <v>2779</v>
      </c>
      <c r="R278" s="2879" t="s">
        <v>2780</v>
      </c>
      <c r="S278" s="2879" t="s">
        <v>2783</v>
      </c>
      <c r="T278" s="2879" t="s">
        <v>2784</v>
      </c>
      <c r="U278" s="2879" t="s">
        <v>2782</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2778</v>
      </c>
      <c r="B369" s="2877"/>
      <c r="C369" s="2877"/>
      <c r="D369" s="2877"/>
      <c r="E369" s="2877"/>
      <c r="F369" s="2877"/>
      <c r="G369" s="2877"/>
      <c r="H369" s="2877"/>
      <c r="I369" s="2877"/>
      <c r="J369" s="2877"/>
      <c r="K369" s="2877"/>
      <c r="L369" s="2877"/>
      <c r="M369" s="2877"/>
    </row>
    <row r="370" spans="1:20">
      <c r="A370" s="2865" t="s">
        <v>2774</v>
      </c>
      <c r="B370" s="2866" t="s">
        <v>2570</v>
      </c>
      <c r="C370" s="2866" t="s">
        <v>2571</v>
      </c>
      <c r="D370" s="2866" t="s">
        <v>2572</v>
      </c>
      <c r="E370" s="2866" t="s">
        <v>2573</v>
      </c>
      <c r="F370" s="2866" t="s">
        <v>2574</v>
      </c>
      <c r="G370" s="2866" t="s">
        <v>2575</v>
      </c>
      <c r="H370" s="2867" t="s">
        <v>2576</v>
      </c>
      <c r="I370" s="2867" t="s">
        <v>2577</v>
      </c>
      <c r="J370" s="2868" t="s">
        <v>2578</v>
      </c>
      <c r="K370" s="2868" t="s">
        <v>2579</v>
      </c>
      <c r="L370" s="2868" t="s">
        <v>2580</v>
      </c>
      <c r="M370" s="2869" t="s">
        <v>2581</v>
      </c>
      <c r="N370">
        <f>SUMPRODUCT((A371:A460=ROUNDDOWN(基准地价修正!G3,1))*(B370:M370=基准地价修正!G2)*(B371:M460))</f>
        <v>1.1198999999999999</v>
      </c>
      <c r="Q370" s="2879" t="s">
        <v>2779</v>
      </c>
      <c r="R370" s="2879" t="s">
        <v>2780</v>
      </c>
      <c r="S370" s="2879" t="s">
        <v>2781</v>
      </c>
      <c r="T370" s="2879" t="s">
        <v>2782</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45940</v>
      </c>
      <c r="C2" s="2" t="s">
        <v>106</v>
      </c>
      <c r="D2" s="191"/>
      <c r="E2" s="191"/>
      <c r="F2" s="191"/>
      <c r="G2" s="191"/>
    </row>
    <row r="3" spans="1:7" s="192" customFormat="1" ht="18" customHeight="1" thickBot="1">
      <c r="A3" s="195" t="s">
        <v>58</v>
      </c>
      <c r="B3" s="196">
        <f ca="1">ROUND(B2*10000/'数据-汇总表'!E3,0)</f>
        <v>6858</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1340</v>
      </c>
      <c r="D10" s="795">
        <f>'数据-汇总表'!E6</f>
        <v>66988.94</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1340</v>
      </c>
      <c r="D19" s="204">
        <f>'数据-汇总表'!E3</f>
        <v>66988.94</v>
      </c>
      <c r="E19" s="203">
        <f>'数据-取费表'!B31</f>
        <v>200</v>
      </c>
      <c r="F19" s="223"/>
      <c r="G19" s="1" t="s">
        <v>436</v>
      </c>
    </row>
    <row r="20" spans="1:7" s="206" customFormat="1" ht="13.5" customHeight="1">
      <c r="A20" s="731" t="s">
        <v>419</v>
      </c>
      <c r="B20" s="202" t="s">
        <v>77</v>
      </c>
      <c r="C20" s="224">
        <f>ROUND((C5+C19)*F20,0)</f>
        <v>439</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1396</v>
      </c>
      <c r="D22" s="227">
        <f ca="1">C26</f>
        <v>5.9999999999999995E-4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84</v>
      </c>
      <c r="D24" s="230"/>
      <c r="E24" s="230"/>
      <c r="F24" s="231"/>
      <c r="G24" s="232" t="s">
        <v>82</v>
      </c>
    </row>
    <row r="25" spans="1:7" s="206" customFormat="1" ht="24">
      <c r="A25" s="734" t="s">
        <v>348</v>
      </c>
      <c r="B25" s="207" t="s">
        <v>420</v>
      </c>
      <c r="C25" s="1042">
        <f ca="1">ROUND(IF('数据-取费表'!B22&lt;=1,C20*F22*'数据-取费表'!B23/2,C20*(POWER((1+F22),'数据-取费表'!B23/2)-1)),0)</f>
        <v>14</v>
      </c>
      <c r="D25" s="230"/>
      <c r="E25" s="233"/>
      <c r="F25" s="231"/>
      <c r="G25" s="234" t="s">
        <v>83</v>
      </c>
    </row>
    <row r="26" spans="1:7" s="206" customFormat="1">
      <c r="A26" s="734" t="s">
        <v>350</v>
      </c>
      <c r="B26" s="207" t="s">
        <v>422</v>
      </c>
      <c r="C26" s="230">
        <f ca="1">ROUND(IF('数据-取费表'!B22&lt;=1,F21*F22*'数据-取费表'!B23/2,F21*(POWER((1+F22),'数据-取费表'!B23/2)-1)),4)</f>
        <v>5.9999999999999995E-4</v>
      </c>
      <c r="D26" s="230"/>
      <c r="E26" s="233"/>
      <c r="F26" s="231"/>
      <c r="G26" s="235"/>
    </row>
    <row r="27" spans="1:7" s="206" customFormat="1" ht="24.75">
      <c r="A27" s="731" t="s">
        <v>342</v>
      </c>
      <c r="B27" s="236" t="s">
        <v>85</v>
      </c>
      <c r="C27" s="237">
        <f>C28</f>
        <v>2239</v>
      </c>
      <c r="D27" s="227">
        <f>C29</f>
        <v>2E-3</v>
      </c>
      <c r="E27" s="228" t="s">
        <v>99</v>
      </c>
      <c r="F27" s="238">
        <f>'数据-取费表'!Q16</f>
        <v>0.1</v>
      </c>
      <c r="G27" s="239" t="s">
        <v>431</v>
      </c>
    </row>
    <row r="28" spans="1:7" s="206" customFormat="1" ht="13.5" customHeight="1">
      <c r="A28" s="734" t="s">
        <v>349</v>
      </c>
      <c r="B28" s="240" t="s">
        <v>424</v>
      </c>
      <c r="C28" s="241">
        <f>ROUND((C5+C19+C20)*F27*'数据-取费表'!B21/'数据-取费表'!B20,0)</f>
        <v>2239</v>
      </c>
      <c r="D28" s="227"/>
      <c r="E28" s="228"/>
      <c r="F28" s="238"/>
      <c r="G28" s="239"/>
    </row>
    <row r="29" spans="1:7" s="206" customFormat="1" ht="13.5" customHeight="1">
      <c r="A29" s="734" t="s">
        <v>347</v>
      </c>
      <c r="B29" s="240" t="s">
        <v>425</v>
      </c>
      <c r="C29" s="230">
        <f>ROUND(C21*F27*'数据-取费表'!B21/'数据-取费表'!B20,4)</f>
        <v>2E-3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28133</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20693</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18087</v>
      </c>
      <c r="D34" s="209"/>
      <c r="E34" s="212"/>
      <c r="F34" s="249">
        <f>IF('数据-取费表'!B24=0,1,'数据-取费表'!N16)</f>
        <v>1</v>
      </c>
      <c r="G34" s="211" t="s">
        <v>89</v>
      </c>
    </row>
    <row r="35" spans="1:7" ht="13.5" customHeight="1">
      <c r="A35" s="734" t="s">
        <v>351</v>
      </c>
      <c r="B35" s="207" t="s">
        <v>33</v>
      </c>
      <c r="C35" s="212">
        <f>ROUND(C34*F35,0)</f>
        <v>904</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1340</v>
      </c>
      <c r="D37" s="209">
        <f>'数据-汇总表'!E3</f>
        <v>66988.94</v>
      </c>
      <c r="E37" s="241">
        <f>'数据-取费表'!B35</f>
        <v>200</v>
      </c>
      <c r="F37" s="251"/>
      <c r="G37" s="253" t="s">
        <v>92</v>
      </c>
    </row>
    <row r="38" spans="1:7" ht="13.5" customHeight="1">
      <c r="A38" s="734" t="s">
        <v>354</v>
      </c>
      <c r="B38" s="207" t="s">
        <v>36</v>
      </c>
      <c r="C38" s="212">
        <f>ROUND(C34*F38,0)</f>
        <v>362</v>
      </c>
      <c r="D38" s="212"/>
      <c r="E38" s="212"/>
      <c r="F38" s="251">
        <f>'数据-取费表'!B36</f>
        <v>0.02</v>
      </c>
      <c r="G38" s="211" t="s">
        <v>90</v>
      </c>
    </row>
    <row r="39" spans="1:7" s="206" customFormat="1" ht="13.5" customHeight="1">
      <c r="A39" s="731" t="s">
        <v>338</v>
      </c>
      <c r="B39" s="202" t="s">
        <v>77</v>
      </c>
      <c r="C39" s="224">
        <f>ROUND(C33*F20,0)</f>
        <v>414</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654</v>
      </c>
      <c r="D41" s="227">
        <f ca="1">C44</f>
        <v>5.9999999999999995E-4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641</v>
      </c>
      <c r="D42" s="230"/>
      <c r="E42" s="230"/>
      <c r="F42" s="231"/>
      <c r="G42" s="3393" t="s">
        <v>94</v>
      </c>
    </row>
    <row r="43" spans="1:7" ht="13.5" customHeight="1">
      <c r="A43" s="734" t="s">
        <v>347</v>
      </c>
      <c r="B43" s="207" t="s">
        <v>426</v>
      </c>
      <c r="C43" s="230">
        <f ca="1">ROUND(IF('数据-取费表'!B22&lt;=1,C39*F22*'数据-取费表'!B21/2,C39*(POWER((1+F22),'数据-取费表'!B21/2)-1)),0)</f>
        <v>13</v>
      </c>
      <c r="D43" s="230"/>
      <c r="E43" s="230"/>
      <c r="F43" s="231"/>
      <c r="G43" s="3394"/>
    </row>
    <row r="44" spans="1:7" ht="13.5" customHeight="1">
      <c r="A44" s="734" t="s">
        <v>348</v>
      </c>
      <c r="B44" s="207" t="s">
        <v>428</v>
      </c>
      <c r="C44" s="230">
        <f ca="1">ROUND(IF('数据-取费表'!B22&lt;=1,C40*F22*'数据-取费表'!B21/2,C40*(POWER((1+F22),'数据-取费表'!B21/2)-1)),4)</f>
        <v>5.9999999999999995E-4</v>
      </c>
      <c r="D44" s="230"/>
      <c r="E44" s="230"/>
      <c r="F44" s="231"/>
      <c r="G44" s="3395"/>
    </row>
    <row r="45" spans="1:7" s="206" customFormat="1" ht="13.5" customHeight="1">
      <c r="A45" s="731" t="s">
        <v>341</v>
      </c>
      <c r="B45" s="236" t="s">
        <v>85</v>
      </c>
      <c r="C45" s="237">
        <f>C46</f>
        <v>2111</v>
      </c>
      <c r="D45" s="227">
        <f>C47</f>
        <v>2E-3</v>
      </c>
      <c r="E45" s="228" t="s">
        <v>102</v>
      </c>
      <c r="F45" s="238"/>
      <c r="G45" s="239" t="s">
        <v>434</v>
      </c>
    </row>
    <row r="46" spans="1:7" s="206" customFormat="1" ht="13.5" customHeight="1">
      <c r="A46" s="734" t="s">
        <v>349</v>
      </c>
      <c r="B46" s="240" t="s">
        <v>427</v>
      </c>
      <c r="C46" s="241">
        <f>ROUND((C33+C39)*F27,0)</f>
        <v>2111</v>
      </c>
      <c r="D46" s="255"/>
      <c r="E46" s="228"/>
      <c r="F46" s="238"/>
      <c r="G46" s="239"/>
    </row>
    <row r="47" spans="1:7" s="206" customFormat="1" ht="13.5" customHeight="1">
      <c r="A47" s="734" t="s">
        <v>347</v>
      </c>
      <c r="B47" s="240" t="s">
        <v>429</v>
      </c>
      <c r="C47" s="230">
        <f>ROUND(C40*F27,4)</f>
        <v>2E-3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25807</v>
      </c>
      <c r="D49" s="224"/>
      <c r="E49" s="224"/>
      <c r="F49" s="256"/>
      <c r="G49" s="226" t="s">
        <v>435</v>
      </c>
    </row>
    <row r="50" spans="1:7" s="250" customFormat="1" ht="24">
      <c r="A50" s="731" t="s">
        <v>344</v>
      </c>
      <c r="B50" s="202" t="s">
        <v>97</v>
      </c>
      <c r="C50" s="224"/>
      <c r="D50" s="224"/>
      <c r="E50" s="224"/>
      <c r="F50" s="256">
        <f>IF('数据-取费表'!B24=0,'数据-取费表'!N16,1)</f>
        <v>0.69</v>
      </c>
      <c r="G50" s="239" t="s">
        <v>98</v>
      </c>
    </row>
    <row r="51" spans="1:7" ht="16.5" customHeight="1">
      <c r="A51" s="731" t="s">
        <v>345</v>
      </c>
      <c r="B51" s="202" t="s">
        <v>105</v>
      </c>
      <c r="C51" s="224">
        <f ca="1">ROUND(C49*F50,0)</f>
        <v>17807</v>
      </c>
      <c r="D51" s="224"/>
      <c r="E51" s="224"/>
      <c r="F51" s="256"/>
      <c r="G51" s="226" t="s">
        <v>37</v>
      </c>
    </row>
    <row r="52" spans="1:7" s="200" customFormat="1" ht="16.5" thickBot="1">
      <c r="A52" s="257" t="s">
        <v>38</v>
      </c>
      <c r="B52" s="258"/>
      <c r="C52" s="259">
        <f ca="1">C31+C51</f>
        <v>45940</v>
      </c>
      <c r="D52" s="258"/>
      <c r="E52" s="258"/>
      <c r="F52" s="258"/>
      <c r="G52" s="260"/>
    </row>
    <row r="55" spans="1:7" ht="15">
      <c r="B55" s="262" t="s">
        <v>39</v>
      </c>
      <c r="C55" s="263"/>
    </row>
    <row r="56" spans="1:7">
      <c r="B56" s="265" t="s">
        <v>40</v>
      </c>
      <c r="C56" s="266">
        <f ca="1">ROUND(C51/C52,3)</f>
        <v>0.38800000000000001</v>
      </c>
    </row>
    <row r="57" spans="1:7">
      <c r="B57" s="265" t="s">
        <v>41</v>
      </c>
      <c r="C57" s="267">
        <f ca="1">1-C56</f>
        <v>0.61199999999999999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533" t="s">
        <v>2814</v>
      </c>
      <c r="B1" s="3533"/>
      <c r="C1" s="3533"/>
      <c r="D1" s="3533"/>
      <c r="E1" s="3533"/>
      <c r="F1" s="3533"/>
      <c r="G1" s="3534"/>
      <c r="I1" s="2937" t="s">
        <v>2815</v>
      </c>
      <c r="J1" s="2938" t="s">
        <v>2816</v>
      </c>
      <c r="K1" s="2938" t="s">
        <v>2817</v>
      </c>
      <c r="L1" s="2938" t="s">
        <v>2818</v>
      </c>
      <c r="M1" s="2938" t="s">
        <v>2819</v>
      </c>
      <c r="N1" s="2938" t="s">
        <v>2820</v>
      </c>
      <c r="O1" s="2938" t="s">
        <v>2821</v>
      </c>
      <c r="P1" s="2938" t="s">
        <v>2822</v>
      </c>
      <c r="Q1" s="2938" t="s">
        <v>2823</v>
      </c>
      <c r="R1" s="2938" t="s">
        <v>2824</v>
      </c>
      <c r="S1" s="2938" t="s">
        <v>2825</v>
      </c>
      <c r="T1" s="2939" t="s">
        <v>2826</v>
      </c>
    </row>
    <row r="2" spans="1:20" ht="12" thickBot="1">
      <c r="A2" s="2940" t="s">
        <v>2827</v>
      </c>
      <c r="B2" s="2940"/>
      <c r="C2" s="2940"/>
      <c r="D2" s="2940"/>
      <c r="E2" s="2940"/>
      <c r="F2" s="2940"/>
      <c r="G2" s="2941" t="s">
        <v>2828</v>
      </c>
      <c r="I2" s="2942" t="s">
        <v>2829</v>
      </c>
      <c r="J2" s="2942" t="s">
        <v>2830</v>
      </c>
      <c r="K2" s="2942" t="s">
        <v>2831</v>
      </c>
      <c r="L2" s="2942" t="s">
        <v>2832</v>
      </c>
      <c r="M2" s="2942" t="s">
        <v>2833</v>
      </c>
      <c r="N2" s="2942" t="s">
        <v>2834</v>
      </c>
      <c r="O2" s="2942" t="s">
        <v>2835</v>
      </c>
      <c r="P2" s="2942" t="s">
        <v>2836</v>
      </c>
      <c r="Q2" s="2942" t="s">
        <v>2837</v>
      </c>
      <c r="R2" s="2942" t="s">
        <v>2838</v>
      </c>
      <c r="S2" s="2942" t="s">
        <v>2839</v>
      </c>
      <c r="T2" s="2942" t="s">
        <v>2840</v>
      </c>
    </row>
    <row r="3" spans="1:20" s="2948" customFormat="1">
      <c r="A3" s="3531" t="s">
        <v>2841</v>
      </c>
      <c r="B3" s="2943"/>
      <c r="C3" s="2944" t="s">
        <v>2786</v>
      </c>
      <c r="D3" s="2944" t="s">
        <v>2842</v>
      </c>
      <c r="E3" s="2944" t="s">
        <v>2788</v>
      </c>
      <c r="F3" s="2944" t="s">
        <v>2843</v>
      </c>
      <c r="G3" s="2944" t="s">
        <v>2606</v>
      </c>
      <c r="H3" s="2945"/>
      <c r="I3" s="2946" t="s">
        <v>2844</v>
      </c>
      <c r="J3" s="2947" t="s">
        <v>128</v>
      </c>
      <c r="K3" s="2947" t="s">
        <v>129</v>
      </c>
      <c r="L3" s="2946" t="s">
        <v>130</v>
      </c>
      <c r="M3" s="2946" t="s">
        <v>131</v>
      </c>
      <c r="N3" s="2946" t="s">
        <v>132</v>
      </c>
      <c r="O3" s="2946" t="s">
        <v>133</v>
      </c>
      <c r="P3" s="2946" t="s">
        <v>134</v>
      </c>
      <c r="Q3" s="2946" t="s">
        <v>135</v>
      </c>
      <c r="R3" s="2946" t="s">
        <v>136</v>
      </c>
      <c r="S3" s="2946" t="s">
        <v>2845</v>
      </c>
      <c r="T3" s="2946" t="s">
        <v>2846</v>
      </c>
    </row>
    <row r="4" spans="1:20" s="2948" customFormat="1" ht="12" thickBot="1">
      <c r="A4" s="3532"/>
      <c r="B4" s="2949" t="s">
        <v>2847</v>
      </c>
      <c r="C4" s="2949" t="s">
        <v>2848</v>
      </c>
      <c r="D4" s="2949" t="s">
        <v>2848</v>
      </c>
      <c r="E4" s="2949" t="s">
        <v>2848</v>
      </c>
      <c r="F4" s="2950" t="s">
        <v>2848</v>
      </c>
      <c r="G4" s="2950" t="s">
        <v>2848</v>
      </c>
      <c r="H4" s="2945"/>
      <c r="I4" s="2947" t="s">
        <v>137</v>
      </c>
      <c r="J4" s="2947" t="s">
        <v>111</v>
      </c>
      <c r="K4" s="2947" t="s">
        <v>138</v>
      </c>
      <c r="L4" s="2946" t="s">
        <v>139</v>
      </c>
      <c r="M4" s="2946" t="s">
        <v>140</v>
      </c>
      <c r="N4" s="2946" t="s">
        <v>141</v>
      </c>
      <c r="O4" s="2946" t="s">
        <v>142</v>
      </c>
      <c r="P4" s="2946" t="s">
        <v>143</v>
      </c>
      <c r="Q4" s="2946" t="s">
        <v>2849</v>
      </c>
      <c r="R4" s="2946" t="s">
        <v>2850</v>
      </c>
      <c r="S4" s="2946" t="s">
        <v>2851</v>
      </c>
      <c r="T4" s="2946" t="s">
        <v>2852</v>
      </c>
    </row>
    <row r="5" spans="1:20">
      <c r="A5" s="2951" t="s">
        <v>2815</v>
      </c>
      <c r="B5" s="2942" t="s">
        <v>2829</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2853</v>
      </c>
      <c r="R5" s="2946" t="s">
        <v>2854</v>
      </c>
      <c r="S5" s="2946" t="s">
        <v>153</v>
      </c>
      <c r="T5" s="2946" t="s">
        <v>2855</v>
      </c>
    </row>
    <row r="6" spans="1:20" ht="12" thickBot="1">
      <c r="A6" s="2946" t="s">
        <v>144</v>
      </c>
      <c r="B6" s="2946" t="s">
        <v>2844</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2856</v>
      </c>
      <c r="Q6" s="2946" t="s">
        <v>2857</v>
      </c>
      <c r="R6" s="2946" t="s">
        <v>161</v>
      </c>
      <c r="S6" s="2946" t="s">
        <v>2858</v>
      </c>
      <c r="T6" s="2946" t="s">
        <v>2859</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2860</v>
      </c>
      <c r="Q7" s="2946" t="s">
        <v>2861</v>
      </c>
      <c r="R7" s="2946" t="s">
        <v>2862</v>
      </c>
      <c r="S7" s="2946" t="s">
        <v>2863</v>
      </c>
      <c r="T7" s="2946" t="s">
        <v>2864</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2865</v>
      </c>
      <c r="Q8" s="2946" t="s">
        <v>174</v>
      </c>
      <c r="R8" s="2946" t="s">
        <v>2866</v>
      </c>
      <c r="S8" s="2946" t="s">
        <v>2867</v>
      </c>
      <c r="T8" s="2953" t="s">
        <v>2868</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2869</v>
      </c>
      <c r="Q9" s="2946" t="s">
        <v>182</v>
      </c>
      <c r="R9" s="2946" t="s">
        <v>183</v>
      </c>
      <c r="S9" s="2946" t="s">
        <v>200</v>
      </c>
    </row>
    <row r="10" spans="1:20">
      <c r="A10" s="2951" t="s">
        <v>184</v>
      </c>
      <c r="B10" s="2942" t="s">
        <v>2830</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2870</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2871</v>
      </c>
      <c r="P11" s="2946" t="s">
        <v>191</v>
      </c>
      <c r="Q11" s="2946" t="s">
        <v>199</v>
      </c>
      <c r="R11" s="2946" t="s">
        <v>2872</v>
      </c>
      <c r="S11" s="2946" t="s">
        <v>2873</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2874</v>
      </c>
      <c r="P12" s="2946" t="s">
        <v>2875</v>
      </c>
      <c r="Q12" s="2946" t="s">
        <v>2876</v>
      </c>
      <c r="R12" s="2946" t="s">
        <v>2877</v>
      </c>
      <c r="S12" s="2946" t="s">
        <v>2878</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2879</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2880</v>
      </c>
      <c r="K14" s="2947" t="s">
        <v>215</v>
      </c>
      <c r="L14" s="2946" t="s">
        <v>216</v>
      </c>
      <c r="M14" s="2946" t="s">
        <v>217</v>
      </c>
      <c r="N14" s="2946" t="s">
        <v>218</v>
      </c>
      <c r="O14" s="2946" t="s">
        <v>240</v>
      </c>
      <c r="P14" s="2946" t="s">
        <v>213</v>
      </c>
      <c r="Q14" s="2946" t="s">
        <v>2881</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2882</v>
      </c>
      <c r="P15" s="2946" t="s">
        <v>2883</v>
      </c>
      <c r="Q15" s="2946" t="s">
        <v>242</v>
      </c>
      <c r="R15" s="2946" t="s">
        <v>2884</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2885</v>
      </c>
      <c r="P16" s="2946" t="s">
        <v>227</v>
      </c>
      <c r="Q16" s="2946" t="s">
        <v>250</v>
      </c>
      <c r="R16" s="2946" t="s">
        <v>207</v>
      </c>
      <c r="S16" s="2946" t="s">
        <v>2886</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2887</v>
      </c>
      <c r="P17" s="2946" t="s">
        <v>2888</v>
      </c>
      <c r="Q17" s="2946" t="s">
        <v>256</v>
      </c>
      <c r="R17" s="2946" t="s">
        <v>2889</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2890</v>
      </c>
      <c r="P18" s="2946" t="s">
        <v>241</v>
      </c>
      <c r="Q18" s="2946" t="s">
        <v>2891</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2892</v>
      </c>
      <c r="P19" s="2946" t="s">
        <v>249</v>
      </c>
      <c r="Q19" s="2946" t="s">
        <v>2893</v>
      </c>
      <c r="R19" s="2946" t="s">
        <v>265</v>
      </c>
      <c r="S19" s="2946" t="s">
        <v>2894</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2895</v>
      </c>
      <c r="P20" s="2946" t="s">
        <v>2896</v>
      </c>
      <c r="Q20" s="2946" t="s">
        <v>290</v>
      </c>
      <c r="R20" s="2946" t="s">
        <v>2897</v>
      </c>
      <c r="S20" s="2946" t="s">
        <v>277</v>
      </c>
    </row>
    <row r="21" spans="1:19" ht="14.25" customHeight="1" thickBot="1">
      <c r="A21" s="2946" t="s">
        <v>184</v>
      </c>
      <c r="B21" s="2947" t="s">
        <v>208</v>
      </c>
      <c r="C21" s="2946">
        <v>32370</v>
      </c>
      <c r="D21" s="2946">
        <v>26730</v>
      </c>
      <c r="E21" s="2946">
        <v>26640</v>
      </c>
      <c r="F21" s="2946"/>
      <c r="G21" s="2946">
        <v>19440</v>
      </c>
      <c r="J21" s="2953" t="s">
        <v>2898</v>
      </c>
      <c r="K21" s="2947" t="s">
        <v>267</v>
      </c>
      <c r="L21" s="2946" t="s">
        <v>268</v>
      </c>
      <c r="M21" s="2946" t="s">
        <v>269</v>
      </c>
      <c r="N21" s="2946" t="s">
        <v>270</v>
      </c>
      <c r="O21" s="2946" t="s">
        <v>264</v>
      </c>
      <c r="P21" s="2946" t="s">
        <v>283</v>
      </c>
      <c r="Q21" s="2946" t="s">
        <v>293</v>
      </c>
      <c r="R21" s="2946" t="s">
        <v>2899</v>
      </c>
      <c r="S21" s="2953" t="s">
        <v>2900</v>
      </c>
    </row>
    <row r="22" spans="1:19" ht="14.25" customHeight="1">
      <c r="A22" s="2946" t="s">
        <v>184</v>
      </c>
      <c r="B22" s="2947" t="s">
        <v>2880</v>
      </c>
      <c r="C22" s="2946">
        <v>29830</v>
      </c>
      <c r="D22" s="2946">
        <v>27600</v>
      </c>
      <c r="E22" s="2946">
        <v>28150</v>
      </c>
      <c r="F22" s="2946"/>
      <c r="G22" s="2946">
        <v>20080</v>
      </c>
      <c r="K22" s="2947" t="s">
        <v>2901</v>
      </c>
      <c r="L22" s="2946" t="s">
        <v>272</v>
      </c>
      <c r="M22" s="2946" t="s">
        <v>273</v>
      </c>
      <c r="N22" s="2946" t="s">
        <v>274</v>
      </c>
      <c r="O22" s="2946" t="s">
        <v>2902</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2903</v>
      </c>
      <c r="L23" s="2946" t="s">
        <v>278</v>
      </c>
      <c r="M23" s="2946" t="s">
        <v>279</v>
      </c>
      <c r="N23" s="2946" t="s">
        <v>2904</v>
      </c>
      <c r="O23" s="2946" t="s">
        <v>2905</v>
      </c>
      <c r="P23" s="2946" t="s">
        <v>289</v>
      </c>
      <c r="Q23" s="2946" t="s">
        <v>298</v>
      </c>
      <c r="R23" s="2946" t="s">
        <v>2906</v>
      </c>
    </row>
    <row r="24" spans="1:19" ht="14.25" customHeight="1">
      <c r="A24" s="2946" t="s">
        <v>184</v>
      </c>
      <c r="B24" s="2947" t="s">
        <v>230</v>
      </c>
      <c r="C24" s="2946">
        <v>27930</v>
      </c>
      <c r="D24" s="2946">
        <v>32260</v>
      </c>
      <c r="E24" s="2946">
        <v>32120</v>
      </c>
      <c r="F24" s="2946"/>
      <c r="G24" s="2946">
        <v>23470</v>
      </c>
      <c r="K24" s="2947" t="s">
        <v>2907</v>
      </c>
      <c r="L24" s="2946" t="s">
        <v>281</v>
      </c>
      <c r="M24" s="2946" t="s">
        <v>282</v>
      </c>
      <c r="N24" s="2946" t="s">
        <v>2908</v>
      </c>
      <c r="O24" s="2946" t="s">
        <v>285</v>
      </c>
      <c r="P24" s="2946" t="s">
        <v>2909</v>
      </c>
      <c r="Q24" s="2955" t="s">
        <v>2910</v>
      </c>
      <c r="R24" s="2946" t="s">
        <v>2911</v>
      </c>
    </row>
    <row r="25" spans="1:19" ht="14.25" customHeight="1">
      <c r="A25" s="2946" t="s">
        <v>184</v>
      </c>
      <c r="B25" s="2947" t="s">
        <v>235</v>
      </c>
      <c r="C25" s="2946">
        <v>32230</v>
      </c>
      <c r="D25" s="2946">
        <v>29640</v>
      </c>
      <c r="E25" s="2946">
        <v>29510</v>
      </c>
      <c r="F25" s="2946"/>
      <c r="G25" s="2946">
        <v>21560</v>
      </c>
      <c r="K25" s="2947" t="s">
        <v>2912</v>
      </c>
      <c r="L25" s="2946" t="s">
        <v>2913</v>
      </c>
      <c r="M25" s="2946" t="s">
        <v>284</v>
      </c>
      <c r="N25" s="2946" t="s">
        <v>292</v>
      </c>
      <c r="O25" s="2946" t="s">
        <v>288</v>
      </c>
      <c r="P25" s="2946" t="s">
        <v>275</v>
      </c>
      <c r="Q25" s="2955" t="s">
        <v>271</v>
      </c>
      <c r="R25" s="2946" t="s">
        <v>2914</v>
      </c>
    </row>
    <row r="26" spans="1:19" ht="14.25" customHeight="1" thickBot="1">
      <c r="A26" s="2946" t="s">
        <v>184</v>
      </c>
      <c r="B26" s="2947" t="s">
        <v>244</v>
      </c>
      <c r="C26" s="2946">
        <v>31690</v>
      </c>
      <c r="D26" s="2946">
        <v>27650</v>
      </c>
      <c r="E26" s="2946">
        <v>28200</v>
      </c>
      <c r="F26" s="2946"/>
      <c r="G26" s="2946">
        <v>20110</v>
      </c>
      <c r="K26" s="2952" t="s">
        <v>2915</v>
      </c>
      <c r="L26" s="2946" t="s">
        <v>2916</v>
      </c>
      <c r="M26" s="2946" t="s">
        <v>287</v>
      </c>
      <c r="N26" s="2946" t="s">
        <v>294</v>
      </c>
      <c r="O26" s="2946" t="s">
        <v>2917</v>
      </c>
      <c r="P26" s="2946" t="s">
        <v>2918</v>
      </c>
      <c r="Q26" s="2955" t="s">
        <v>276</v>
      </c>
      <c r="R26" s="2946" t="s">
        <v>2919</v>
      </c>
    </row>
    <row r="27" spans="1:19" ht="14.25" customHeight="1">
      <c r="A27" s="2946" t="s">
        <v>184</v>
      </c>
      <c r="B27" s="2947" t="s">
        <v>251</v>
      </c>
      <c r="C27" s="2946">
        <v>29610</v>
      </c>
      <c r="D27" s="2946">
        <v>27770</v>
      </c>
      <c r="E27" s="2946">
        <v>28300</v>
      </c>
      <c r="F27" s="2946"/>
      <c r="G27" s="2946">
        <v>20210</v>
      </c>
      <c r="L27" s="2946" t="s">
        <v>2920</v>
      </c>
      <c r="M27" s="2946" t="s">
        <v>291</v>
      </c>
      <c r="N27" s="2946" t="s">
        <v>297</v>
      </c>
      <c r="O27" s="2946" t="s">
        <v>2921</v>
      </c>
      <c r="P27" s="2946" t="s">
        <v>2922</v>
      </c>
      <c r="Q27" s="2946" t="s">
        <v>2923</v>
      </c>
      <c r="R27" s="2946" t="s">
        <v>2924</v>
      </c>
    </row>
    <row r="28" spans="1:19" ht="14.25" customHeight="1">
      <c r="A28" s="2946" t="s">
        <v>184</v>
      </c>
      <c r="B28" s="2947" t="s">
        <v>259</v>
      </c>
      <c r="C28" s="2946"/>
      <c r="D28" s="2946">
        <v>31520</v>
      </c>
      <c r="E28" s="2946">
        <v>31410</v>
      </c>
      <c r="F28" s="2946"/>
      <c r="G28" s="2946">
        <v>22940</v>
      </c>
      <c r="L28" s="2946" t="s">
        <v>2925</v>
      </c>
      <c r="M28" s="2946" t="s">
        <v>2926</v>
      </c>
      <c r="N28" s="2946" t="s">
        <v>2927</v>
      </c>
      <c r="O28" s="2946" t="s">
        <v>2928</v>
      </c>
      <c r="P28" s="2946" t="s">
        <v>2929</v>
      </c>
      <c r="Q28" s="2946" t="s">
        <v>2930</v>
      </c>
      <c r="R28" s="2946" t="s">
        <v>2931</v>
      </c>
    </row>
    <row r="29" spans="1:19" ht="14.25" customHeight="1" thickBot="1">
      <c r="A29" s="2954" t="s">
        <v>184</v>
      </c>
      <c r="B29" s="2956" t="s">
        <v>2898</v>
      </c>
      <c r="C29" s="2957"/>
      <c r="D29" s="2957">
        <v>29460</v>
      </c>
      <c r="E29" s="2957">
        <v>28640</v>
      </c>
      <c r="F29" s="2957"/>
      <c r="G29" s="2957">
        <v>21430</v>
      </c>
      <c r="L29" s="2946" t="s">
        <v>2932</v>
      </c>
      <c r="M29" s="2946" t="s">
        <v>2933</v>
      </c>
      <c r="N29" s="2946" t="s">
        <v>2934</v>
      </c>
      <c r="O29" s="2946" t="s">
        <v>2935</v>
      </c>
      <c r="P29" s="2946" t="s">
        <v>2936</v>
      </c>
      <c r="Q29" s="2946" t="s">
        <v>2937</v>
      </c>
      <c r="R29" s="2946" t="s">
        <v>280</v>
      </c>
    </row>
    <row r="30" spans="1:19" ht="14.25" customHeight="1">
      <c r="A30" s="2951" t="s">
        <v>296</v>
      </c>
      <c r="B30" s="2942" t="s">
        <v>2831</v>
      </c>
      <c r="C30" s="2942">
        <v>26890</v>
      </c>
      <c r="D30" s="2942">
        <v>26770</v>
      </c>
      <c r="E30" s="2942">
        <v>25700</v>
      </c>
      <c r="F30" s="2942">
        <v>8180</v>
      </c>
      <c r="G30" s="2958">
        <v>18740</v>
      </c>
      <c r="L30" s="2946" t="s">
        <v>2938</v>
      </c>
      <c r="M30" s="2946" t="s">
        <v>2939</v>
      </c>
      <c r="N30" s="2946" t="s">
        <v>2940</v>
      </c>
      <c r="O30" s="2946" t="s">
        <v>2941</v>
      </c>
      <c r="P30" s="2946" t="s">
        <v>2942</v>
      </c>
      <c r="Q30" s="2946" t="s">
        <v>2943</v>
      </c>
      <c r="R30" s="2946" t="s">
        <v>2944</v>
      </c>
    </row>
    <row r="31" spans="1:19" ht="14.25" customHeight="1">
      <c r="A31" s="2946" t="s">
        <v>296</v>
      </c>
      <c r="B31" s="2947" t="s">
        <v>129</v>
      </c>
      <c r="C31" s="2946">
        <v>24550</v>
      </c>
      <c r="D31" s="2946">
        <v>23990</v>
      </c>
      <c r="E31" s="2946">
        <v>22930</v>
      </c>
      <c r="F31" s="2946">
        <v>7470</v>
      </c>
      <c r="G31" s="2959">
        <v>16790</v>
      </c>
      <c r="L31" s="2946" t="s">
        <v>2945</v>
      </c>
      <c r="M31" s="2946" t="s">
        <v>2946</v>
      </c>
      <c r="N31" s="2946" t="s">
        <v>2947</v>
      </c>
      <c r="O31" s="2946" t="s">
        <v>2948</v>
      </c>
      <c r="P31" s="2946" t="s">
        <v>2949</v>
      </c>
      <c r="Q31" s="2946" t="s">
        <v>2950</v>
      </c>
      <c r="R31" s="2946" t="s">
        <v>2951</v>
      </c>
    </row>
    <row r="32" spans="1:19" ht="14.25" customHeight="1" thickBot="1">
      <c r="A32" s="2946" t="s">
        <v>296</v>
      </c>
      <c r="B32" s="2947" t="s">
        <v>138</v>
      </c>
      <c r="C32" s="2946">
        <v>27210</v>
      </c>
      <c r="D32" s="2946">
        <v>23240</v>
      </c>
      <c r="E32" s="2946">
        <v>23260</v>
      </c>
      <c r="F32" s="2946">
        <v>7130</v>
      </c>
      <c r="G32" s="2959">
        <v>16270</v>
      </c>
      <c r="L32" s="2946" t="s">
        <v>2952</v>
      </c>
      <c r="M32" s="2946" t="s">
        <v>2953</v>
      </c>
      <c r="N32" s="2946" t="s">
        <v>300</v>
      </c>
      <c r="O32" s="2946" t="s">
        <v>2954</v>
      </c>
      <c r="P32" s="2946" t="s">
        <v>299</v>
      </c>
      <c r="Q32" s="2946" t="s">
        <v>2955</v>
      </c>
      <c r="R32" s="2953" t="s">
        <v>2956</v>
      </c>
    </row>
    <row r="33" spans="1:17" ht="14.25" customHeight="1" thickBot="1">
      <c r="A33" s="2946" t="s">
        <v>296</v>
      </c>
      <c r="B33" s="2947" t="s">
        <v>147</v>
      </c>
      <c r="C33" s="2946">
        <v>27300</v>
      </c>
      <c r="D33" s="2946">
        <v>22980</v>
      </c>
      <c r="E33" s="2946">
        <v>24260</v>
      </c>
      <c r="F33" s="2946">
        <v>5860</v>
      </c>
      <c r="G33" s="2959">
        <v>16090</v>
      </c>
      <c r="L33" s="2953" t="s">
        <v>2957</v>
      </c>
      <c r="M33" s="2946" t="s">
        <v>2958</v>
      </c>
      <c r="N33" s="2946" t="s">
        <v>301</v>
      </c>
      <c r="O33" s="2946" t="s">
        <v>2959</v>
      </c>
      <c r="P33" s="2946" t="s">
        <v>2960</v>
      </c>
      <c r="Q33" s="2946" t="s">
        <v>2961</v>
      </c>
    </row>
    <row r="34" spans="1:17" ht="14.25" customHeight="1">
      <c r="A34" s="2946" t="s">
        <v>296</v>
      </c>
      <c r="B34" s="2947" t="s">
        <v>156</v>
      </c>
      <c r="C34" s="2946">
        <v>23090</v>
      </c>
      <c r="D34" s="2946">
        <v>23390</v>
      </c>
      <c r="E34" s="2946">
        <v>23510</v>
      </c>
      <c r="F34" s="2946">
        <v>6700</v>
      </c>
      <c r="G34" s="2959">
        <v>16370</v>
      </c>
      <c r="M34" s="2946" t="s">
        <v>2962</v>
      </c>
      <c r="N34" s="2946" t="s">
        <v>302</v>
      </c>
      <c r="O34" s="2946" t="s">
        <v>2963</v>
      </c>
      <c r="P34" s="2946" t="s">
        <v>2964</v>
      </c>
      <c r="Q34" s="2946" t="s">
        <v>2965</v>
      </c>
    </row>
    <row r="35" spans="1:17" ht="14.25" customHeight="1">
      <c r="A35" s="2946" t="s">
        <v>296</v>
      </c>
      <c r="B35" s="2947" t="s">
        <v>163</v>
      </c>
      <c r="C35" s="2946">
        <v>27270</v>
      </c>
      <c r="D35" s="2946">
        <v>24270</v>
      </c>
      <c r="E35" s="2946">
        <v>24950</v>
      </c>
      <c r="F35" s="2946">
        <v>6600</v>
      </c>
      <c r="G35" s="2959">
        <v>16990</v>
      </c>
      <c r="M35" s="2946" t="s">
        <v>2966</v>
      </c>
      <c r="N35" s="2946" t="s">
        <v>2967</v>
      </c>
      <c r="O35" s="2946" t="s">
        <v>2968</v>
      </c>
      <c r="P35" s="2946" t="s">
        <v>2969</v>
      </c>
      <c r="Q35" s="2946" t="s">
        <v>2970</v>
      </c>
    </row>
    <row r="36" spans="1:17" ht="14.25" customHeight="1">
      <c r="A36" s="2946" t="s">
        <v>296</v>
      </c>
      <c r="B36" s="2947" t="s">
        <v>169</v>
      </c>
      <c r="C36" s="2946">
        <v>23490</v>
      </c>
      <c r="D36" s="2946">
        <v>23020</v>
      </c>
      <c r="E36" s="2946">
        <v>25230</v>
      </c>
      <c r="F36" s="2946">
        <v>6780</v>
      </c>
      <c r="G36" s="2959">
        <v>16120</v>
      </c>
      <c r="M36" s="2946" t="s">
        <v>2971</v>
      </c>
      <c r="N36" s="2946" t="s">
        <v>2972</v>
      </c>
      <c r="O36" s="2946" t="s">
        <v>2973</v>
      </c>
      <c r="P36" s="2946" t="s">
        <v>2974</v>
      </c>
      <c r="Q36" s="2946" t="s">
        <v>2975</v>
      </c>
    </row>
    <row r="37" spans="1:17" ht="14.25" customHeight="1">
      <c r="A37" s="2946" t="s">
        <v>296</v>
      </c>
      <c r="B37" s="2947" t="s">
        <v>176</v>
      </c>
      <c r="C37" s="2946">
        <v>24380</v>
      </c>
      <c r="D37" s="2946">
        <v>22240</v>
      </c>
      <c r="E37" s="2946">
        <v>25980</v>
      </c>
      <c r="F37" s="2946">
        <v>8160</v>
      </c>
      <c r="G37" s="2959">
        <v>15570</v>
      </c>
      <c r="M37" s="2946" t="s">
        <v>2976</v>
      </c>
      <c r="N37" s="2946" t="s">
        <v>2977</v>
      </c>
      <c r="O37" s="2946" t="s">
        <v>2978</v>
      </c>
      <c r="P37" s="2946" t="s">
        <v>2979</v>
      </c>
      <c r="Q37" s="2946" t="s">
        <v>2980</v>
      </c>
    </row>
    <row r="38" spans="1:17" ht="14.25" customHeight="1">
      <c r="A38" s="2946" t="s">
        <v>296</v>
      </c>
      <c r="B38" s="2947" t="s">
        <v>186</v>
      </c>
      <c r="C38" s="2946">
        <v>23120</v>
      </c>
      <c r="D38" s="2946">
        <v>24630</v>
      </c>
      <c r="E38" s="2946">
        <v>25030</v>
      </c>
      <c r="F38" s="2946">
        <v>7710</v>
      </c>
      <c r="G38" s="2959">
        <v>17240</v>
      </c>
      <c r="M38" s="2946" t="s">
        <v>2981</v>
      </c>
      <c r="N38" s="2946" t="s">
        <v>2982</v>
      </c>
      <c r="O38" s="2946" t="s">
        <v>2983</v>
      </c>
      <c r="P38" s="2946" t="s">
        <v>2984</v>
      </c>
      <c r="Q38" s="2946" t="s">
        <v>2985</v>
      </c>
    </row>
    <row r="39" spans="1:17" ht="14.25" customHeight="1">
      <c r="A39" s="2946" t="s">
        <v>296</v>
      </c>
      <c r="B39" s="2947" t="s">
        <v>195</v>
      </c>
      <c r="C39" s="2946">
        <v>22330</v>
      </c>
      <c r="D39" s="2946">
        <v>21140</v>
      </c>
      <c r="E39" s="2946">
        <v>23970</v>
      </c>
      <c r="F39" s="2946">
        <v>7940</v>
      </c>
      <c r="G39" s="2959">
        <v>14790</v>
      </c>
      <c r="M39" s="2946" t="s">
        <v>2986</v>
      </c>
      <c r="N39" s="2946" t="s">
        <v>2987</v>
      </c>
      <c r="O39" s="2946" t="s">
        <v>2988</v>
      </c>
      <c r="P39" s="2946" t="s">
        <v>2989</v>
      </c>
      <c r="Q39" s="2946" t="s">
        <v>2990</v>
      </c>
    </row>
    <row r="40" spans="1:17" ht="14.25" customHeight="1">
      <c r="A40" s="2946" t="s">
        <v>296</v>
      </c>
      <c r="B40" s="2947" t="s">
        <v>202</v>
      </c>
      <c r="C40" s="2946">
        <v>24740</v>
      </c>
      <c r="D40" s="2946">
        <v>24690</v>
      </c>
      <c r="E40" s="2946">
        <v>22610</v>
      </c>
      <c r="F40" s="2946"/>
      <c r="G40" s="2959">
        <v>17280</v>
      </c>
      <c r="M40" s="2946" t="s">
        <v>2991</v>
      </c>
      <c r="N40" s="2946" t="s">
        <v>2992</v>
      </c>
      <c r="O40" s="2946" t="s">
        <v>2993</v>
      </c>
      <c r="P40" s="2946" t="s">
        <v>2994</v>
      </c>
      <c r="Q40" s="2946" t="s">
        <v>2995</v>
      </c>
    </row>
    <row r="41" spans="1:17" ht="14.25" customHeight="1" thickBot="1">
      <c r="A41" s="2946" t="s">
        <v>296</v>
      </c>
      <c r="B41" s="2947" t="s">
        <v>209</v>
      </c>
      <c r="C41" s="2946">
        <v>21220</v>
      </c>
      <c r="D41" s="2946">
        <v>21120</v>
      </c>
      <c r="E41" s="2946">
        <v>22590</v>
      </c>
      <c r="F41" s="2946"/>
      <c r="G41" s="2959">
        <v>14780</v>
      </c>
      <c r="M41" s="2953" t="s">
        <v>2996</v>
      </c>
      <c r="N41" s="2946" t="s">
        <v>2997</v>
      </c>
      <c r="O41" s="2946" t="s">
        <v>2998</v>
      </c>
      <c r="P41" s="2946" t="s">
        <v>2999</v>
      </c>
      <c r="Q41" s="2946" t="s">
        <v>3000</v>
      </c>
    </row>
    <row r="42" spans="1:17" ht="14.25" customHeight="1">
      <c r="A42" s="2946" t="s">
        <v>296</v>
      </c>
      <c r="B42" s="2947" t="s">
        <v>215</v>
      </c>
      <c r="C42" s="2946">
        <v>24800</v>
      </c>
      <c r="D42" s="2946">
        <v>22280</v>
      </c>
      <c r="E42" s="2946">
        <v>24350</v>
      </c>
      <c r="F42" s="2946"/>
      <c r="G42" s="2959">
        <v>15590</v>
      </c>
      <c r="N42" s="2946" t="s">
        <v>3001</v>
      </c>
      <c r="O42" s="2946" t="s">
        <v>3002</v>
      </c>
      <c r="P42" s="2946" t="s">
        <v>3003</v>
      </c>
      <c r="Q42" s="2946" t="s">
        <v>3004</v>
      </c>
    </row>
    <row r="43" spans="1:17" ht="14.25" customHeight="1">
      <c r="A43" s="2946" t="s">
        <v>3005</v>
      </c>
      <c r="B43" s="2947" t="s">
        <v>223</v>
      </c>
      <c r="C43" s="2946">
        <v>21210</v>
      </c>
      <c r="D43" s="2946">
        <v>21160</v>
      </c>
      <c r="E43" s="2946">
        <v>22650</v>
      </c>
      <c r="F43" s="2946"/>
      <c r="G43" s="2959">
        <v>14800</v>
      </c>
      <c r="N43" s="2946" t="s">
        <v>3006</v>
      </c>
      <c r="O43" s="2946" t="s">
        <v>3007</v>
      </c>
      <c r="P43" s="2946" t="s">
        <v>3008</v>
      </c>
      <c r="Q43" s="2946" t="s">
        <v>3009</v>
      </c>
    </row>
    <row r="44" spans="1:17" ht="14.25" customHeight="1" thickBot="1">
      <c r="A44" s="2946" t="s">
        <v>296</v>
      </c>
      <c r="B44" s="2947" t="s">
        <v>231</v>
      </c>
      <c r="C44" s="2946">
        <v>22370</v>
      </c>
      <c r="D44" s="2946">
        <v>23140</v>
      </c>
      <c r="E44" s="2946">
        <v>25090</v>
      </c>
      <c r="F44" s="2946"/>
      <c r="G44" s="2959">
        <v>16190</v>
      </c>
      <c r="N44" s="2946" t="s">
        <v>3010</v>
      </c>
      <c r="O44" s="2946" t="s">
        <v>3011</v>
      </c>
      <c r="P44" s="2953" t="s">
        <v>3012</v>
      </c>
      <c r="Q44" s="2946" t="s">
        <v>3013</v>
      </c>
    </row>
    <row r="45" spans="1:17" ht="14.25" customHeight="1" thickBot="1">
      <c r="A45" s="2946" t="s">
        <v>296</v>
      </c>
      <c r="B45" s="2947" t="s">
        <v>236</v>
      </c>
      <c r="C45" s="2946">
        <v>21240</v>
      </c>
      <c r="D45" s="2946">
        <v>27050</v>
      </c>
      <c r="E45" s="2946">
        <v>28000</v>
      </c>
      <c r="F45" s="2946"/>
      <c r="G45" s="2959">
        <v>18940</v>
      </c>
      <c r="N45" s="2946" t="s">
        <v>3014</v>
      </c>
      <c r="O45" s="2953" t="s">
        <v>3015</v>
      </c>
      <c r="Q45" s="2946" t="s">
        <v>3016</v>
      </c>
    </row>
    <row r="46" spans="1:17" ht="14.25" customHeight="1">
      <c r="A46" s="2946" t="s">
        <v>296</v>
      </c>
      <c r="B46" s="2947" t="s">
        <v>245</v>
      </c>
      <c r="C46" s="2946">
        <v>23240</v>
      </c>
      <c r="D46" s="2946">
        <v>23000</v>
      </c>
      <c r="E46" s="2946">
        <v>24980</v>
      </c>
      <c r="F46" s="2946"/>
      <c r="G46" s="2959">
        <v>16100</v>
      </c>
      <c r="N46" s="2946" t="s">
        <v>3017</v>
      </c>
      <c r="Q46" s="2946" t="s">
        <v>3018</v>
      </c>
    </row>
    <row r="47" spans="1:17" ht="14.25" customHeight="1">
      <c r="A47" s="2946" t="s">
        <v>296</v>
      </c>
      <c r="B47" s="2947" t="s">
        <v>252</v>
      </c>
      <c r="C47" s="2946">
        <v>27150</v>
      </c>
      <c r="D47" s="2946">
        <v>23310</v>
      </c>
      <c r="E47" s="2946">
        <v>25150</v>
      </c>
      <c r="F47" s="2946"/>
      <c r="G47" s="2959">
        <v>16310</v>
      </c>
      <c r="N47" s="2946" t="s">
        <v>3019</v>
      </c>
      <c r="Q47" s="2946" t="s">
        <v>3020</v>
      </c>
    </row>
    <row r="48" spans="1:17" ht="14.25" customHeight="1">
      <c r="A48" s="2946" t="s">
        <v>296</v>
      </c>
      <c r="B48" s="2947" t="s">
        <v>260</v>
      </c>
      <c r="C48" s="2946">
        <v>23100</v>
      </c>
      <c r="D48" s="2946">
        <v>21110</v>
      </c>
      <c r="E48" s="2946">
        <v>23080</v>
      </c>
      <c r="F48" s="2946"/>
      <c r="G48" s="2959">
        <v>14780</v>
      </c>
      <c r="N48" s="2946" t="s">
        <v>3021</v>
      </c>
      <c r="Q48" s="2946" t="s">
        <v>3022</v>
      </c>
    </row>
    <row r="49" spans="1:17" ht="14.25" customHeight="1">
      <c r="A49" s="2946" t="s">
        <v>296</v>
      </c>
      <c r="B49" s="2947" t="s">
        <v>267</v>
      </c>
      <c r="C49" s="2946">
        <v>23400</v>
      </c>
      <c r="D49" s="2946">
        <v>22920</v>
      </c>
      <c r="E49" s="2946">
        <v>24900</v>
      </c>
      <c r="F49" s="2946"/>
      <c r="G49" s="2959">
        <v>16040</v>
      </c>
      <c r="N49" s="2946" t="s">
        <v>3023</v>
      </c>
      <c r="Q49" s="2946" t="s">
        <v>3024</v>
      </c>
    </row>
    <row r="50" spans="1:17" ht="14.25" customHeight="1">
      <c r="A50" s="2946" t="s">
        <v>296</v>
      </c>
      <c r="B50" s="2947" t="s">
        <v>2901</v>
      </c>
      <c r="C50" s="2946">
        <v>21200</v>
      </c>
      <c r="D50" s="2946">
        <v>26540</v>
      </c>
      <c r="E50" s="2946">
        <v>23200</v>
      </c>
      <c r="F50" s="2946"/>
      <c r="G50" s="2959">
        <v>18580</v>
      </c>
      <c r="N50" s="2946" t="s">
        <v>3025</v>
      </c>
      <c r="Q50" s="2947" t="s">
        <v>3026</v>
      </c>
    </row>
    <row r="51" spans="1:17" ht="14.25" customHeight="1" thickBot="1">
      <c r="A51" s="2946" t="s">
        <v>296</v>
      </c>
      <c r="B51" s="2947" t="s">
        <v>2903</v>
      </c>
      <c r="C51" s="2946">
        <v>23000</v>
      </c>
      <c r="D51" s="2946">
        <v>23460</v>
      </c>
      <c r="E51" s="2946">
        <v>25290</v>
      </c>
      <c r="F51" s="2946"/>
      <c r="G51" s="2959">
        <v>16420</v>
      </c>
      <c r="N51" s="2946" t="s">
        <v>3027</v>
      </c>
      <c r="Q51" s="2953" t="s">
        <v>3028</v>
      </c>
    </row>
    <row r="52" spans="1:17" ht="14.25" customHeight="1">
      <c r="A52" s="2946" t="s">
        <v>296</v>
      </c>
      <c r="B52" s="2947" t="s">
        <v>2907</v>
      </c>
      <c r="C52" s="2946">
        <v>26660</v>
      </c>
      <c r="D52" s="2946">
        <v>22350</v>
      </c>
      <c r="E52" s="2946">
        <v>22920</v>
      </c>
      <c r="F52" s="2946"/>
      <c r="G52" s="2959">
        <v>15640</v>
      </c>
      <c r="N52" s="2946" t="s">
        <v>3029</v>
      </c>
    </row>
    <row r="53" spans="1:17" ht="14.25" customHeight="1">
      <c r="A53" s="2946" t="s">
        <v>296</v>
      </c>
      <c r="B53" s="2947" t="s">
        <v>2912</v>
      </c>
      <c r="C53" s="2946">
        <v>23580</v>
      </c>
      <c r="D53" s="2946"/>
      <c r="E53" s="2946">
        <v>24280</v>
      </c>
      <c r="F53" s="2946"/>
      <c r="G53" s="2959"/>
      <c r="N53" s="2946" t="s">
        <v>3030</v>
      </c>
    </row>
    <row r="54" spans="1:17" ht="14.25" customHeight="1" thickBot="1">
      <c r="A54" s="2960" t="s">
        <v>296</v>
      </c>
      <c r="B54" s="2952" t="s">
        <v>2915</v>
      </c>
      <c r="C54" s="2953">
        <v>22460</v>
      </c>
      <c r="D54" s="2953"/>
      <c r="E54" s="2953"/>
      <c r="F54" s="2953"/>
      <c r="G54" s="2961"/>
      <c r="N54" s="2946" t="s">
        <v>3031</v>
      </c>
    </row>
    <row r="55" spans="1:17" ht="14.25" customHeight="1">
      <c r="A55" s="2951" t="s">
        <v>110</v>
      </c>
      <c r="B55" s="2942" t="s">
        <v>3032</v>
      </c>
      <c r="C55" s="2946">
        <v>21970</v>
      </c>
      <c r="D55" s="2946">
        <v>20370</v>
      </c>
      <c r="E55" s="2946">
        <v>20180</v>
      </c>
      <c r="F55" s="2946">
        <v>5730</v>
      </c>
      <c r="G55" s="2946">
        <v>13820</v>
      </c>
      <c r="N55" s="2946" t="s">
        <v>3033</v>
      </c>
    </row>
    <row r="56" spans="1:17" ht="14.25" customHeight="1">
      <c r="A56" s="2946" t="s">
        <v>110</v>
      </c>
      <c r="B56" s="2946" t="s">
        <v>130</v>
      </c>
      <c r="C56" s="2946">
        <v>20470</v>
      </c>
      <c r="D56" s="2946">
        <v>20700</v>
      </c>
      <c r="E56" s="2946">
        <v>20380</v>
      </c>
      <c r="F56" s="2946">
        <v>4760</v>
      </c>
      <c r="G56" s="2946">
        <v>14050</v>
      </c>
      <c r="N56" s="2946" t="s">
        <v>3034</v>
      </c>
    </row>
    <row r="57" spans="1:17" ht="14.25" customHeight="1">
      <c r="A57" s="2946" t="s">
        <v>110</v>
      </c>
      <c r="B57" s="2946" t="s">
        <v>139</v>
      </c>
      <c r="C57" s="2946">
        <v>20790</v>
      </c>
      <c r="D57" s="2946">
        <v>21370</v>
      </c>
      <c r="E57" s="2946">
        <v>20890</v>
      </c>
      <c r="F57" s="2946">
        <v>4910</v>
      </c>
      <c r="G57" s="2946">
        <v>14510</v>
      </c>
      <c r="N57" s="2946" t="s">
        <v>3035</v>
      </c>
    </row>
    <row r="58" spans="1:17" ht="14.25" customHeight="1">
      <c r="A58" s="2946" t="s">
        <v>110</v>
      </c>
      <c r="B58" s="2946" t="s">
        <v>148</v>
      </c>
      <c r="C58" s="2946">
        <v>21460</v>
      </c>
      <c r="D58" s="2946">
        <v>20920</v>
      </c>
      <c r="E58" s="2946">
        <v>23410</v>
      </c>
      <c r="F58" s="2946">
        <v>5100</v>
      </c>
      <c r="G58" s="2946">
        <v>14200</v>
      </c>
      <c r="N58" s="2946" t="s">
        <v>3036</v>
      </c>
    </row>
    <row r="59" spans="1:17" ht="14.25" customHeight="1">
      <c r="A59" s="2946" t="s">
        <v>110</v>
      </c>
      <c r="B59" s="2946" t="s">
        <v>157</v>
      </c>
      <c r="C59" s="2946">
        <v>21000</v>
      </c>
      <c r="D59" s="2946">
        <v>21550</v>
      </c>
      <c r="E59" s="2946">
        <v>21150</v>
      </c>
      <c r="F59" s="2946">
        <v>5250</v>
      </c>
      <c r="G59" s="2946">
        <v>14630</v>
      </c>
      <c r="N59" s="2946" t="s">
        <v>3037</v>
      </c>
    </row>
    <row r="60" spans="1:17" ht="14.25" customHeight="1">
      <c r="A60" s="2946" t="s">
        <v>110</v>
      </c>
      <c r="B60" s="2946" t="s">
        <v>164</v>
      </c>
      <c r="C60" s="2946">
        <v>21640</v>
      </c>
      <c r="D60" s="2946">
        <v>21260</v>
      </c>
      <c r="E60" s="2946">
        <v>24040</v>
      </c>
      <c r="F60" s="2946">
        <v>4470</v>
      </c>
      <c r="G60" s="2946">
        <v>14430</v>
      </c>
      <c r="N60" s="2946" t="s">
        <v>3038</v>
      </c>
    </row>
    <row r="61" spans="1:17" ht="14.25" customHeight="1">
      <c r="A61" s="2946" t="s">
        <v>110</v>
      </c>
      <c r="B61" s="2946" t="s">
        <v>170</v>
      </c>
      <c r="C61" s="2946">
        <v>21330</v>
      </c>
      <c r="D61" s="2946">
        <v>18640</v>
      </c>
      <c r="E61" s="2946">
        <v>21190</v>
      </c>
      <c r="F61" s="2946">
        <v>4180</v>
      </c>
      <c r="G61" s="2946">
        <v>12650</v>
      </c>
      <c r="N61" s="2946" t="s">
        <v>3039</v>
      </c>
    </row>
    <row r="62" spans="1:17" ht="14.25" customHeight="1">
      <c r="A62" s="2946" t="s">
        <v>110</v>
      </c>
      <c r="B62" s="2946" t="s">
        <v>177</v>
      </c>
      <c r="C62" s="2946">
        <v>18710</v>
      </c>
      <c r="D62" s="2946">
        <v>19400</v>
      </c>
      <c r="E62" s="2946">
        <v>23750</v>
      </c>
      <c r="F62" s="2946">
        <v>4860</v>
      </c>
      <c r="G62" s="2946">
        <v>13170</v>
      </c>
      <c r="N62" s="2946" t="s">
        <v>3040</v>
      </c>
    </row>
    <row r="63" spans="1:17" ht="14.25" customHeight="1">
      <c r="A63" s="2946" t="s">
        <v>110</v>
      </c>
      <c r="B63" s="2946" t="s">
        <v>187</v>
      </c>
      <c r="C63" s="2946">
        <v>19480</v>
      </c>
      <c r="D63" s="2946">
        <v>16830</v>
      </c>
      <c r="E63" s="2946">
        <v>21590</v>
      </c>
      <c r="F63" s="2946">
        <v>4560</v>
      </c>
      <c r="G63" s="2946">
        <v>11420</v>
      </c>
      <c r="N63" s="2946" t="s">
        <v>3041</v>
      </c>
    </row>
    <row r="64" spans="1:17" ht="14.25" customHeight="1" thickBot="1">
      <c r="A64" s="2946" t="s">
        <v>110</v>
      </c>
      <c r="B64" s="2946" t="s">
        <v>196</v>
      </c>
      <c r="C64" s="2946">
        <v>16920</v>
      </c>
      <c r="D64" s="2946">
        <v>19190</v>
      </c>
      <c r="E64" s="2946">
        <v>22200</v>
      </c>
      <c r="F64" s="2946">
        <v>4390</v>
      </c>
      <c r="G64" s="2946">
        <v>13030</v>
      </c>
      <c r="N64" s="2953" t="s">
        <v>3042</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2913</v>
      </c>
      <c r="C78" s="2946">
        <v>19820</v>
      </c>
      <c r="D78" s="2946">
        <v>19780</v>
      </c>
      <c r="E78" s="2946">
        <v>18560</v>
      </c>
      <c r="F78" s="2946"/>
      <c r="G78" s="2946">
        <v>13430</v>
      </c>
    </row>
    <row r="79" spans="1:7" s="2780" customFormat="1" ht="14.25" customHeight="1">
      <c r="A79" s="2946" t="s">
        <v>110</v>
      </c>
      <c r="B79" s="2946" t="s">
        <v>2916</v>
      </c>
      <c r="C79" s="2946">
        <v>21660</v>
      </c>
      <c r="D79" s="2946">
        <v>18000</v>
      </c>
      <c r="E79" s="2946">
        <v>22570</v>
      </c>
      <c r="F79" s="2946"/>
      <c r="G79" s="2946">
        <v>12220</v>
      </c>
    </row>
    <row r="80" spans="1:7" s="2780" customFormat="1" ht="14.25" customHeight="1">
      <c r="A80" s="2946" t="s">
        <v>110</v>
      </c>
      <c r="B80" s="2946" t="s">
        <v>2920</v>
      </c>
      <c r="C80" s="2946">
        <v>19850</v>
      </c>
      <c r="D80" s="2946"/>
      <c r="E80" s="2946">
        <v>21700</v>
      </c>
      <c r="F80" s="2946"/>
      <c r="G80" s="2946"/>
    </row>
    <row r="81" spans="1:7" s="2780" customFormat="1" ht="14.25" customHeight="1">
      <c r="A81" s="2946" t="s">
        <v>110</v>
      </c>
      <c r="B81" s="2946" t="s">
        <v>2925</v>
      </c>
      <c r="C81" s="2946">
        <v>18080</v>
      </c>
      <c r="D81" s="2946"/>
      <c r="E81" s="2946">
        <v>20900</v>
      </c>
      <c r="F81" s="2946"/>
      <c r="G81" s="2946"/>
    </row>
    <row r="82" spans="1:7" s="2780" customFormat="1" ht="14.25" customHeight="1">
      <c r="A82" s="2946" t="s">
        <v>110</v>
      </c>
      <c r="B82" s="2946" t="s">
        <v>2932</v>
      </c>
      <c r="C82" s="2946"/>
      <c r="D82" s="2946"/>
      <c r="E82" s="2946">
        <v>20840</v>
      </c>
      <c r="F82" s="2946"/>
      <c r="G82" s="2946"/>
    </row>
    <row r="83" spans="1:7" s="2780" customFormat="1" ht="14.25" customHeight="1">
      <c r="A83" s="2946" t="s">
        <v>110</v>
      </c>
      <c r="B83" s="2946" t="s">
        <v>3043</v>
      </c>
      <c r="C83" s="2946"/>
      <c r="D83" s="2946"/>
      <c r="E83" s="2946"/>
      <c r="F83" s="2946">
        <v>4770</v>
      </c>
      <c r="G83" s="2946"/>
    </row>
    <row r="84" spans="1:7" s="2780" customFormat="1" ht="14.25" customHeight="1">
      <c r="A84" s="2946" t="s">
        <v>110</v>
      </c>
      <c r="B84" s="2946" t="s">
        <v>3044</v>
      </c>
      <c r="C84" s="2946"/>
      <c r="D84" s="2946"/>
      <c r="E84" s="2946"/>
      <c r="F84" s="2946">
        <v>4600</v>
      </c>
      <c r="G84" s="2946"/>
    </row>
    <row r="85" spans="1:7" s="2780" customFormat="1" ht="14.25" customHeight="1">
      <c r="A85" s="2946" t="s">
        <v>110</v>
      </c>
      <c r="B85" s="2946" t="s">
        <v>3045</v>
      </c>
      <c r="C85" s="2946"/>
      <c r="D85" s="2946"/>
      <c r="E85" s="2946"/>
      <c r="F85" s="2946">
        <v>4680</v>
      </c>
      <c r="G85" s="2946"/>
    </row>
    <row r="86" spans="1:7" s="2780" customFormat="1" ht="14.25" customHeight="1" thickBot="1">
      <c r="A86" s="2954" t="s">
        <v>110</v>
      </c>
      <c r="B86" s="2956" t="s">
        <v>3046</v>
      </c>
      <c r="C86" s="2957">
        <v>16610</v>
      </c>
      <c r="D86" s="2957">
        <v>16540</v>
      </c>
      <c r="E86" s="2957">
        <v>18850</v>
      </c>
      <c r="F86" s="2957"/>
      <c r="G86" s="2957">
        <v>11220</v>
      </c>
    </row>
    <row r="87" spans="1:7" s="2780" customFormat="1" ht="14.25" customHeight="1">
      <c r="A87" s="2951" t="s">
        <v>303</v>
      </c>
      <c r="B87" s="2942" t="s">
        <v>3047</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2926</v>
      </c>
      <c r="C113" s="2946">
        <v>15520</v>
      </c>
      <c r="D113" s="2946">
        <v>15450</v>
      </c>
      <c r="E113" s="2946"/>
      <c r="F113" s="2946"/>
      <c r="G113" s="2959">
        <v>10210</v>
      </c>
    </row>
    <row r="114" spans="1:7" s="2780" customFormat="1" ht="14.25" customHeight="1">
      <c r="A114" s="2946" t="s">
        <v>303</v>
      </c>
      <c r="B114" s="2946" t="s">
        <v>2933</v>
      </c>
      <c r="C114" s="2946">
        <v>13110</v>
      </c>
      <c r="D114" s="2946">
        <v>13050</v>
      </c>
      <c r="E114" s="2946"/>
      <c r="F114" s="2946"/>
      <c r="G114" s="2959">
        <v>8620</v>
      </c>
    </row>
    <row r="115" spans="1:7" s="2780" customFormat="1" ht="14.25" customHeight="1">
      <c r="A115" s="2946" t="s">
        <v>303</v>
      </c>
      <c r="B115" s="2946" t="s">
        <v>2939</v>
      </c>
      <c r="C115" s="2946">
        <v>12460</v>
      </c>
      <c r="D115" s="2946">
        <v>12390</v>
      </c>
      <c r="E115" s="2946"/>
      <c r="F115" s="2946"/>
      <c r="G115" s="2959">
        <v>8190</v>
      </c>
    </row>
    <row r="116" spans="1:7" s="2780" customFormat="1" ht="14.25" customHeight="1">
      <c r="A116" s="2946" t="s">
        <v>303</v>
      </c>
      <c r="B116" s="2946" t="s">
        <v>2946</v>
      </c>
      <c r="C116" s="2946">
        <v>13580</v>
      </c>
      <c r="D116" s="2946">
        <v>13520</v>
      </c>
      <c r="E116" s="2946"/>
      <c r="F116" s="2946"/>
      <c r="G116" s="2959">
        <v>8930</v>
      </c>
    </row>
    <row r="117" spans="1:7" s="2780" customFormat="1" ht="14.25" customHeight="1">
      <c r="A117" s="2946" t="s">
        <v>303</v>
      </c>
      <c r="B117" s="2946" t="s">
        <v>2953</v>
      </c>
      <c r="C117" s="2946">
        <v>17120</v>
      </c>
      <c r="D117" s="2946">
        <v>17040</v>
      </c>
      <c r="E117" s="2946"/>
      <c r="F117" s="2946"/>
      <c r="G117" s="2959">
        <v>11260</v>
      </c>
    </row>
    <row r="118" spans="1:7" s="2780" customFormat="1" ht="14.25" customHeight="1">
      <c r="A118" s="2946" t="s">
        <v>303</v>
      </c>
      <c r="B118" s="2946" t="s">
        <v>2958</v>
      </c>
      <c r="C118" s="2946">
        <v>14860</v>
      </c>
      <c r="D118" s="2946">
        <v>14790</v>
      </c>
      <c r="E118" s="2946"/>
      <c r="F118" s="2946"/>
      <c r="G118" s="2959">
        <v>9780</v>
      </c>
    </row>
    <row r="119" spans="1:7" s="2780" customFormat="1" ht="14.25" customHeight="1">
      <c r="A119" s="2946" t="s">
        <v>303</v>
      </c>
      <c r="B119" s="2946" t="s">
        <v>2962</v>
      </c>
      <c r="C119" s="2946">
        <v>16470</v>
      </c>
      <c r="D119" s="2946">
        <v>16400</v>
      </c>
      <c r="E119" s="2946"/>
      <c r="F119" s="2946"/>
      <c r="G119" s="2959">
        <v>10840</v>
      </c>
    </row>
    <row r="120" spans="1:7" s="2780" customFormat="1" ht="14.25" customHeight="1">
      <c r="A120" s="2946" t="s">
        <v>303</v>
      </c>
      <c r="B120" s="2946" t="s">
        <v>3048</v>
      </c>
      <c r="C120" s="2946"/>
      <c r="D120" s="2946"/>
      <c r="E120" s="2946"/>
      <c r="F120" s="2946">
        <v>4160</v>
      </c>
      <c r="G120" s="2959"/>
    </row>
    <row r="121" spans="1:7" s="2780" customFormat="1" ht="14.25" customHeight="1">
      <c r="A121" s="2946" t="s">
        <v>303</v>
      </c>
      <c r="B121" s="2946" t="s">
        <v>3049</v>
      </c>
      <c r="C121" s="2946"/>
      <c r="D121" s="2946"/>
      <c r="E121" s="2946"/>
      <c r="F121" s="2946">
        <v>3880</v>
      </c>
      <c r="G121" s="2959"/>
    </row>
    <row r="122" spans="1:7" s="2780" customFormat="1" ht="14.25" customHeight="1">
      <c r="A122" s="2946" t="s">
        <v>303</v>
      </c>
      <c r="B122" s="2946" t="s">
        <v>3050</v>
      </c>
      <c r="C122" s="2946">
        <v>13750</v>
      </c>
      <c r="D122" s="2946">
        <v>13680</v>
      </c>
      <c r="E122" s="2946">
        <v>16460</v>
      </c>
      <c r="F122" s="2946">
        <v>2880</v>
      </c>
      <c r="G122" s="2959">
        <v>9040</v>
      </c>
    </row>
    <row r="123" spans="1:7" s="2780" customFormat="1" ht="14.25" customHeight="1">
      <c r="A123" s="2946" t="s">
        <v>303</v>
      </c>
      <c r="B123" s="2946" t="s">
        <v>2981</v>
      </c>
      <c r="C123" s="2946">
        <v>13590</v>
      </c>
      <c r="D123" s="2946">
        <v>13520</v>
      </c>
      <c r="E123" s="2946">
        <v>16290</v>
      </c>
      <c r="F123" s="2946">
        <v>2790</v>
      </c>
      <c r="G123" s="2959">
        <v>8930</v>
      </c>
    </row>
    <row r="124" spans="1:7" s="2780" customFormat="1" ht="14.25" customHeight="1">
      <c r="A124" s="2946" t="s">
        <v>303</v>
      </c>
      <c r="B124" s="2946" t="s">
        <v>2986</v>
      </c>
      <c r="C124" s="2946">
        <v>13400</v>
      </c>
      <c r="D124" s="2946">
        <v>13320</v>
      </c>
      <c r="E124" s="2946">
        <v>16100</v>
      </c>
      <c r="F124" s="2946">
        <v>2320</v>
      </c>
      <c r="G124" s="2959">
        <v>8800</v>
      </c>
    </row>
    <row r="125" spans="1:7" s="2780" customFormat="1" ht="14.25" customHeight="1">
      <c r="A125" s="2946" t="s">
        <v>303</v>
      </c>
      <c r="B125" s="2946" t="s">
        <v>2991</v>
      </c>
      <c r="C125" s="2946">
        <v>12860</v>
      </c>
      <c r="D125" s="2946">
        <v>12790</v>
      </c>
      <c r="E125" s="2946">
        <v>15370</v>
      </c>
      <c r="F125" s="2946">
        <v>2280</v>
      </c>
      <c r="G125" s="2959">
        <v>8450</v>
      </c>
    </row>
    <row r="126" spans="1:7" s="2780" customFormat="1" ht="14.25" customHeight="1" thickBot="1">
      <c r="A126" s="2960" t="s">
        <v>303</v>
      </c>
      <c r="B126" s="2953" t="s">
        <v>2996</v>
      </c>
      <c r="C126" s="2953">
        <v>12960</v>
      </c>
      <c r="D126" s="2953">
        <v>12890</v>
      </c>
      <c r="E126" s="2953">
        <v>15530</v>
      </c>
      <c r="F126" s="2953">
        <v>2910</v>
      </c>
      <c r="G126" s="2961">
        <v>8520</v>
      </c>
    </row>
    <row r="127" spans="1:7" s="2780" customFormat="1" ht="14.25" customHeight="1">
      <c r="A127" s="2951" t="s">
        <v>29</v>
      </c>
      <c r="B127" s="2942" t="s">
        <v>3051</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3052</v>
      </c>
      <c r="C148" s="2946">
        <v>10370</v>
      </c>
      <c r="D148" s="2946">
        <v>10310</v>
      </c>
      <c r="E148" s="2946">
        <v>12970</v>
      </c>
      <c r="F148" s="2946"/>
      <c r="G148" s="2946">
        <v>6630</v>
      </c>
    </row>
    <row r="149" spans="1:7" s="2780" customFormat="1" ht="14.25" customHeight="1">
      <c r="A149" s="2946" t="s">
        <v>29</v>
      </c>
      <c r="B149" s="2946" t="s">
        <v>3053</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2927</v>
      </c>
      <c r="C153" s="2946">
        <v>10880</v>
      </c>
      <c r="D153" s="2946">
        <v>10820</v>
      </c>
      <c r="E153" s="2946">
        <v>13660</v>
      </c>
      <c r="F153" s="2946">
        <v>2260</v>
      </c>
      <c r="G153" s="2946">
        <v>6970</v>
      </c>
    </row>
    <row r="154" spans="1:7" s="2780" customFormat="1" ht="14.25" customHeight="1">
      <c r="A154" s="2946" t="s">
        <v>29</v>
      </c>
      <c r="B154" s="2946" t="s">
        <v>3054</v>
      </c>
      <c r="C154" s="2946">
        <v>11220</v>
      </c>
      <c r="D154" s="2946">
        <v>11160</v>
      </c>
      <c r="E154" s="2946">
        <v>14130</v>
      </c>
      <c r="F154" s="2946">
        <v>2230</v>
      </c>
      <c r="G154" s="2946">
        <v>7180</v>
      </c>
    </row>
    <row r="155" spans="1:7" s="2780" customFormat="1" ht="14.25" customHeight="1">
      <c r="A155" s="2946" t="s">
        <v>29</v>
      </c>
      <c r="B155" s="2946" t="s">
        <v>2940</v>
      </c>
      <c r="C155" s="2946">
        <v>10430</v>
      </c>
      <c r="D155" s="2946">
        <v>10380</v>
      </c>
      <c r="E155" s="2946">
        <v>13140</v>
      </c>
      <c r="F155" s="2946">
        <v>2080</v>
      </c>
      <c r="G155" s="2946">
        <v>6650</v>
      </c>
    </row>
    <row r="156" spans="1:7" s="2780" customFormat="1" ht="14.25" customHeight="1">
      <c r="A156" s="2946" t="s">
        <v>29</v>
      </c>
      <c r="B156" s="2946" t="s">
        <v>3055</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3056</v>
      </c>
      <c r="C160" s="2946">
        <v>11180</v>
      </c>
      <c r="D160" s="2946">
        <v>11140</v>
      </c>
      <c r="E160" s="2946">
        <v>14050</v>
      </c>
      <c r="F160" s="2946">
        <v>2270</v>
      </c>
      <c r="G160" s="2946">
        <v>7170</v>
      </c>
    </row>
    <row r="161" spans="1:7" s="2780" customFormat="1" ht="14.25" customHeight="1">
      <c r="A161" s="2946" t="s">
        <v>29</v>
      </c>
      <c r="B161" s="2946" t="s">
        <v>2972</v>
      </c>
      <c r="C161" s="2946">
        <v>11160</v>
      </c>
      <c r="D161" s="2946">
        <v>11120</v>
      </c>
      <c r="E161" s="2946">
        <v>14020</v>
      </c>
      <c r="F161" s="2946">
        <v>2150</v>
      </c>
      <c r="G161" s="2946">
        <v>7160</v>
      </c>
    </row>
    <row r="162" spans="1:7" s="2780" customFormat="1" ht="14.25" customHeight="1">
      <c r="A162" s="2946" t="s">
        <v>29</v>
      </c>
      <c r="B162" s="2946" t="s">
        <v>2977</v>
      </c>
      <c r="C162" s="2946">
        <v>9620</v>
      </c>
      <c r="D162" s="2946">
        <v>9570</v>
      </c>
      <c r="E162" s="2946">
        <v>12320</v>
      </c>
      <c r="F162" s="2946">
        <v>2010</v>
      </c>
      <c r="G162" s="2946">
        <v>6160</v>
      </c>
    </row>
    <row r="163" spans="1:7" s="2780" customFormat="1" ht="14.25" customHeight="1">
      <c r="A163" s="2946" t="s">
        <v>29</v>
      </c>
      <c r="B163" s="2946" t="s">
        <v>2982</v>
      </c>
      <c r="C163" s="2946">
        <v>9320</v>
      </c>
      <c r="D163" s="2946">
        <v>9270</v>
      </c>
      <c r="E163" s="2946">
        <v>11790</v>
      </c>
      <c r="F163" s="2946">
        <v>1920</v>
      </c>
      <c r="G163" s="2946">
        <v>5960</v>
      </c>
    </row>
    <row r="164" spans="1:7" s="2780" customFormat="1" ht="14.25" customHeight="1">
      <c r="A164" s="2946" t="s">
        <v>29</v>
      </c>
      <c r="B164" s="2946" t="s">
        <v>2987</v>
      </c>
      <c r="C164" s="2946"/>
      <c r="D164" s="2946"/>
      <c r="E164" s="2946"/>
      <c r="F164" s="2946">
        <v>1980</v>
      </c>
      <c r="G164" s="2946"/>
    </row>
    <row r="165" spans="1:7" s="2780" customFormat="1" ht="14.25" customHeight="1">
      <c r="A165" s="2946" t="s">
        <v>29</v>
      </c>
      <c r="B165" s="2946" t="s">
        <v>3057</v>
      </c>
      <c r="C165" s="2946">
        <v>11060</v>
      </c>
      <c r="D165" s="2946">
        <v>11030</v>
      </c>
      <c r="E165" s="2946">
        <v>13850</v>
      </c>
      <c r="F165" s="2946">
        <v>2170</v>
      </c>
      <c r="G165" s="2946">
        <v>7090</v>
      </c>
    </row>
    <row r="166" spans="1:7" s="2780" customFormat="1" ht="14.25" customHeight="1">
      <c r="A166" s="2946" t="s">
        <v>29</v>
      </c>
      <c r="B166" s="2946" t="s">
        <v>2997</v>
      </c>
      <c r="C166" s="2946">
        <v>11050</v>
      </c>
      <c r="D166" s="2946">
        <v>11010</v>
      </c>
      <c r="E166" s="2946">
        <v>13920</v>
      </c>
      <c r="F166" s="2946">
        <v>2140</v>
      </c>
      <c r="G166" s="2946">
        <v>7080</v>
      </c>
    </row>
    <row r="167" spans="1:7" s="2780" customFormat="1" ht="14.25" customHeight="1">
      <c r="A167" s="2946" t="s">
        <v>29</v>
      </c>
      <c r="B167" s="2946" t="s">
        <v>3001</v>
      </c>
      <c r="C167" s="2946">
        <v>10930</v>
      </c>
      <c r="D167" s="2946">
        <v>10890</v>
      </c>
      <c r="E167" s="2946">
        <v>13790</v>
      </c>
      <c r="F167" s="2946">
        <v>2010</v>
      </c>
      <c r="G167" s="2946">
        <v>7000</v>
      </c>
    </row>
    <row r="168" spans="1:7" s="2780" customFormat="1" ht="14.25" customHeight="1">
      <c r="A168" s="2946" t="s">
        <v>29</v>
      </c>
      <c r="B168" s="2946" t="s">
        <v>3006</v>
      </c>
      <c r="C168" s="2946">
        <v>9420</v>
      </c>
      <c r="D168" s="2946">
        <v>9380</v>
      </c>
      <c r="E168" s="2946">
        <v>11970</v>
      </c>
      <c r="F168" s="2946"/>
      <c r="G168" s="2946">
        <v>6040</v>
      </c>
    </row>
    <row r="169" spans="1:7" s="2780" customFormat="1" ht="14.25" customHeight="1">
      <c r="A169" s="2946" t="s">
        <v>29</v>
      </c>
      <c r="B169" s="2946" t="s">
        <v>3058</v>
      </c>
      <c r="C169" s="2946"/>
      <c r="D169" s="2946"/>
      <c r="E169" s="2946"/>
      <c r="F169" s="2946">
        <v>2880</v>
      </c>
      <c r="G169" s="2946"/>
    </row>
    <row r="170" spans="1:7" s="2780" customFormat="1" ht="14.25" customHeight="1">
      <c r="A170" s="2946" t="s">
        <v>29</v>
      </c>
      <c r="B170" s="2946" t="s">
        <v>3014</v>
      </c>
      <c r="C170" s="2946"/>
      <c r="D170" s="2946"/>
      <c r="E170" s="2946"/>
      <c r="F170" s="2946">
        <v>2880</v>
      </c>
      <c r="G170" s="2946"/>
    </row>
    <row r="171" spans="1:7" s="2780" customFormat="1" ht="14.25" customHeight="1">
      <c r="A171" s="2946" t="s">
        <v>29</v>
      </c>
      <c r="B171" s="2946" t="s">
        <v>3017</v>
      </c>
      <c r="C171" s="2946"/>
      <c r="D171" s="2946"/>
      <c r="E171" s="2946"/>
      <c r="F171" s="2946">
        <v>2880</v>
      </c>
      <c r="G171" s="2946"/>
    </row>
    <row r="172" spans="1:7" s="2780" customFormat="1" ht="14.25" customHeight="1">
      <c r="A172" s="2946" t="s">
        <v>29</v>
      </c>
      <c r="B172" s="2946" t="s">
        <v>3019</v>
      </c>
      <c r="C172" s="2946"/>
      <c r="D172" s="2946"/>
      <c r="E172" s="2946"/>
      <c r="F172" s="2946">
        <v>2880</v>
      </c>
      <c r="G172" s="2946"/>
    </row>
    <row r="173" spans="1:7" s="2780" customFormat="1" ht="14.25" customHeight="1">
      <c r="A173" s="2946" t="s">
        <v>29</v>
      </c>
      <c r="B173" s="2946" t="s">
        <v>3021</v>
      </c>
      <c r="C173" s="2946"/>
      <c r="D173" s="2946"/>
      <c r="E173" s="2946"/>
      <c r="F173" s="2946">
        <v>2150</v>
      </c>
      <c r="G173" s="2946"/>
    </row>
    <row r="174" spans="1:7" s="2780" customFormat="1" ht="14.25" customHeight="1">
      <c r="A174" s="2946" t="s">
        <v>29</v>
      </c>
      <c r="B174" s="2946" t="s">
        <v>3023</v>
      </c>
      <c r="C174" s="2946"/>
      <c r="D174" s="2946"/>
      <c r="E174" s="2946"/>
      <c r="F174" s="2946">
        <v>2030</v>
      </c>
      <c r="G174" s="2946"/>
    </row>
    <row r="175" spans="1:7" s="2780" customFormat="1" ht="14.25" customHeight="1">
      <c r="A175" s="2946" t="s">
        <v>29</v>
      </c>
      <c r="B175" s="2946" t="s">
        <v>3025</v>
      </c>
      <c r="C175" s="2946"/>
      <c r="D175" s="2946"/>
      <c r="E175" s="2946"/>
      <c r="F175" s="2946">
        <v>2780</v>
      </c>
      <c r="G175" s="2946"/>
    </row>
    <row r="176" spans="1:7" s="2780" customFormat="1" ht="14.25" customHeight="1">
      <c r="A176" s="2946" t="s">
        <v>29</v>
      </c>
      <c r="B176" s="2946" t="s">
        <v>3027</v>
      </c>
      <c r="C176" s="2946"/>
      <c r="D176" s="2946"/>
      <c r="E176" s="2946"/>
      <c r="F176" s="2946">
        <v>2780</v>
      </c>
      <c r="G176" s="2946"/>
    </row>
    <row r="177" spans="1:7" s="2780" customFormat="1" ht="14.25" customHeight="1">
      <c r="A177" s="2946" t="s">
        <v>29</v>
      </c>
      <c r="B177" s="2946" t="s">
        <v>3059</v>
      </c>
      <c r="C177" s="2946"/>
      <c r="D177" s="2946"/>
      <c r="E177" s="2946"/>
      <c r="F177" s="2946">
        <v>2780</v>
      </c>
      <c r="G177" s="2946"/>
    </row>
    <row r="178" spans="1:7" s="2780" customFormat="1" ht="14.25" customHeight="1">
      <c r="A178" s="2946" t="s">
        <v>29</v>
      </c>
      <c r="B178" s="2946" t="s">
        <v>3060</v>
      </c>
      <c r="C178" s="2946"/>
      <c r="D178" s="2946"/>
      <c r="E178" s="2946"/>
      <c r="F178" s="2946">
        <v>2060</v>
      </c>
      <c r="G178" s="2946"/>
    </row>
    <row r="179" spans="1:7" s="2780" customFormat="1" ht="14.25" customHeight="1">
      <c r="A179" s="2946" t="s">
        <v>29</v>
      </c>
      <c r="B179" s="2946" t="s">
        <v>3061</v>
      </c>
      <c r="C179" s="2946"/>
      <c r="D179" s="2946"/>
      <c r="E179" s="2946"/>
      <c r="F179" s="2946">
        <v>2120</v>
      </c>
      <c r="G179" s="2946"/>
    </row>
    <row r="180" spans="1:7" s="2780" customFormat="1" ht="14.25" customHeight="1">
      <c r="A180" s="2946" t="s">
        <v>29</v>
      </c>
      <c r="B180" s="2946" t="s">
        <v>3033</v>
      </c>
      <c r="C180" s="2946"/>
      <c r="D180" s="2946"/>
      <c r="E180" s="2946"/>
      <c r="F180" s="2946">
        <v>2340</v>
      </c>
      <c r="G180" s="2946"/>
    </row>
    <row r="181" spans="1:7" s="2780" customFormat="1" ht="14.25" customHeight="1">
      <c r="A181" s="2946" t="s">
        <v>29</v>
      </c>
      <c r="B181" s="2946" t="s">
        <v>3034</v>
      </c>
      <c r="C181" s="2946"/>
      <c r="D181" s="2946"/>
      <c r="E181" s="2946"/>
      <c r="F181" s="2946">
        <v>2340</v>
      </c>
      <c r="G181" s="2946"/>
    </row>
    <row r="182" spans="1:7" s="2780" customFormat="1" ht="14.25" customHeight="1">
      <c r="A182" s="2946" t="s">
        <v>29</v>
      </c>
      <c r="B182" s="2946" t="s">
        <v>3035</v>
      </c>
      <c r="C182" s="2946"/>
      <c r="D182" s="2946"/>
      <c r="E182" s="2946"/>
      <c r="F182" s="2946">
        <v>2340</v>
      </c>
      <c r="G182" s="2946"/>
    </row>
    <row r="183" spans="1:7" s="2780" customFormat="1" ht="14.25" customHeight="1">
      <c r="A183" s="2946" t="s">
        <v>29</v>
      </c>
      <c r="B183" s="2946" t="s">
        <v>3036</v>
      </c>
      <c r="C183" s="2946"/>
      <c r="D183" s="2946"/>
      <c r="E183" s="2946"/>
      <c r="F183" s="2946">
        <v>2340</v>
      </c>
      <c r="G183" s="2946"/>
    </row>
    <row r="184" spans="1:7" s="2780" customFormat="1" ht="14.25" customHeight="1">
      <c r="A184" s="2946" t="s">
        <v>29</v>
      </c>
      <c r="B184" s="2946" t="s">
        <v>3037</v>
      </c>
      <c r="C184" s="2946"/>
      <c r="D184" s="2946"/>
      <c r="E184" s="2946"/>
      <c r="F184" s="2946">
        <v>2340</v>
      </c>
      <c r="G184" s="2946"/>
    </row>
    <row r="185" spans="1:7" s="2780" customFormat="1" ht="14.25" customHeight="1">
      <c r="A185" s="2946" t="s">
        <v>29</v>
      </c>
      <c r="B185" s="2946" t="s">
        <v>3038</v>
      </c>
      <c r="C185" s="2946"/>
      <c r="D185" s="2946"/>
      <c r="E185" s="2946"/>
      <c r="F185" s="2946">
        <v>2530</v>
      </c>
      <c r="G185" s="2946"/>
    </row>
    <row r="186" spans="1:7" s="2780" customFormat="1" ht="14.25" customHeight="1">
      <c r="A186" s="2946" t="s">
        <v>29</v>
      </c>
      <c r="B186" s="2946" t="s">
        <v>3039</v>
      </c>
      <c r="C186" s="2946"/>
      <c r="D186" s="2946"/>
      <c r="E186" s="2946"/>
      <c r="F186" s="2946">
        <v>2550</v>
      </c>
      <c r="G186" s="2946"/>
    </row>
    <row r="187" spans="1:7" s="2780" customFormat="1" ht="14.25" customHeight="1">
      <c r="A187" s="2946" t="s">
        <v>29</v>
      </c>
      <c r="B187" s="2946" t="s">
        <v>3040</v>
      </c>
      <c r="C187" s="2946"/>
      <c r="D187" s="2946"/>
      <c r="E187" s="2946"/>
      <c r="F187" s="2946">
        <v>2070</v>
      </c>
      <c r="G187" s="2946"/>
    </row>
    <row r="188" spans="1:7" s="2780" customFormat="1" ht="14.25" customHeight="1">
      <c r="A188" s="2946" t="s">
        <v>29</v>
      </c>
      <c r="B188" s="2946" t="s">
        <v>3041</v>
      </c>
      <c r="C188" s="2946"/>
      <c r="D188" s="2946"/>
      <c r="E188" s="2946"/>
      <c r="F188" s="2946">
        <v>2340</v>
      </c>
      <c r="G188" s="2946"/>
    </row>
    <row r="189" spans="1:7" s="2780" customFormat="1" ht="14.25" customHeight="1" thickBot="1">
      <c r="A189" s="2954" t="s">
        <v>29</v>
      </c>
      <c r="B189" s="2957" t="s">
        <v>3042</v>
      </c>
      <c r="C189" s="2957"/>
      <c r="D189" s="2957"/>
      <c r="E189" s="2957"/>
      <c r="F189" s="2957">
        <v>2050</v>
      </c>
      <c r="G189" s="2957"/>
    </row>
    <row r="190" spans="1:7" s="2780" customFormat="1" ht="14.25" customHeight="1">
      <c r="A190" s="2951" t="s">
        <v>304</v>
      </c>
      <c r="B190" s="2942" t="s">
        <v>3062</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3063</v>
      </c>
      <c r="C199" s="2946">
        <v>8690</v>
      </c>
      <c r="D199" s="2946">
        <v>8630</v>
      </c>
      <c r="E199" s="2946">
        <v>11350</v>
      </c>
      <c r="F199" s="2946">
        <v>1600</v>
      </c>
      <c r="G199" s="2959">
        <v>5450</v>
      </c>
    </row>
    <row r="200" spans="1:7" s="2780" customFormat="1" ht="14.25" customHeight="1">
      <c r="A200" s="2946" t="s">
        <v>304</v>
      </c>
      <c r="B200" s="2946" t="s">
        <v>2874</v>
      </c>
      <c r="C200" s="2946"/>
      <c r="D200" s="2946"/>
      <c r="E200" s="2946"/>
      <c r="F200" s="2946">
        <v>1510</v>
      </c>
      <c r="G200" s="2959"/>
    </row>
    <row r="201" spans="1:7" s="2780" customFormat="1" ht="14.25" customHeight="1">
      <c r="A201" s="2946" t="s">
        <v>304</v>
      </c>
      <c r="B201" s="2946" t="s">
        <v>3064</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3065</v>
      </c>
      <c r="C203" s="2946">
        <v>8130</v>
      </c>
      <c r="D203" s="2946">
        <v>8070</v>
      </c>
      <c r="E203" s="2946">
        <v>10820</v>
      </c>
      <c r="F203" s="2946">
        <v>1690</v>
      </c>
      <c r="G203" s="2959">
        <v>5100</v>
      </c>
    </row>
    <row r="204" spans="1:7" s="2780" customFormat="1" ht="14.25" customHeight="1">
      <c r="A204" s="2946" t="s">
        <v>304</v>
      </c>
      <c r="B204" s="2946" t="s">
        <v>2885</v>
      </c>
      <c r="C204" s="2946">
        <v>8350</v>
      </c>
      <c r="D204" s="2946">
        <v>8290</v>
      </c>
      <c r="E204" s="2946">
        <v>11080</v>
      </c>
      <c r="F204" s="2946">
        <v>1450</v>
      </c>
      <c r="G204" s="2959">
        <v>5240</v>
      </c>
    </row>
    <row r="205" spans="1:7" s="2780" customFormat="1" ht="14.25" customHeight="1">
      <c r="A205" s="2946" t="s">
        <v>304</v>
      </c>
      <c r="B205" s="2946" t="s">
        <v>2887</v>
      </c>
      <c r="C205" s="2946">
        <v>7190</v>
      </c>
      <c r="D205" s="2946">
        <v>7130</v>
      </c>
      <c r="E205" s="2946">
        <v>9490</v>
      </c>
      <c r="F205" s="2946">
        <v>1470</v>
      </c>
      <c r="G205" s="2959">
        <v>4510</v>
      </c>
    </row>
    <row r="206" spans="1:7" s="2780" customFormat="1" ht="14.25" customHeight="1">
      <c r="A206" s="2946" t="s">
        <v>304</v>
      </c>
      <c r="B206" s="2946" t="s">
        <v>2890</v>
      </c>
      <c r="C206" s="2946">
        <v>7000</v>
      </c>
      <c r="D206" s="2946">
        <v>6950</v>
      </c>
      <c r="E206" s="2946">
        <v>9170</v>
      </c>
      <c r="F206" s="2946">
        <v>1400</v>
      </c>
      <c r="G206" s="2959">
        <v>4380</v>
      </c>
    </row>
    <row r="207" spans="1:7" s="2780" customFormat="1" ht="14.25" customHeight="1">
      <c r="A207" s="2946" t="s">
        <v>304</v>
      </c>
      <c r="B207" s="2946" t="s">
        <v>2892</v>
      </c>
      <c r="C207" s="2946">
        <v>6950</v>
      </c>
      <c r="D207" s="2946">
        <v>6900</v>
      </c>
      <c r="E207" s="2946">
        <v>9110</v>
      </c>
      <c r="F207" s="2946">
        <v>1790</v>
      </c>
      <c r="G207" s="2959">
        <v>4360</v>
      </c>
    </row>
    <row r="208" spans="1:7" s="2780" customFormat="1" ht="14.25" customHeight="1">
      <c r="A208" s="2946" t="s">
        <v>304</v>
      </c>
      <c r="B208" s="2946" t="s">
        <v>3066</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2902</v>
      </c>
      <c r="C210" s="2946">
        <v>8710</v>
      </c>
      <c r="D210" s="2946">
        <v>8660</v>
      </c>
      <c r="E210" s="2946">
        <v>11440</v>
      </c>
      <c r="F210" s="2946">
        <v>1740</v>
      </c>
      <c r="G210" s="2959">
        <v>5470</v>
      </c>
    </row>
    <row r="211" spans="1:7" s="2780" customFormat="1" ht="14.25" customHeight="1">
      <c r="A211" s="2946" t="s">
        <v>304</v>
      </c>
      <c r="B211" s="2946" t="s">
        <v>3067</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3068</v>
      </c>
      <c r="C214" s="2946">
        <v>8090</v>
      </c>
      <c r="D214" s="2946">
        <v>8030</v>
      </c>
      <c r="E214" s="2946">
        <v>10780</v>
      </c>
      <c r="F214" s="2946">
        <v>1570</v>
      </c>
      <c r="G214" s="2959">
        <v>5070</v>
      </c>
    </row>
    <row r="215" spans="1:7" s="2780" customFormat="1" ht="14.25" customHeight="1">
      <c r="A215" s="2946" t="s">
        <v>304</v>
      </c>
      <c r="B215" s="2946" t="s">
        <v>3069</v>
      </c>
      <c r="C215" s="2946">
        <v>7950</v>
      </c>
      <c r="D215" s="2946">
        <v>7900</v>
      </c>
      <c r="E215" s="2946">
        <v>10560</v>
      </c>
      <c r="F215" s="2946">
        <v>1630</v>
      </c>
      <c r="G215" s="2959">
        <v>4990</v>
      </c>
    </row>
    <row r="216" spans="1:7" s="2780" customFormat="1" ht="14.25" customHeight="1">
      <c r="A216" s="2946" t="s">
        <v>304</v>
      </c>
      <c r="B216" s="2946" t="s">
        <v>3070</v>
      </c>
      <c r="C216" s="2946">
        <v>8490</v>
      </c>
      <c r="D216" s="2946">
        <v>8440</v>
      </c>
      <c r="E216" s="2946">
        <v>11260</v>
      </c>
      <c r="F216" s="2946">
        <v>1690</v>
      </c>
      <c r="G216" s="2959">
        <v>5330</v>
      </c>
    </row>
    <row r="217" spans="1:7" s="2780" customFormat="1" ht="14.25" customHeight="1">
      <c r="A217" s="2946" t="s">
        <v>304</v>
      </c>
      <c r="B217" s="2946" t="s">
        <v>2935</v>
      </c>
      <c r="C217" s="2946">
        <v>8200</v>
      </c>
      <c r="D217" s="2946">
        <v>8150</v>
      </c>
      <c r="E217" s="2946">
        <v>10910</v>
      </c>
      <c r="F217" s="2946">
        <v>1670</v>
      </c>
      <c r="G217" s="2959">
        <v>5150</v>
      </c>
    </row>
    <row r="218" spans="1:7" s="2780" customFormat="1" ht="14.25" customHeight="1">
      <c r="A218" s="2946" t="s">
        <v>304</v>
      </c>
      <c r="B218" s="2946" t="s">
        <v>3071</v>
      </c>
      <c r="C218" s="2946"/>
      <c r="D218" s="2946"/>
      <c r="E218" s="2946"/>
      <c r="F218" s="2946">
        <v>2040</v>
      </c>
      <c r="G218" s="2959"/>
    </row>
    <row r="219" spans="1:7" s="2780" customFormat="1" ht="14.25" customHeight="1">
      <c r="A219" s="2946" t="s">
        <v>304</v>
      </c>
      <c r="B219" s="2946" t="s">
        <v>3072</v>
      </c>
      <c r="C219" s="2946"/>
      <c r="D219" s="2946"/>
      <c r="E219" s="2946"/>
      <c r="F219" s="2946">
        <v>2040</v>
      </c>
      <c r="G219" s="2959"/>
    </row>
    <row r="220" spans="1:7" s="2780" customFormat="1" ht="14.25" customHeight="1">
      <c r="A220" s="2946" t="s">
        <v>304</v>
      </c>
      <c r="B220" s="2946" t="s">
        <v>3073</v>
      </c>
      <c r="C220" s="2946"/>
      <c r="D220" s="2946"/>
      <c r="E220" s="2946"/>
      <c r="F220" s="2946">
        <v>2040</v>
      </c>
      <c r="G220" s="2959"/>
    </row>
    <row r="221" spans="1:7" s="2780" customFormat="1" ht="14.25" customHeight="1">
      <c r="A221" s="2946" t="s">
        <v>304</v>
      </c>
      <c r="B221" s="2946" t="s">
        <v>3074</v>
      </c>
      <c r="C221" s="2946"/>
      <c r="D221" s="2946"/>
      <c r="E221" s="2946"/>
      <c r="F221" s="2946">
        <v>2040</v>
      </c>
      <c r="G221" s="2959"/>
    </row>
    <row r="222" spans="1:7" s="2780" customFormat="1" ht="14.25" customHeight="1">
      <c r="A222" s="2946" t="s">
        <v>304</v>
      </c>
      <c r="B222" s="2946" t="s">
        <v>3075</v>
      </c>
      <c r="C222" s="2946"/>
      <c r="D222" s="2946"/>
      <c r="E222" s="2946"/>
      <c r="F222" s="2946">
        <v>2040</v>
      </c>
      <c r="G222" s="2959"/>
    </row>
    <row r="223" spans="1:7" s="2780" customFormat="1" ht="14.25" customHeight="1">
      <c r="A223" s="2946" t="s">
        <v>304</v>
      </c>
      <c r="B223" s="2946" t="s">
        <v>3076</v>
      </c>
      <c r="C223" s="2946"/>
      <c r="D223" s="2946"/>
      <c r="E223" s="2946"/>
      <c r="F223" s="2946">
        <v>1930</v>
      </c>
      <c r="G223" s="2959"/>
    </row>
    <row r="224" spans="1:7" s="2780" customFormat="1" ht="14.25" customHeight="1">
      <c r="A224" s="2946" t="s">
        <v>304</v>
      </c>
      <c r="B224" s="2946" t="s">
        <v>3077</v>
      </c>
      <c r="C224" s="2946"/>
      <c r="D224" s="2946"/>
      <c r="E224" s="2946"/>
      <c r="F224" s="2946">
        <v>1930</v>
      </c>
      <c r="G224" s="2959"/>
    </row>
    <row r="225" spans="1:7" s="2780" customFormat="1" ht="14.25" customHeight="1">
      <c r="A225" s="2946" t="s">
        <v>304</v>
      </c>
      <c r="B225" s="2946" t="s">
        <v>3078</v>
      </c>
      <c r="C225" s="2946"/>
      <c r="D225" s="2946"/>
      <c r="E225" s="2946"/>
      <c r="F225" s="2946">
        <v>1930</v>
      </c>
      <c r="G225" s="2959"/>
    </row>
    <row r="226" spans="1:7" s="2780" customFormat="1" ht="14.25" customHeight="1">
      <c r="A226" s="2946" t="s">
        <v>304</v>
      </c>
      <c r="B226" s="2946" t="s">
        <v>3079</v>
      </c>
      <c r="C226" s="2946"/>
      <c r="D226" s="2946"/>
      <c r="E226" s="2946"/>
      <c r="F226" s="2946">
        <v>1700</v>
      </c>
      <c r="G226" s="2959"/>
    </row>
    <row r="227" spans="1:7" s="2780" customFormat="1" ht="14.25" customHeight="1">
      <c r="A227" s="2946" t="s">
        <v>304</v>
      </c>
      <c r="B227" s="2946" t="s">
        <v>3080</v>
      </c>
      <c r="C227" s="2946"/>
      <c r="D227" s="2946"/>
      <c r="E227" s="2946"/>
      <c r="F227" s="2946">
        <v>1520</v>
      </c>
      <c r="G227" s="2959"/>
    </row>
    <row r="228" spans="1:7" s="2780" customFormat="1" ht="14.25" customHeight="1">
      <c r="A228" s="2946" t="s">
        <v>304</v>
      </c>
      <c r="B228" s="2946" t="s">
        <v>3081</v>
      </c>
      <c r="C228" s="2946"/>
      <c r="D228" s="2946"/>
      <c r="E228" s="2946"/>
      <c r="F228" s="2946">
        <v>1520</v>
      </c>
      <c r="G228" s="2959"/>
    </row>
    <row r="229" spans="1:7" s="2780" customFormat="1" ht="14.25" customHeight="1">
      <c r="A229" s="2946" t="s">
        <v>304</v>
      </c>
      <c r="B229" s="2946" t="s">
        <v>2998</v>
      </c>
      <c r="C229" s="2946"/>
      <c r="D229" s="2946"/>
      <c r="E229" s="2946"/>
      <c r="F229" s="2946">
        <v>1520</v>
      </c>
      <c r="G229" s="2959"/>
    </row>
    <row r="230" spans="1:7" s="2780" customFormat="1" ht="14.25" customHeight="1">
      <c r="A230" s="2946" t="s">
        <v>304</v>
      </c>
      <c r="B230" s="2946" t="s">
        <v>3082</v>
      </c>
      <c r="C230" s="2946"/>
      <c r="D230" s="2946"/>
      <c r="E230" s="2946"/>
      <c r="F230" s="2946">
        <v>1820</v>
      </c>
      <c r="G230" s="2959"/>
    </row>
    <row r="231" spans="1:7" s="2780" customFormat="1" ht="14.25" customHeight="1">
      <c r="A231" s="2946" t="s">
        <v>304</v>
      </c>
      <c r="B231" s="2946" t="s">
        <v>3083</v>
      </c>
      <c r="C231" s="2946"/>
      <c r="D231" s="2946"/>
      <c r="E231" s="2946"/>
      <c r="F231" s="2946">
        <v>1760</v>
      </c>
      <c r="G231" s="2959"/>
    </row>
    <row r="232" spans="1:7" s="2780" customFormat="1" ht="14.25" customHeight="1">
      <c r="A232" s="2946" t="s">
        <v>304</v>
      </c>
      <c r="B232" s="2946" t="s">
        <v>3084</v>
      </c>
      <c r="C232" s="2946"/>
      <c r="D232" s="2946"/>
      <c r="E232" s="2946"/>
      <c r="F232" s="2946">
        <v>1840</v>
      </c>
      <c r="G232" s="2959"/>
    </row>
    <row r="233" spans="1:7" s="2780" customFormat="1" ht="14.25" customHeight="1" thickBot="1">
      <c r="A233" s="2960" t="s">
        <v>304</v>
      </c>
      <c r="B233" s="2953" t="s">
        <v>3015</v>
      </c>
      <c r="C233" s="2953"/>
      <c r="D233" s="2953"/>
      <c r="E233" s="2953"/>
      <c r="F233" s="2953">
        <v>1770</v>
      </c>
      <c r="G233" s="2961"/>
    </row>
    <row r="234" spans="1:7" s="2780" customFormat="1" ht="14.25" customHeight="1">
      <c r="A234" s="2951" t="s">
        <v>305</v>
      </c>
      <c r="B234" s="2942" t="s">
        <v>3085</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2856</v>
      </c>
      <c r="C238" s="2946">
        <v>6920</v>
      </c>
      <c r="D238" s="2946">
        <v>6890</v>
      </c>
      <c r="E238" s="2946">
        <v>8640</v>
      </c>
      <c r="F238" s="2946">
        <v>1310</v>
      </c>
      <c r="G238" s="2946">
        <v>4230</v>
      </c>
    </row>
    <row r="239" spans="1:7" s="2780" customFormat="1" ht="14.25" customHeight="1">
      <c r="A239" s="2946" t="s">
        <v>305</v>
      </c>
      <c r="B239" s="2946" t="s">
        <v>3086</v>
      </c>
      <c r="C239" s="2946">
        <v>6780</v>
      </c>
      <c r="D239" s="2946">
        <v>6750</v>
      </c>
      <c r="E239" s="2946">
        <v>8440</v>
      </c>
      <c r="F239" s="2946">
        <v>1160</v>
      </c>
      <c r="G239" s="2946">
        <v>4140</v>
      </c>
    </row>
    <row r="240" spans="1:7" s="2780" customFormat="1" ht="14.25" customHeight="1">
      <c r="A240" s="2946" t="s">
        <v>305</v>
      </c>
      <c r="B240" s="2946" t="s">
        <v>3087</v>
      </c>
      <c r="C240" s="2946">
        <v>5420</v>
      </c>
      <c r="D240" s="2946">
        <v>5380</v>
      </c>
      <c r="E240" s="2946">
        <v>6640</v>
      </c>
      <c r="F240" s="2946">
        <v>1020</v>
      </c>
      <c r="G240" s="2946">
        <v>3300</v>
      </c>
    </row>
    <row r="241" spans="1:7" s="2780" customFormat="1" ht="14.25" customHeight="1">
      <c r="A241" s="2946" t="s">
        <v>305</v>
      </c>
      <c r="B241" s="2946" t="s">
        <v>3088</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3089</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3090</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3091</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3092</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3093</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2918</v>
      </c>
      <c r="C258" s="2946">
        <v>6190</v>
      </c>
      <c r="D258" s="2946">
        <v>6160</v>
      </c>
      <c r="E258" s="2946">
        <v>7680</v>
      </c>
      <c r="F258" s="2946">
        <v>1170</v>
      </c>
      <c r="G258" s="2946">
        <v>3780</v>
      </c>
    </row>
    <row r="259" spans="1:7" s="2780" customFormat="1" ht="14.25" customHeight="1">
      <c r="A259" s="2946" t="s">
        <v>305</v>
      </c>
      <c r="B259" s="2946" t="s">
        <v>3094</v>
      </c>
      <c r="C259" s="2946">
        <v>7610</v>
      </c>
      <c r="D259" s="2946">
        <v>7570</v>
      </c>
      <c r="E259" s="2946">
        <v>9350</v>
      </c>
      <c r="F259" s="2946">
        <v>1350</v>
      </c>
      <c r="G259" s="2946">
        <v>4650</v>
      </c>
    </row>
    <row r="260" spans="1:7" s="2780" customFormat="1" ht="14.25" customHeight="1">
      <c r="A260" s="2946" t="s">
        <v>305</v>
      </c>
      <c r="B260" s="2946" t="s">
        <v>3095</v>
      </c>
      <c r="C260" s="2946">
        <v>6920</v>
      </c>
      <c r="D260" s="2946">
        <v>6880</v>
      </c>
      <c r="E260" s="2946">
        <v>8380</v>
      </c>
      <c r="F260" s="2946">
        <v>1160</v>
      </c>
      <c r="G260" s="2946">
        <v>4220</v>
      </c>
    </row>
    <row r="261" spans="1:7" s="2780" customFormat="1" ht="14.25" customHeight="1">
      <c r="A261" s="2946" t="s">
        <v>305</v>
      </c>
      <c r="B261" s="2946" t="s">
        <v>3096</v>
      </c>
      <c r="C261" s="2946">
        <v>6850</v>
      </c>
      <c r="D261" s="2946">
        <v>6810</v>
      </c>
      <c r="E261" s="2946">
        <v>8290</v>
      </c>
      <c r="F261" s="2946">
        <v>1130</v>
      </c>
      <c r="G261" s="2946">
        <v>4180</v>
      </c>
    </row>
    <row r="262" spans="1:7" s="2780" customFormat="1" ht="14.25" customHeight="1">
      <c r="A262" s="2946" t="s">
        <v>305</v>
      </c>
      <c r="B262" s="2946" t="s">
        <v>3097</v>
      </c>
      <c r="C262" s="2946">
        <v>5860</v>
      </c>
      <c r="D262" s="2946">
        <v>5820</v>
      </c>
      <c r="E262" s="2946">
        <v>7640</v>
      </c>
      <c r="F262" s="2946">
        <v>1070</v>
      </c>
      <c r="G262" s="2946">
        <v>3570</v>
      </c>
    </row>
    <row r="263" spans="1:7" s="2780" customFormat="1" ht="14.25" customHeight="1">
      <c r="A263" s="2946" t="s">
        <v>305</v>
      </c>
      <c r="B263" s="2946" t="s">
        <v>3098</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3099</v>
      </c>
      <c r="C265" s="2946"/>
      <c r="D265" s="2946"/>
      <c r="E265" s="2946"/>
      <c r="F265" s="2946">
        <v>1500</v>
      </c>
      <c r="G265" s="2946"/>
    </row>
    <row r="266" spans="1:7" s="2780" customFormat="1" ht="14.25" customHeight="1">
      <c r="A266" s="2946" t="s">
        <v>305</v>
      </c>
      <c r="B266" s="2946" t="s">
        <v>3100</v>
      </c>
      <c r="C266" s="2946"/>
      <c r="D266" s="2946"/>
      <c r="E266" s="2946"/>
      <c r="F266" s="2946">
        <v>1500</v>
      </c>
      <c r="G266" s="2946"/>
    </row>
    <row r="267" spans="1:7" s="2780" customFormat="1" ht="14.25" customHeight="1">
      <c r="A267" s="2946" t="s">
        <v>305</v>
      </c>
      <c r="B267" s="2946" t="s">
        <v>3101</v>
      </c>
      <c r="C267" s="2946"/>
      <c r="D267" s="2946"/>
      <c r="E267" s="2946"/>
      <c r="F267" s="2946">
        <v>1500</v>
      </c>
      <c r="G267" s="2946"/>
    </row>
    <row r="268" spans="1:7" s="2780" customFormat="1" ht="14.25" customHeight="1">
      <c r="A268" s="2946" t="s">
        <v>305</v>
      </c>
      <c r="B268" s="2946" t="s">
        <v>3102</v>
      </c>
      <c r="C268" s="2946"/>
      <c r="D268" s="2946"/>
      <c r="E268" s="2946"/>
      <c r="F268" s="2946">
        <v>1290</v>
      </c>
      <c r="G268" s="2946"/>
    </row>
    <row r="269" spans="1:7" s="2780" customFormat="1" ht="14.25" customHeight="1">
      <c r="A269" s="2946" t="s">
        <v>305</v>
      </c>
      <c r="B269" s="2946" t="s">
        <v>3103</v>
      </c>
      <c r="C269" s="2946"/>
      <c r="D269" s="2946"/>
      <c r="E269" s="2946"/>
      <c r="F269" s="2946">
        <v>1150</v>
      </c>
      <c r="G269" s="2946"/>
    </row>
    <row r="270" spans="1:7" s="2780" customFormat="1" ht="14.25" customHeight="1">
      <c r="A270" s="2946" t="s">
        <v>305</v>
      </c>
      <c r="B270" s="2946" t="s">
        <v>3104</v>
      </c>
      <c r="C270" s="2946"/>
      <c r="D270" s="2946"/>
      <c r="E270" s="2946"/>
      <c r="F270" s="2946">
        <v>1380</v>
      </c>
      <c r="G270" s="2946"/>
    </row>
    <row r="271" spans="1:7" s="2780" customFormat="1" ht="14.25" customHeight="1">
      <c r="A271" s="2946" t="s">
        <v>305</v>
      </c>
      <c r="B271" s="2946" t="s">
        <v>3105</v>
      </c>
      <c r="C271" s="2946"/>
      <c r="D271" s="2946"/>
      <c r="E271" s="2946"/>
      <c r="F271" s="2946">
        <v>1460</v>
      </c>
      <c r="G271" s="2946"/>
    </row>
    <row r="272" spans="1:7" s="2780" customFormat="1" ht="14.25" customHeight="1">
      <c r="A272" s="2946" t="s">
        <v>305</v>
      </c>
      <c r="B272" s="2946" t="s">
        <v>3106</v>
      </c>
      <c r="C272" s="2946"/>
      <c r="D272" s="2946"/>
      <c r="E272" s="2946"/>
      <c r="F272" s="2946">
        <v>1460</v>
      </c>
      <c r="G272" s="2946"/>
    </row>
    <row r="273" spans="1:7" s="2780" customFormat="1" ht="14.25" customHeight="1">
      <c r="A273" s="2946" t="s">
        <v>305</v>
      </c>
      <c r="B273" s="2946" t="s">
        <v>2999</v>
      </c>
      <c r="C273" s="2946"/>
      <c r="D273" s="2946"/>
      <c r="E273" s="2946"/>
      <c r="F273" s="2946">
        <v>1490</v>
      </c>
      <c r="G273" s="2946"/>
    </row>
    <row r="274" spans="1:7" s="2780" customFormat="1" ht="14.25" customHeight="1">
      <c r="A274" s="2946" t="s">
        <v>305</v>
      </c>
      <c r="B274" s="2946" t="s">
        <v>3107</v>
      </c>
      <c r="C274" s="2946"/>
      <c r="D274" s="2946"/>
      <c r="E274" s="2946"/>
      <c r="F274" s="2946">
        <v>1490</v>
      </c>
      <c r="G274" s="2946"/>
    </row>
    <row r="275" spans="1:7" s="2780" customFormat="1" ht="14.25" customHeight="1">
      <c r="A275" s="2946" t="s">
        <v>305</v>
      </c>
      <c r="B275" s="2946" t="s">
        <v>3108</v>
      </c>
      <c r="C275" s="2946"/>
      <c r="D275" s="2946"/>
      <c r="E275" s="2946"/>
      <c r="F275" s="2946">
        <v>1220</v>
      </c>
      <c r="G275" s="2946"/>
    </row>
    <row r="276" spans="1:7" s="2780" customFormat="1" ht="14.25" customHeight="1" thickBot="1">
      <c r="A276" s="2954" t="s">
        <v>305</v>
      </c>
      <c r="B276" s="2956" t="s">
        <v>3109</v>
      </c>
      <c r="C276" s="2957"/>
      <c r="D276" s="2957"/>
      <c r="E276" s="2957"/>
      <c r="F276" s="2957">
        <v>1380</v>
      </c>
      <c r="G276" s="2957"/>
    </row>
    <row r="277" spans="1:7" s="2780" customFormat="1" ht="14.25" customHeight="1">
      <c r="A277" s="2951" t="s">
        <v>306</v>
      </c>
      <c r="B277" s="2942" t="s">
        <v>3110</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3111</v>
      </c>
      <c r="C279" s="2946">
        <v>4760</v>
      </c>
      <c r="D279" s="2946">
        <v>4720</v>
      </c>
      <c r="E279" s="2946">
        <v>5540</v>
      </c>
      <c r="F279" s="2946">
        <v>810</v>
      </c>
      <c r="G279" s="2959">
        <v>2850</v>
      </c>
    </row>
    <row r="280" spans="1:7" s="2780" customFormat="1" ht="14.25" customHeight="1">
      <c r="A280" s="2946" t="s">
        <v>306</v>
      </c>
      <c r="B280" s="2946" t="s">
        <v>3112</v>
      </c>
      <c r="C280" s="2946">
        <v>4010</v>
      </c>
      <c r="D280" s="2946">
        <v>3950</v>
      </c>
      <c r="E280" s="2946">
        <v>4710</v>
      </c>
      <c r="F280" s="2946">
        <v>800</v>
      </c>
      <c r="G280" s="2959">
        <v>2390</v>
      </c>
    </row>
    <row r="281" spans="1:7" s="2780" customFormat="1" ht="14.25" customHeight="1">
      <c r="A281" s="2946" t="s">
        <v>306</v>
      </c>
      <c r="B281" s="2946" t="s">
        <v>3113</v>
      </c>
      <c r="C281" s="2946">
        <v>4480</v>
      </c>
      <c r="D281" s="2946">
        <v>4420</v>
      </c>
      <c r="E281" s="2946">
        <v>5230</v>
      </c>
      <c r="F281" s="2946">
        <v>870</v>
      </c>
      <c r="G281" s="2959">
        <v>2660</v>
      </c>
    </row>
    <row r="282" spans="1:7" s="2780" customFormat="1" ht="14.25" customHeight="1">
      <c r="A282" s="2946" t="s">
        <v>306</v>
      </c>
      <c r="B282" s="2946" t="s">
        <v>3114</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3115</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3116</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2891</v>
      </c>
      <c r="C293" s="2946">
        <v>5320</v>
      </c>
      <c r="D293" s="2946">
        <v>5270</v>
      </c>
      <c r="E293" s="2946">
        <v>6160</v>
      </c>
      <c r="F293" s="2946">
        <v>990</v>
      </c>
      <c r="G293" s="2959">
        <v>3170</v>
      </c>
    </row>
    <row r="294" spans="1:7" s="2780" customFormat="1" ht="14.25" customHeight="1">
      <c r="A294" s="2946" t="s">
        <v>306</v>
      </c>
      <c r="B294" s="2946" t="s">
        <v>3117</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2910</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3118</v>
      </c>
      <c r="C302" s="2946">
        <v>5520</v>
      </c>
      <c r="D302" s="2946">
        <v>5470</v>
      </c>
      <c r="E302" s="2946">
        <v>6410</v>
      </c>
      <c r="F302" s="2946">
        <v>950</v>
      </c>
      <c r="G302" s="2959">
        <v>3300</v>
      </c>
    </row>
    <row r="303" spans="1:7" s="2780" customFormat="1" ht="14.25" customHeight="1">
      <c r="A303" s="2946" t="s">
        <v>306</v>
      </c>
      <c r="B303" s="2946" t="s">
        <v>2930</v>
      </c>
      <c r="C303" s="2946">
        <v>5630</v>
      </c>
      <c r="D303" s="2946">
        <v>5590</v>
      </c>
      <c r="E303" s="2946">
        <v>6550</v>
      </c>
      <c r="F303" s="2946">
        <v>1010</v>
      </c>
      <c r="G303" s="2959">
        <v>3370</v>
      </c>
    </row>
    <row r="304" spans="1:7" s="2780" customFormat="1" ht="14.25" customHeight="1">
      <c r="A304" s="2946" t="s">
        <v>306</v>
      </c>
      <c r="B304" s="2946" t="s">
        <v>2937</v>
      </c>
      <c r="C304" s="2946">
        <v>5680</v>
      </c>
      <c r="D304" s="2946">
        <v>5620</v>
      </c>
      <c r="E304" s="2946">
        <v>6620</v>
      </c>
      <c r="F304" s="2946">
        <v>1050</v>
      </c>
      <c r="G304" s="2959">
        <v>3390</v>
      </c>
    </row>
    <row r="305" spans="1:7" s="2780" customFormat="1" ht="14.25" customHeight="1">
      <c r="A305" s="2946" t="s">
        <v>306</v>
      </c>
      <c r="B305" s="2946" t="s">
        <v>2943</v>
      </c>
      <c r="C305" s="2946">
        <v>5590</v>
      </c>
      <c r="D305" s="2946">
        <v>5530</v>
      </c>
      <c r="E305" s="2946">
        <v>6460</v>
      </c>
      <c r="F305" s="2946">
        <v>900</v>
      </c>
      <c r="G305" s="2959">
        <v>3340</v>
      </c>
    </row>
    <row r="306" spans="1:7" s="2780" customFormat="1" ht="14.25" customHeight="1">
      <c r="A306" s="2946" t="s">
        <v>306</v>
      </c>
      <c r="B306" s="2946" t="s">
        <v>3119</v>
      </c>
      <c r="C306" s="2946">
        <v>5560</v>
      </c>
      <c r="D306" s="2946">
        <v>5510</v>
      </c>
      <c r="E306" s="2946">
        <v>6440</v>
      </c>
      <c r="F306" s="2946">
        <v>900</v>
      </c>
      <c r="G306" s="2959">
        <v>3320</v>
      </c>
    </row>
    <row r="307" spans="1:7" s="2780" customFormat="1" ht="14.25" customHeight="1">
      <c r="A307" s="2946" t="s">
        <v>306</v>
      </c>
      <c r="B307" s="2946" t="s">
        <v>2955</v>
      </c>
      <c r="C307" s="2946">
        <v>5650</v>
      </c>
      <c r="D307" s="2946">
        <v>5600</v>
      </c>
      <c r="E307" s="2946">
        <v>6590</v>
      </c>
      <c r="F307" s="2946">
        <v>930</v>
      </c>
      <c r="G307" s="2959">
        <v>3380</v>
      </c>
    </row>
    <row r="308" spans="1:7" s="2780" customFormat="1" ht="14.25" customHeight="1">
      <c r="A308" s="2946" t="s">
        <v>306</v>
      </c>
      <c r="B308" s="2946" t="s">
        <v>3120</v>
      </c>
      <c r="C308" s="2946">
        <v>5620</v>
      </c>
      <c r="D308" s="2946">
        <v>5580</v>
      </c>
      <c r="E308" s="2946">
        <v>6540</v>
      </c>
      <c r="F308" s="2946">
        <v>910</v>
      </c>
      <c r="G308" s="2959">
        <v>3370</v>
      </c>
    </row>
    <row r="309" spans="1:7" s="2780" customFormat="1" ht="14.25" customHeight="1">
      <c r="A309" s="2946" t="s">
        <v>306</v>
      </c>
      <c r="B309" s="2946" t="s">
        <v>3121</v>
      </c>
      <c r="C309" s="2946">
        <v>5060</v>
      </c>
      <c r="D309" s="2946">
        <v>5020</v>
      </c>
      <c r="E309" s="2946">
        <v>6370</v>
      </c>
      <c r="F309" s="2946">
        <v>800</v>
      </c>
      <c r="G309" s="2959">
        <v>3020</v>
      </c>
    </row>
    <row r="310" spans="1:7" s="2780" customFormat="1" ht="14.25" customHeight="1">
      <c r="A310" s="2946" t="s">
        <v>306</v>
      </c>
      <c r="B310" s="2946" t="s">
        <v>2970</v>
      </c>
      <c r="C310" s="2946">
        <v>5150</v>
      </c>
      <c r="D310" s="2946">
        <v>5110</v>
      </c>
      <c r="E310" s="2946">
        <v>6500</v>
      </c>
      <c r="F310" s="2946">
        <v>880</v>
      </c>
      <c r="G310" s="2959">
        <v>3080</v>
      </c>
    </row>
    <row r="311" spans="1:7" s="2780" customFormat="1" ht="14.25" customHeight="1">
      <c r="A311" s="2946" t="s">
        <v>306</v>
      </c>
      <c r="B311" s="2946" t="s">
        <v>3122</v>
      </c>
      <c r="C311" s="2946">
        <v>4750</v>
      </c>
      <c r="D311" s="2946">
        <v>4710</v>
      </c>
      <c r="E311" s="2946">
        <v>5510</v>
      </c>
      <c r="F311" s="2946">
        <v>880</v>
      </c>
      <c r="G311" s="2959">
        <v>2840</v>
      </c>
    </row>
    <row r="312" spans="1:7" s="2780" customFormat="1" ht="14.25" customHeight="1">
      <c r="A312" s="2946" t="s">
        <v>306</v>
      </c>
      <c r="B312" s="2946" t="s">
        <v>2980</v>
      </c>
      <c r="C312" s="2946">
        <v>4690</v>
      </c>
      <c r="D312" s="2946">
        <v>4640</v>
      </c>
      <c r="E312" s="2946">
        <v>5420</v>
      </c>
      <c r="F312" s="2946">
        <v>800</v>
      </c>
      <c r="G312" s="2959">
        <v>2800</v>
      </c>
    </row>
    <row r="313" spans="1:7" s="2780" customFormat="1" ht="14.25" customHeight="1">
      <c r="A313" s="2946" t="s">
        <v>306</v>
      </c>
      <c r="B313" s="2946" t="s">
        <v>2985</v>
      </c>
      <c r="C313" s="2946">
        <v>4810</v>
      </c>
      <c r="D313" s="2946">
        <v>4760</v>
      </c>
      <c r="E313" s="2946">
        <v>5550</v>
      </c>
      <c r="F313" s="2946">
        <v>920</v>
      </c>
      <c r="G313" s="2959">
        <v>2870</v>
      </c>
    </row>
    <row r="314" spans="1:7" s="2780" customFormat="1" ht="14.25" customHeight="1">
      <c r="A314" s="2946" t="s">
        <v>306</v>
      </c>
      <c r="B314" s="2946" t="s">
        <v>3123</v>
      </c>
      <c r="C314" s="2946"/>
      <c r="D314" s="2946"/>
      <c r="E314" s="2946"/>
      <c r="F314" s="2946">
        <v>1020</v>
      </c>
      <c r="G314" s="2959"/>
    </row>
    <row r="315" spans="1:7" s="2780" customFormat="1" ht="14.25" customHeight="1">
      <c r="A315" s="2946" t="s">
        <v>306</v>
      </c>
      <c r="B315" s="2946" t="s">
        <v>3124</v>
      </c>
      <c r="C315" s="2946"/>
      <c r="D315" s="2946"/>
      <c r="E315" s="2946"/>
      <c r="F315" s="2946">
        <v>1050</v>
      </c>
      <c r="G315" s="2959"/>
    </row>
    <row r="316" spans="1:7" s="2780" customFormat="1" ht="14.25" customHeight="1">
      <c r="A316" s="2946" t="s">
        <v>306</v>
      </c>
      <c r="B316" s="2946" t="s">
        <v>3000</v>
      </c>
      <c r="C316" s="2946"/>
      <c r="D316" s="2946"/>
      <c r="E316" s="2946"/>
      <c r="F316" s="2946">
        <v>900</v>
      </c>
      <c r="G316" s="2959"/>
    </row>
    <row r="317" spans="1:7" s="2780" customFormat="1" ht="14.25" customHeight="1">
      <c r="A317" s="2946" t="s">
        <v>306</v>
      </c>
      <c r="B317" s="2946" t="s">
        <v>3125</v>
      </c>
      <c r="C317" s="2946"/>
      <c r="D317" s="2946"/>
      <c r="E317" s="2946"/>
      <c r="F317" s="2946">
        <v>920</v>
      </c>
      <c r="G317" s="2959"/>
    </row>
    <row r="318" spans="1:7" s="2780" customFormat="1" ht="14.25" customHeight="1">
      <c r="A318" s="2946" t="s">
        <v>306</v>
      </c>
      <c r="B318" s="2946" t="s">
        <v>3126</v>
      </c>
      <c r="C318" s="2946"/>
      <c r="D318" s="2946"/>
      <c r="E318" s="2946"/>
      <c r="F318" s="2946">
        <v>1080</v>
      </c>
      <c r="G318" s="2959"/>
    </row>
    <row r="319" spans="1:7" s="2780" customFormat="1" ht="14.25" customHeight="1">
      <c r="A319" s="2946" t="s">
        <v>306</v>
      </c>
      <c r="B319" s="2946" t="s">
        <v>3013</v>
      </c>
      <c r="C319" s="2946"/>
      <c r="D319" s="2946"/>
      <c r="E319" s="2946"/>
      <c r="F319" s="2946">
        <v>1020</v>
      </c>
      <c r="G319" s="2959"/>
    </row>
    <row r="320" spans="1:7" s="2780" customFormat="1" ht="14.25" customHeight="1">
      <c r="A320" s="2946" t="s">
        <v>306</v>
      </c>
      <c r="B320" s="2946" t="s">
        <v>3016</v>
      </c>
      <c r="C320" s="2946"/>
      <c r="D320" s="2946"/>
      <c r="E320" s="2946"/>
      <c r="F320" s="2946">
        <v>1050</v>
      </c>
      <c r="G320" s="2959"/>
    </row>
    <row r="321" spans="1:7" s="2780" customFormat="1" ht="14.25" customHeight="1">
      <c r="A321" s="2946" t="s">
        <v>306</v>
      </c>
      <c r="B321" s="2946" t="s">
        <v>3018</v>
      </c>
      <c r="C321" s="2946"/>
      <c r="D321" s="2946"/>
      <c r="E321" s="2946"/>
      <c r="F321" s="2946">
        <v>960</v>
      </c>
      <c r="G321" s="2959"/>
    </row>
    <row r="322" spans="1:7" s="2780" customFormat="1" ht="14.25" customHeight="1">
      <c r="A322" s="2946" t="s">
        <v>306</v>
      </c>
      <c r="B322" s="2946" t="s">
        <v>3020</v>
      </c>
      <c r="C322" s="2946"/>
      <c r="D322" s="2946"/>
      <c r="E322" s="2946"/>
      <c r="F322" s="2946">
        <v>960</v>
      </c>
      <c r="G322" s="2959"/>
    </row>
    <row r="323" spans="1:7" s="2780" customFormat="1" ht="14.25" customHeight="1">
      <c r="A323" s="2946" t="s">
        <v>306</v>
      </c>
      <c r="B323" s="2946" t="s">
        <v>3022</v>
      </c>
      <c r="C323" s="2946"/>
      <c r="D323" s="2946"/>
      <c r="E323" s="2946"/>
      <c r="F323" s="2946">
        <v>880</v>
      </c>
      <c r="G323" s="2959"/>
    </row>
    <row r="324" spans="1:7" s="2780" customFormat="1" ht="14.25" customHeight="1">
      <c r="A324" s="2946" t="s">
        <v>306</v>
      </c>
      <c r="B324" s="2946" t="s">
        <v>3024</v>
      </c>
      <c r="C324" s="2946"/>
      <c r="D324" s="2946"/>
      <c r="E324" s="2946"/>
      <c r="F324" s="2946">
        <v>930</v>
      </c>
      <c r="G324" s="2959"/>
    </row>
    <row r="325" spans="1:7" s="2780" customFormat="1" ht="14.25" customHeight="1">
      <c r="A325" s="2946" t="s">
        <v>306</v>
      </c>
      <c r="B325" s="2947" t="s">
        <v>3026</v>
      </c>
      <c r="C325" s="2946"/>
      <c r="D325" s="2946"/>
      <c r="E325" s="2946"/>
      <c r="F325" s="2946">
        <v>900</v>
      </c>
      <c r="G325" s="2959"/>
    </row>
    <row r="326" spans="1:7" s="2780" customFormat="1" ht="14.25" customHeight="1" thickBot="1">
      <c r="A326" s="2960" t="s">
        <v>306</v>
      </c>
      <c r="B326" s="2953" t="s">
        <v>3028</v>
      </c>
      <c r="C326" s="2953"/>
      <c r="D326" s="2953"/>
      <c r="E326" s="2953"/>
      <c r="F326" s="2953">
        <v>790</v>
      </c>
      <c r="G326" s="2961"/>
    </row>
    <row r="327" spans="1:7" s="2780" customFormat="1" ht="14.25" customHeight="1">
      <c r="A327" s="2951" t="s">
        <v>307</v>
      </c>
      <c r="B327" s="2942" t="s">
        <v>3127</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3128</v>
      </c>
      <c r="C329" s="2946">
        <v>2730</v>
      </c>
      <c r="D329" s="2946">
        <v>2690</v>
      </c>
      <c r="E329" s="2946">
        <v>3100</v>
      </c>
      <c r="F329" s="2946">
        <v>660</v>
      </c>
      <c r="G329" s="2946">
        <v>1610</v>
      </c>
    </row>
    <row r="330" spans="1:7" s="2780" customFormat="1" ht="14.25" customHeight="1">
      <c r="A330" s="2946" t="s">
        <v>307</v>
      </c>
      <c r="B330" s="2946" t="s">
        <v>3129</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2862</v>
      </c>
      <c r="C332" s="2946">
        <v>3520</v>
      </c>
      <c r="D332" s="2946">
        <v>3480</v>
      </c>
      <c r="E332" s="2946">
        <v>3830</v>
      </c>
      <c r="F332" s="2946">
        <v>720</v>
      </c>
      <c r="G332" s="2946">
        <v>2090</v>
      </c>
    </row>
    <row r="333" spans="1:7" s="2780" customFormat="1" ht="14.25" customHeight="1">
      <c r="A333" s="2946" t="s">
        <v>307</v>
      </c>
      <c r="B333" s="2946" t="s">
        <v>3130</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2872</v>
      </c>
      <c r="C336" s="2946">
        <v>3570</v>
      </c>
      <c r="D336" s="2946">
        <v>3530</v>
      </c>
      <c r="E336" s="2946">
        <v>3880</v>
      </c>
      <c r="F336" s="2946">
        <v>770</v>
      </c>
      <c r="G336" s="2946">
        <v>2110</v>
      </c>
    </row>
    <row r="337" spans="1:10" s="2780" customFormat="1" ht="14.25" customHeight="1">
      <c r="A337" s="2946" t="s">
        <v>307</v>
      </c>
      <c r="B337" s="2946" t="s">
        <v>3131</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3132</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3133</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2897</v>
      </c>
      <c r="C345" s="2946">
        <v>3190</v>
      </c>
      <c r="D345" s="2946">
        <v>3140</v>
      </c>
      <c r="E345" s="2946">
        <v>3450</v>
      </c>
      <c r="F345" s="2946">
        <v>720</v>
      </c>
      <c r="G345" s="2946">
        <v>1880</v>
      </c>
      <c r="J345" s="2780"/>
    </row>
    <row r="346" spans="1:10">
      <c r="A346" s="2946" t="s">
        <v>307</v>
      </c>
      <c r="B346" s="2946" t="s">
        <v>3134</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2906</v>
      </c>
      <c r="C348" s="2946">
        <v>4000</v>
      </c>
      <c r="D348" s="2946">
        <v>3950</v>
      </c>
      <c r="E348" s="2946">
        <v>4430</v>
      </c>
      <c r="F348" s="2946">
        <v>760</v>
      </c>
      <c r="G348" s="2946">
        <v>2360</v>
      </c>
      <c r="J348" s="2780"/>
    </row>
    <row r="349" spans="1:10">
      <c r="A349" s="2946" t="s">
        <v>307</v>
      </c>
      <c r="B349" s="2946" t="s">
        <v>2911</v>
      </c>
      <c r="C349" s="2946">
        <v>3820</v>
      </c>
      <c r="D349" s="2946">
        <v>3780</v>
      </c>
      <c r="E349" s="2946">
        <v>4170</v>
      </c>
      <c r="F349" s="2946">
        <v>710</v>
      </c>
      <c r="G349" s="2946">
        <v>2260</v>
      </c>
      <c r="J349" s="2780"/>
    </row>
    <row r="350" spans="1:10">
      <c r="A350" s="2946" t="s">
        <v>307</v>
      </c>
      <c r="B350" s="2946" t="s">
        <v>3135</v>
      </c>
      <c r="C350" s="2946">
        <v>3760</v>
      </c>
      <c r="D350" s="2946">
        <v>3730</v>
      </c>
      <c r="E350" s="2946">
        <v>4100</v>
      </c>
      <c r="F350" s="2946">
        <v>800</v>
      </c>
      <c r="G350" s="2946">
        <v>2230</v>
      </c>
      <c r="J350" s="2780"/>
    </row>
    <row r="351" spans="1:10">
      <c r="A351" s="2946" t="s">
        <v>307</v>
      </c>
      <c r="B351" s="2946" t="s">
        <v>2919</v>
      </c>
      <c r="C351" s="2946">
        <v>3610</v>
      </c>
      <c r="D351" s="2946">
        <v>3580</v>
      </c>
      <c r="E351" s="2946">
        <v>3930</v>
      </c>
      <c r="F351" s="2946">
        <v>700</v>
      </c>
      <c r="G351" s="2946">
        <v>2140</v>
      </c>
      <c r="J351" s="2780"/>
    </row>
    <row r="352" spans="1:10">
      <c r="A352" s="2946" t="s">
        <v>307</v>
      </c>
      <c r="B352" s="2946" t="s">
        <v>2924</v>
      </c>
      <c r="C352" s="2946">
        <v>3670</v>
      </c>
      <c r="D352" s="2946">
        <v>3630</v>
      </c>
      <c r="E352" s="2946">
        <v>4000</v>
      </c>
      <c r="F352" s="2946">
        <v>750</v>
      </c>
      <c r="G352" s="2946">
        <v>2180</v>
      </c>
    </row>
    <row r="353" spans="1:7" s="2781" customFormat="1">
      <c r="A353" s="2946" t="s">
        <v>307</v>
      </c>
      <c r="B353" s="2946" t="s">
        <v>3136</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2944</v>
      </c>
      <c r="C355" s="2946">
        <v>3650</v>
      </c>
      <c r="D355" s="2946">
        <v>3610</v>
      </c>
      <c r="E355" s="2946">
        <v>4200</v>
      </c>
      <c r="F355" s="2946">
        <v>640</v>
      </c>
      <c r="G355" s="2946">
        <v>2160</v>
      </c>
    </row>
    <row r="356" spans="1:7" s="2781" customFormat="1">
      <c r="A356" s="2946" t="s">
        <v>307</v>
      </c>
      <c r="B356" s="2946" t="s">
        <v>2951</v>
      </c>
      <c r="C356" s="2946">
        <v>3260</v>
      </c>
      <c r="D356" s="2946">
        <v>3230</v>
      </c>
      <c r="E356" s="2946">
        <v>3740</v>
      </c>
      <c r="F356" s="2946">
        <v>600</v>
      </c>
      <c r="G356" s="2946">
        <v>1930</v>
      </c>
    </row>
    <row r="357" spans="1:7" s="2781" customFormat="1" ht="12" thickBot="1">
      <c r="A357" s="2954" t="s">
        <v>307</v>
      </c>
      <c r="B357" s="2957" t="s">
        <v>3137</v>
      </c>
      <c r="C357" s="2957">
        <v>3690</v>
      </c>
      <c r="D357" s="2957">
        <v>3650</v>
      </c>
      <c r="E357" s="2957">
        <v>4020</v>
      </c>
      <c r="F357" s="2957">
        <v>700</v>
      </c>
      <c r="G357" s="2957">
        <v>2190</v>
      </c>
    </row>
    <row r="358" spans="1:7" s="2781" customFormat="1">
      <c r="A358" s="2951" t="s">
        <v>3138</v>
      </c>
      <c r="B358" s="2942" t="s">
        <v>3139</v>
      </c>
      <c r="C358" s="2942">
        <v>2080</v>
      </c>
      <c r="D358" s="2942">
        <v>2040</v>
      </c>
      <c r="E358" s="2942">
        <v>2010</v>
      </c>
      <c r="F358" s="2942">
        <v>530</v>
      </c>
      <c r="G358" s="2958">
        <v>1230</v>
      </c>
    </row>
    <row r="359" spans="1:7" s="2781" customFormat="1">
      <c r="A359" s="2946" t="s">
        <v>3138</v>
      </c>
      <c r="B359" s="2946" t="s">
        <v>3140</v>
      </c>
      <c r="C359" s="2946">
        <v>1850</v>
      </c>
      <c r="D359" s="2946">
        <v>1820</v>
      </c>
      <c r="E359" s="2946">
        <v>1780</v>
      </c>
      <c r="F359" s="2946">
        <v>520</v>
      </c>
      <c r="G359" s="2959">
        <v>1100</v>
      </c>
    </row>
    <row r="360" spans="1:7" s="2781" customFormat="1">
      <c r="A360" s="2946" t="s">
        <v>3138</v>
      </c>
      <c r="B360" s="2946" t="s">
        <v>3141</v>
      </c>
      <c r="C360" s="2946">
        <v>2020</v>
      </c>
      <c r="D360" s="2946">
        <v>1990</v>
      </c>
      <c r="E360" s="2946">
        <v>1950</v>
      </c>
      <c r="F360" s="2946">
        <v>500</v>
      </c>
      <c r="G360" s="2959">
        <v>1200</v>
      </c>
    </row>
    <row r="361" spans="1:7" s="2781" customFormat="1">
      <c r="A361" s="2946" t="s">
        <v>3138</v>
      </c>
      <c r="B361" s="2946" t="s">
        <v>153</v>
      </c>
      <c r="C361" s="2946">
        <v>2260</v>
      </c>
      <c r="D361" s="2946">
        <v>2220</v>
      </c>
      <c r="E361" s="2946">
        <v>2180</v>
      </c>
      <c r="F361" s="2946">
        <v>580</v>
      </c>
      <c r="G361" s="2959">
        <v>1340</v>
      </c>
    </row>
    <row r="362" spans="1:7" s="2781" customFormat="1">
      <c r="A362" s="2946" t="s">
        <v>3138</v>
      </c>
      <c r="B362" s="2946" t="s">
        <v>3142</v>
      </c>
      <c r="C362" s="2946">
        <v>2650</v>
      </c>
      <c r="D362" s="2946">
        <v>2610</v>
      </c>
      <c r="E362" s="2946">
        <v>2570</v>
      </c>
      <c r="F362" s="2946">
        <v>630</v>
      </c>
      <c r="G362" s="2959">
        <v>1570</v>
      </c>
    </row>
    <row r="363" spans="1:7" s="2781" customFormat="1">
      <c r="A363" s="2946" t="s">
        <v>3138</v>
      </c>
      <c r="B363" s="2946" t="s">
        <v>2863</v>
      </c>
      <c r="C363" s="2946">
        <v>2390</v>
      </c>
      <c r="D363" s="2946">
        <v>2360</v>
      </c>
      <c r="E363" s="2946">
        <v>2320</v>
      </c>
      <c r="F363" s="2946">
        <v>600</v>
      </c>
      <c r="G363" s="2959">
        <v>1420</v>
      </c>
    </row>
    <row r="364" spans="1:7" s="2781" customFormat="1">
      <c r="A364" s="2946" t="s">
        <v>3138</v>
      </c>
      <c r="B364" s="2946" t="s">
        <v>3143</v>
      </c>
      <c r="C364" s="2946">
        <v>2050</v>
      </c>
      <c r="D364" s="2946">
        <v>2030</v>
      </c>
      <c r="E364" s="2946">
        <v>1990</v>
      </c>
      <c r="F364" s="2946">
        <v>550</v>
      </c>
      <c r="G364" s="2959">
        <v>1220</v>
      </c>
    </row>
    <row r="365" spans="1:7" s="2781" customFormat="1">
      <c r="A365" s="2946" t="s">
        <v>3138</v>
      </c>
      <c r="B365" s="2946" t="s">
        <v>200</v>
      </c>
      <c r="C365" s="2946">
        <v>2140</v>
      </c>
      <c r="D365" s="2946">
        <v>2100</v>
      </c>
      <c r="E365" s="2946">
        <v>2060</v>
      </c>
      <c r="F365" s="2946">
        <v>540</v>
      </c>
      <c r="G365" s="2959">
        <v>1270</v>
      </c>
    </row>
    <row r="366" spans="1:7" s="2781" customFormat="1">
      <c r="A366" s="2946" t="s">
        <v>3138</v>
      </c>
      <c r="B366" s="2946" t="s">
        <v>2870</v>
      </c>
      <c r="C366" s="2946">
        <v>2410</v>
      </c>
      <c r="D366" s="2946">
        <v>2370</v>
      </c>
      <c r="E366" s="2946">
        <v>2330</v>
      </c>
      <c r="F366" s="2946">
        <v>570</v>
      </c>
      <c r="G366" s="2959">
        <v>1440</v>
      </c>
    </row>
    <row r="367" spans="1:7" s="2781" customFormat="1">
      <c r="A367" s="2946" t="s">
        <v>3138</v>
      </c>
      <c r="B367" s="2946" t="s">
        <v>3144</v>
      </c>
      <c r="C367" s="2946">
        <v>2300</v>
      </c>
      <c r="D367" s="2946">
        <v>2260</v>
      </c>
      <c r="E367" s="2946">
        <v>2220</v>
      </c>
      <c r="F367" s="2946">
        <v>560</v>
      </c>
      <c r="G367" s="2959">
        <v>1370</v>
      </c>
    </row>
    <row r="368" spans="1:7" s="2781" customFormat="1">
      <c r="A368" s="2946" t="s">
        <v>3138</v>
      </c>
      <c r="B368" s="2946" t="s">
        <v>3145</v>
      </c>
      <c r="C368" s="2946">
        <v>2430</v>
      </c>
      <c r="D368" s="2946">
        <v>2390</v>
      </c>
      <c r="E368" s="2946">
        <v>2350</v>
      </c>
      <c r="F368" s="2946">
        <v>570</v>
      </c>
      <c r="G368" s="2959">
        <v>1450</v>
      </c>
    </row>
    <row r="369" spans="1:7" s="2781" customFormat="1">
      <c r="A369" s="2946" t="s">
        <v>3138</v>
      </c>
      <c r="B369" s="2946" t="s">
        <v>214</v>
      </c>
      <c r="C369" s="2946">
        <v>2320</v>
      </c>
      <c r="D369" s="2946">
        <v>2290</v>
      </c>
      <c r="E369" s="2946">
        <v>2250</v>
      </c>
      <c r="F369" s="2946">
        <v>550</v>
      </c>
      <c r="G369" s="2959">
        <v>1380</v>
      </c>
    </row>
    <row r="370" spans="1:7" s="2781" customFormat="1">
      <c r="A370" s="2946" t="s">
        <v>3138</v>
      </c>
      <c r="B370" s="2946" t="s">
        <v>221</v>
      </c>
      <c r="C370" s="2946">
        <v>2190</v>
      </c>
      <c r="D370" s="2946">
        <v>2170</v>
      </c>
      <c r="E370" s="2946">
        <v>2130</v>
      </c>
      <c r="F370" s="2946">
        <v>530</v>
      </c>
      <c r="G370" s="2959">
        <v>1310</v>
      </c>
    </row>
    <row r="371" spans="1:7" s="2781" customFormat="1">
      <c r="A371" s="2946" t="s">
        <v>3138</v>
      </c>
      <c r="B371" s="2946" t="s">
        <v>229</v>
      </c>
      <c r="C371" s="2946">
        <v>2460</v>
      </c>
      <c r="D371" s="2946">
        <v>2420</v>
      </c>
      <c r="E371" s="2946">
        <v>2370</v>
      </c>
      <c r="F371" s="2946">
        <v>560</v>
      </c>
      <c r="G371" s="2959">
        <v>1470</v>
      </c>
    </row>
    <row r="372" spans="1:7" s="2781" customFormat="1">
      <c r="A372" s="2946" t="s">
        <v>3138</v>
      </c>
      <c r="B372" s="2946" t="s">
        <v>3146</v>
      </c>
      <c r="C372" s="2946">
        <v>2250</v>
      </c>
      <c r="D372" s="2946">
        <v>2210</v>
      </c>
      <c r="E372" s="2946">
        <v>2180</v>
      </c>
      <c r="F372" s="2946">
        <v>550</v>
      </c>
      <c r="G372" s="2959">
        <v>1340</v>
      </c>
    </row>
    <row r="373" spans="1:7" s="2781" customFormat="1">
      <c r="A373" s="2946" t="s">
        <v>3138</v>
      </c>
      <c r="B373" s="2946" t="s">
        <v>258</v>
      </c>
      <c r="C373" s="2946">
        <v>2210</v>
      </c>
      <c r="D373" s="2946">
        <v>2190</v>
      </c>
      <c r="E373" s="2946">
        <v>2150</v>
      </c>
      <c r="F373" s="2946">
        <v>530</v>
      </c>
      <c r="G373" s="2959">
        <v>1320</v>
      </c>
    </row>
    <row r="374" spans="1:7" s="2781" customFormat="1">
      <c r="A374" s="2946" t="s">
        <v>3138</v>
      </c>
      <c r="B374" s="2946" t="s">
        <v>266</v>
      </c>
      <c r="C374" s="2946">
        <v>2320</v>
      </c>
      <c r="D374" s="2946">
        <v>2280</v>
      </c>
      <c r="E374" s="2946">
        <v>2230</v>
      </c>
      <c r="F374" s="2946">
        <v>580</v>
      </c>
      <c r="G374" s="2959">
        <v>1380</v>
      </c>
    </row>
    <row r="375" spans="1:7" s="2781" customFormat="1">
      <c r="A375" s="2946" t="s">
        <v>3138</v>
      </c>
      <c r="B375" s="2946" t="s">
        <v>3147</v>
      </c>
      <c r="C375" s="2946">
        <v>2090</v>
      </c>
      <c r="D375" s="2946">
        <v>2050</v>
      </c>
      <c r="E375" s="2946">
        <v>2020</v>
      </c>
      <c r="F375" s="2946">
        <v>520</v>
      </c>
      <c r="G375" s="2959">
        <v>1240</v>
      </c>
    </row>
    <row r="376" spans="1:7" s="2781" customFormat="1">
      <c r="A376" s="2946" t="s">
        <v>3138</v>
      </c>
      <c r="B376" s="2946" t="s">
        <v>277</v>
      </c>
      <c r="C376" s="2946">
        <v>2010</v>
      </c>
      <c r="D376" s="2946">
        <v>1980</v>
      </c>
      <c r="E376" s="2946">
        <v>1940</v>
      </c>
      <c r="F376" s="2946">
        <v>540</v>
      </c>
      <c r="G376" s="2959">
        <v>1190</v>
      </c>
    </row>
    <row r="377" spans="1:7" s="2781" customFormat="1" ht="12" thickBot="1">
      <c r="A377" s="2954" t="s">
        <v>3138</v>
      </c>
      <c r="B377" s="2957" t="s">
        <v>2900</v>
      </c>
      <c r="C377" s="2957">
        <v>1930</v>
      </c>
      <c r="D377" s="2957">
        <v>1890</v>
      </c>
      <c r="E377" s="2957">
        <v>1860</v>
      </c>
      <c r="F377" s="2957">
        <v>530</v>
      </c>
      <c r="G377" s="2962">
        <v>1150</v>
      </c>
    </row>
    <row r="378" spans="1:7" s="2781" customFormat="1">
      <c r="A378" s="2963" t="s">
        <v>3148</v>
      </c>
      <c r="B378" s="2942" t="s">
        <v>3149</v>
      </c>
      <c r="C378" s="2942">
        <v>1520</v>
      </c>
      <c r="D378" s="2942">
        <v>1490</v>
      </c>
      <c r="E378" s="2942">
        <v>1460</v>
      </c>
      <c r="F378" s="2942">
        <v>460</v>
      </c>
      <c r="G378" s="2958">
        <v>940</v>
      </c>
    </row>
    <row r="379" spans="1:7" s="2781" customFormat="1">
      <c r="A379" s="2964" t="s">
        <v>3148</v>
      </c>
      <c r="B379" s="2946" t="s">
        <v>3150</v>
      </c>
      <c r="C379" s="2946">
        <v>1500</v>
      </c>
      <c r="D379" s="2946">
        <v>1470</v>
      </c>
      <c r="E379" s="2946">
        <v>1430</v>
      </c>
      <c r="F379" s="2946">
        <v>460</v>
      </c>
      <c r="G379" s="2959">
        <v>920</v>
      </c>
    </row>
    <row r="380" spans="1:7" s="2781" customFormat="1">
      <c r="A380" s="2964" t="s">
        <v>3148</v>
      </c>
      <c r="B380" s="2946" t="s">
        <v>3151</v>
      </c>
      <c r="C380" s="2946">
        <v>1620</v>
      </c>
      <c r="D380" s="2946">
        <v>1590</v>
      </c>
      <c r="E380" s="2946">
        <v>1560</v>
      </c>
      <c r="F380" s="2946">
        <v>480</v>
      </c>
      <c r="G380" s="2959">
        <v>1000</v>
      </c>
    </row>
    <row r="381" spans="1:7" s="2781" customFormat="1">
      <c r="A381" s="2964" t="s">
        <v>3148</v>
      </c>
      <c r="B381" s="2946" t="s">
        <v>3152</v>
      </c>
      <c r="C381" s="2946">
        <v>1460</v>
      </c>
      <c r="D381" s="2946">
        <v>1430</v>
      </c>
      <c r="E381" s="2946">
        <v>1390</v>
      </c>
      <c r="F381" s="2946">
        <v>450</v>
      </c>
      <c r="G381" s="2959">
        <v>900</v>
      </c>
    </row>
    <row r="382" spans="1:7" s="2781" customFormat="1">
      <c r="A382" s="2964" t="s">
        <v>3148</v>
      </c>
      <c r="B382" s="2946" t="s">
        <v>3153</v>
      </c>
      <c r="C382" s="2946">
        <v>1310</v>
      </c>
      <c r="D382" s="2946">
        <v>1280</v>
      </c>
      <c r="E382" s="2946">
        <v>1250</v>
      </c>
      <c r="F382" s="2946">
        <v>440</v>
      </c>
      <c r="G382" s="2959">
        <v>800</v>
      </c>
    </row>
    <row r="383" spans="1:7" s="2781" customFormat="1">
      <c r="A383" s="2964" t="s">
        <v>3148</v>
      </c>
      <c r="B383" s="2946" t="s">
        <v>3154</v>
      </c>
      <c r="C383" s="2946">
        <v>1260</v>
      </c>
      <c r="D383" s="2946">
        <v>1230</v>
      </c>
      <c r="E383" s="2946">
        <v>1200</v>
      </c>
      <c r="F383" s="2946">
        <v>420</v>
      </c>
      <c r="G383" s="2959">
        <v>770</v>
      </c>
    </row>
    <row r="384" spans="1:7" s="2781" customFormat="1" ht="12" thickBot="1">
      <c r="A384" s="2965" t="s">
        <v>3148</v>
      </c>
      <c r="B384" s="2953" t="s">
        <v>3155</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535" t="s">
        <v>3156</v>
      </c>
      <c r="B1" s="3535"/>
    </row>
    <row r="2" spans="1:7" ht="14.25" thickBot="1">
      <c r="A2" s="2967"/>
      <c r="B2" s="2967"/>
    </row>
    <row r="3" spans="1:7" ht="14.25" thickBot="1">
      <c r="A3" s="2967"/>
      <c r="B3" s="2967"/>
      <c r="C3" s="2968" t="s">
        <v>2786</v>
      </c>
      <c r="D3" s="2968" t="s">
        <v>2842</v>
      </c>
      <c r="E3" s="2968" t="s">
        <v>2788</v>
      </c>
      <c r="F3" s="2968" t="s">
        <v>2843</v>
      </c>
      <c r="G3" s="2968" t="s">
        <v>2606</v>
      </c>
    </row>
    <row r="4" spans="1:7" ht="14.25" thickBot="1">
      <c r="A4" s="2969" t="s">
        <v>2841</v>
      </c>
      <c r="B4" s="2970" t="s">
        <v>2847</v>
      </c>
      <c r="C4" s="2968"/>
      <c r="D4" s="2968"/>
      <c r="E4" s="2968"/>
      <c r="F4" s="2968"/>
      <c r="G4" s="2968"/>
    </row>
    <row r="5" spans="1:7">
      <c r="A5" s="2971" t="s">
        <v>2815</v>
      </c>
      <c r="B5" s="2972" t="s">
        <v>2829</v>
      </c>
      <c r="C5" s="2973">
        <v>9.8000000000000004E-2</v>
      </c>
      <c r="D5" s="2973">
        <v>8.6999999999999994E-2</v>
      </c>
      <c r="E5" s="2973">
        <v>8.6999999999999994E-2</v>
      </c>
      <c r="F5" s="2973">
        <v>9.8000000000000004E-2</v>
      </c>
      <c r="G5" s="2974">
        <v>9.5000000000000001E-2</v>
      </c>
    </row>
    <row r="6" spans="1:7">
      <c r="A6" s="2975" t="s">
        <v>144</v>
      </c>
      <c r="B6" s="2976" t="s">
        <v>2844</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2830</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2880</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2898</v>
      </c>
      <c r="C29" s="2985"/>
      <c r="D29" s="2981">
        <v>5.1999999999999998E-2</v>
      </c>
      <c r="E29" s="2981">
        <v>7.0000000000000007E-2</v>
      </c>
      <c r="F29" s="2985"/>
      <c r="G29" s="2983">
        <v>7.0999999999999994E-2</v>
      </c>
    </row>
    <row r="30" spans="1:7">
      <c r="A30" s="2986" t="s">
        <v>296</v>
      </c>
      <c r="B30" s="2972" t="s">
        <v>2831</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2817</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2901</v>
      </c>
      <c r="C50" s="2977">
        <v>9.8000000000000004E-2</v>
      </c>
      <c r="D50" s="2977">
        <v>7.2999999999999995E-2</v>
      </c>
      <c r="E50" s="2977">
        <v>7.0999999999999994E-2</v>
      </c>
      <c r="F50" s="2988"/>
      <c r="G50" s="2978">
        <v>7.2999999999999995E-2</v>
      </c>
    </row>
    <row r="51" spans="1:7">
      <c r="A51" s="2987" t="s">
        <v>296</v>
      </c>
      <c r="B51" s="2976" t="s">
        <v>2903</v>
      </c>
      <c r="C51" s="2977">
        <v>9.9000000000000005E-2</v>
      </c>
      <c r="D51" s="2977">
        <v>8.5000000000000006E-2</v>
      </c>
      <c r="E51" s="2977">
        <v>6.3E-2</v>
      </c>
      <c r="F51" s="2988"/>
      <c r="G51" s="2978">
        <v>9.6000000000000002E-2</v>
      </c>
    </row>
    <row r="52" spans="1:7">
      <c r="A52" s="2987" t="s">
        <v>296</v>
      </c>
      <c r="B52" s="2976" t="s">
        <v>2907</v>
      </c>
      <c r="C52" s="2977">
        <v>7.3999999999999996E-2</v>
      </c>
      <c r="D52" s="2977">
        <v>9.6000000000000002E-2</v>
      </c>
      <c r="E52" s="2977">
        <v>0.05</v>
      </c>
      <c r="F52" s="2988"/>
      <c r="G52" s="2978">
        <v>9.8000000000000004E-2</v>
      </c>
    </row>
    <row r="53" spans="1:7">
      <c r="A53" s="2987" t="s">
        <v>296</v>
      </c>
      <c r="B53" s="2976" t="s">
        <v>2912</v>
      </c>
      <c r="C53" s="2977">
        <v>8.5999999999999993E-2</v>
      </c>
      <c r="D53" s="2988"/>
      <c r="E53" s="2977">
        <v>9.1999999999999998E-2</v>
      </c>
      <c r="F53" s="2988"/>
      <c r="G53" s="2989"/>
    </row>
    <row r="54" spans="1:7" ht="14.25" thickBot="1">
      <c r="A54" s="2990" t="s">
        <v>296</v>
      </c>
      <c r="B54" s="2980" t="s">
        <v>2915</v>
      </c>
      <c r="C54" s="2981">
        <v>9.6000000000000002E-2</v>
      </c>
      <c r="D54" s="2982"/>
      <c r="E54" s="2991"/>
      <c r="F54" s="2982"/>
      <c r="G54" s="2992"/>
    </row>
    <row r="55" spans="1:7">
      <c r="A55" s="2986" t="s">
        <v>110</v>
      </c>
      <c r="B55" s="2972" t="s">
        <v>2832</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2913</v>
      </c>
      <c r="C78" s="2977">
        <v>0.1</v>
      </c>
      <c r="D78" s="2977">
        <v>8.5000000000000006E-2</v>
      </c>
      <c r="E78" s="2977">
        <v>9.6000000000000002E-2</v>
      </c>
      <c r="F78" s="2988"/>
      <c r="G78" s="2978">
        <v>9.6000000000000002E-2</v>
      </c>
    </row>
    <row r="79" spans="1:7">
      <c r="A79" s="2987" t="s">
        <v>110</v>
      </c>
      <c r="B79" s="2976" t="s">
        <v>2916</v>
      </c>
      <c r="C79" s="2977">
        <v>0.05</v>
      </c>
      <c r="D79" s="2977">
        <v>9.6000000000000002E-2</v>
      </c>
      <c r="E79" s="2977">
        <v>9.5000000000000001E-2</v>
      </c>
      <c r="F79" s="2988"/>
      <c r="G79" s="2978">
        <v>9.8000000000000004E-2</v>
      </c>
    </row>
    <row r="80" spans="1:7">
      <c r="A80" s="2987" t="s">
        <v>110</v>
      </c>
      <c r="B80" s="2976" t="s">
        <v>2920</v>
      </c>
      <c r="C80" s="2977">
        <v>8.5999999999999993E-2</v>
      </c>
      <c r="D80" s="2993"/>
      <c r="E80" s="2977">
        <v>0.1</v>
      </c>
      <c r="F80" s="2988"/>
      <c r="G80" s="2989"/>
    </row>
    <row r="81" spans="1:7">
      <c r="A81" s="2987" t="s">
        <v>110</v>
      </c>
      <c r="B81" s="2976" t="s">
        <v>2925</v>
      </c>
      <c r="C81" s="2977">
        <v>9.6000000000000002E-2</v>
      </c>
      <c r="D81" s="2988"/>
      <c r="E81" s="2977">
        <v>9.8000000000000004E-2</v>
      </c>
      <c r="F81" s="2988"/>
      <c r="G81" s="2989"/>
    </row>
    <row r="82" spans="1:7">
      <c r="A82" s="2987" t="s">
        <v>110</v>
      </c>
      <c r="B82" s="2976" t="s">
        <v>2932</v>
      </c>
      <c r="C82" s="2993"/>
      <c r="D82" s="2988"/>
      <c r="E82" s="2977">
        <v>7.6999999999999999E-2</v>
      </c>
      <c r="F82" s="2988"/>
      <c r="G82" s="2989"/>
    </row>
    <row r="83" spans="1:7">
      <c r="A83" s="2987" t="s">
        <v>110</v>
      </c>
      <c r="B83" s="2976" t="s">
        <v>2938</v>
      </c>
      <c r="C83" s="2988"/>
      <c r="D83" s="2988"/>
      <c r="E83" s="2988"/>
      <c r="F83" s="2977">
        <v>0.1</v>
      </c>
      <c r="G83" s="2994"/>
    </row>
    <row r="84" spans="1:7">
      <c r="A84" s="2987" t="s">
        <v>110</v>
      </c>
      <c r="B84" s="2976" t="s">
        <v>2945</v>
      </c>
      <c r="C84" s="2988"/>
      <c r="D84" s="2988"/>
      <c r="E84" s="2988"/>
      <c r="F84" s="2977">
        <v>0.1</v>
      </c>
      <c r="G84" s="2994"/>
    </row>
    <row r="85" spans="1:7">
      <c r="A85" s="2987" t="s">
        <v>110</v>
      </c>
      <c r="B85" s="2976" t="s">
        <v>2952</v>
      </c>
      <c r="C85" s="2988"/>
      <c r="D85" s="2988"/>
      <c r="E85" s="2988"/>
      <c r="F85" s="2977">
        <v>0.1</v>
      </c>
      <c r="G85" s="2994"/>
    </row>
    <row r="86" spans="1:7" ht="14.25" thickBot="1">
      <c r="A86" s="2990" t="s">
        <v>110</v>
      </c>
      <c r="B86" s="2980" t="s">
        <v>2957</v>
      </c>
      <c r="C86" s="2981">
        <v>9.8000000000000004E-2</v>
      </c>
      <c r="D86" s="2981">
        <v>9.8000000000000004E-2</v>
      </c>
      <c r="E86" s="2981">
        <v>9.6000000000000002E-2</v>
      </c>
      <c r="F86" s="2991"/>
      <c r="G86" s="2983">
        <v>0.1</v>
      </c>
    </row>
    <row r="87" spans="1:7">
      <c r="A87" s="2986" t="s">
        <v>303</v>
      </c>
      <c r="B87" s="2972" t="s">
        <v>2833</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2926</v>
      </c>
      <c r="C113" s="2977">
        <v>0.1</v>
      </c>
      <c r="D113" s="2977">
        <v>0.1</v>
      </c>
      <c r="E113" s="2988"/>
      <c r="F113" s="2988"/>
      <c r="G113" s="2978">
        <v>0.1</v>
      </c>
    </row>
    <row r="114" spans="1:7">
      <c r="A114" s="2987" t="s">
        <v>303</v>
      </c>
      <c r="B114" s="2976" t="s">
        <v>2933</v>
      </c>
      <c r="C114" s="2977">
        <v>9.7000000000000003E-2</v>
      </c>
      <c r="D114" s="2977">
        <v>9.7000000000000003E-2</v>
      </c>
      <c r="E114" s="2988"/>
      <c r="F114" s="2988"/>
      <c r="G114" s="2978">
        <v>9.9000000000000005E-2</v>
      </c>
    </row>
    <row r="115" spans="1:7">
      <c r="A115" s="2987" t="s">
        <v>303</v>
      </c>
      <c r="B115" s="2976" t="s">
        <v>2939</v>
      </c>
      <c r="C115" s="2977">
        <v>0.1</v>
      </c>
      <c r="D115" s="2977">
        <v>0.1</v>
      </c>
      <c r="E115" s="2988"/>
      <c r="F115" s="2988"/>
      <c r="G115" s="2978">
        <v>0.1</v>
      </c>
    </row>
    <row r="116" spans="1:7">
      <c r="A116" s="2987" t="s">
        <v>303</v>
      </c>
      <c r="B116" s="2976" t="s">
        <v>2946</v>
      </c>
      <c r="C116" s="2977">
        <v>0.1</v>
      </c>
      <c r="D116" s="2977">
        <v>0.1</v>
      </c>
      <c r="E116" s="2988"/>
      <c r="F116" s="2988"/>
      <c r="G116" s="2978">
        <v>0.1</v>
      </c>
    </row>
    <row r="117" spans="1:7">
      <c r="A117" s="2987" t="s">
        <v>303</v>
      </c>
      <c r="B117" s="2976" t="s">
        <v>2953</v>
      </c>
      <c r="C117" s="2977">
        <v>9.7000000000000003E-2</v>
      </c>
      <c r="D117" s="2977">
        <v>9.7000000000000003E-2</v>
      </c>
      <c r="E117" s="2988"/>
      <c r="F117" s="2988"/>
      <c r="G117" s="2978">
        <v>9.7000000000000003E-2</v>
      </c>
    </row>
    <row r="118" spans="1:7">
      <c r="A118" s="2987" t="s">
        <v>303</v>
      </c>
      <c r="B118" s="2976" t="s">
        <v>2958</v>
      </c>
      <c r="C118" s="2977">
        <v>0.1</v>
      </c>
      <c r="D118" s="2977">
        <v>0.1</v>
      </c>
      <c r="E118" s="2988"/>
      <c r="F118" s="2988"/>
      <c r="G118" s="2978">
        <v>0.1</v>
      </c>
    </row>
    <row r="119" spans="1:7">
      <c r="A119" s="2987" t="s">
        <v>303</v>
      </c>
      <c r="B119" s="2976" t="s">
        <v>2962</v>
      </c>
      <c r="C119" s="2977">
        <v>5.0999999999999997E-2</v>
      </c>
      <c r="D119" s="2977">
        <v>5.1999999999999998E-2</v>
      </c>
      <c r="E119" s="2988"/>
      <c r="F119" s="2993"/>
      <c r="G119" s="2978">
        <v>0.06</v>
      </c>
    </row>
    <row r="120" spans="1:7">
      <c r="A120" s="2987" t="s">
        <v>303</v>
      </c>
      <c r="B120" s="2976" t="s">
        <v>2966</v>
      </c>
      <c r="C120" s="2988"/>
      <c r="D120" s="2988"/>
      <c r="E120" s="2988"/>
      <c r="F120" s="2977">
        <v>0.1</v>
      </c>
      <c r="G120" s="2994"/>
    </row>
    <row r="121" spans="1:7">
      <c r="A121" s="2987" t="s">
        <v>303</v>
      </c>
      <c r="B121" s="2976" t="s">
        <v>2971</v>
      </c>
      <c r="C121" s="2988"/>
      <c r="D121" s="2988"/>
      <c r="E121" s="2988"/>
      <c r="F121" s="2977">
        <v>0.1</v>
      </c>
      <c r="G121" s="2994"/>
    </row>
    <row r="122" spans="1:7">
      <c r="A122" s="2987" t="s">
        <v>303</v>
      </c>
      <c r="B122" s="2976" t="s">
        <v>2976</v>
      </c>
      <c r="C122" s="2977">
        <v>0.1</v>
      </c>
      <c r="D122" s="2977">
        <v>0.1</v>
      </c>
      <c r="E122" s="2977">
        <v>9.8000000000000004E-2</v>
      </c>
      <c r="F122" s="2977">
        <v>0.1</v>
      </c>
      <c r="G122" s="2978">
        <v>0.1</v>
      </c>
    </row>
    <row r="123" spans="1:7">
      <c r="A123" s="2987" t="s">
        <v>303</v>
      </c>
      <c r="B123" s="2976" t="s">
        <v>2981</v>
      </c>
      <c r="C123" s="2977">
        <v>0.1</v>
      </c>
      <c r="D123" s="2977">
        <v>0.1</v>
      </c>
      <c r="E123" s="2977">
        <v>9.8000000000000004E-2</v>
      </c>
      <c r="F123" s="2977">
        <v>0.1</v>
      </c>
      <c r="G123" s="2978">
        <v>0.1</v>
      </c>
    </row>
    <row r="124" spans="1:7">
      <c r="A124" s="2987" t="s">
        <v>303</v>
      </c>
      <c r="B124" s="2976" t="s">
        <v>2986</v>
      </c>
      <c r="C124" s="2977">
        <v>0.1</v>
      </c>
      <c r="D124" s="2977">
        <v>0.1</v>
      </c>
      <c r="E124" s="2977">
        <v>9.8000000000000004E-2</v>
      </c>
      <c r="F124" s="2993"/>
      <c r="G124" s="2978">
        <v>0.1</v>
      </c>
    </row>
    <row r="125" spans="1:7">
      <c r="A125" s="2987" t="s">
        <v>303</v>
      </c>
      <c r="B125" s="2976" t="s">
        <v>2991</v>
      </c>
      <c r="C125" s="2977">
        <v>9.8000000000000004E-2</v>
      </c>
      <c r="D125" s="2977">
        <v>9.8000000000000004E-2</v>
      </c>
      <c r="E125" s="2977">
        <v>9.6000000000000002E-2</v>
      </c>
      <c r="F125" s="2993"/>
      <c r="G125" s="2978">
        <v>0.1</v>
      </c>
    </row>
    <row r="126" spans="1:7" ht="14.25" thickBot="1">
      <c r="A126" s="2990" t="s">
        <v>303</v>
      </c>
      <c r="B126" s="2980" t="s">
        <v>3157</v>
      </c>
      <c r="C126" s="2981">
        <v>0.1</v>
      </c>
      <c r="D126" s="2981">
        <v>0.1</v>
      </c>
      <c r="E126" s="2981">
        <v>9.8000000000000004E-2</v>
      </c>
      <c r="F126" s="2981">
        <v>0.1</v>
      </c>
      <c r="G126" s="2983">
        <v>0.1</v>
      </c>
    </row>
    <row r="127" spans="1:7">
      <c r="A127" s="2986" t="s">
        <v>29</v>
      </c>
      <c r="B127" s="2972" t="s">
        <v>2834</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2904</v>
      </c>
      <c r="C148" s="2977">
        <v>0.13</v>
      </c>
      <c r="D148" s="2977">
        <v>0.13</v>
      </c>
      <c r="E148" s="2977">
        <v>0.13</v>
      </c>
      <c r="F148" s="2988"/>
      <c r="G148" s="2978">
        <v>0.13</v>
      </c>
    </row>
    <row r="149" spans="1:7">
      <c r="A149" s="2987" t="s">
        <v>29</v>
      </c>
      <c r="B149" s="2976" t="s">
        <v>2908</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2927</v>
      </c>
      <c r="C153" s="2977">
        <v>0.13</v>
      </c>
      <c r="D153" s="2977">
        <v>0.13</v>
      </c>
      <c r="E153" s="2977">
        <v>0.13</v>
      </c>
      <c r="F153" s="2977">
        <v>0.13</v>
      </c>
      <c r="G153" s="2978">
        <v>0.13</v>
      </c>
    </row>
    <row r="154" spans="1:7">
      <c r="A154" s="2987" t="s">
        <v>29</v>
      </c>
      <c r="B154" s="2976" t="s">
        <v>2934</v>
      </c>
      <c r="C154" s="2977">
        <v>0.121</v>
      </c>
      <c r="D154" s="2977">
        <v>0.121</v>
      </c>
      <c r="E154" s="2977">
        <v>0.105</v>
      </c>
      <c r="F154" s="2977">
        <v>0.121</v>
      </c>
      <c r="G154" s="2978">
        <v>0.123</v>
      </c>
    </row>
    <row r="155" spans="1:7">
      <c r="A155" s="2987" t="s">
        <v>29</v>
      </c>
      <c r="B155" s="2976" t="s">
        <v>2940</v>
      </c>
      <c r="C155" s="2977">
        <v>0.1</v>
      </c>
      <c r="D155" s="2977">
        <v>0.1</v>
      </c>
      <c r="E155" s="2977">
        <v>0.1</v>
      </c>
      <c r="F155" s="2977">
        <v>0.1</v>
      </c>
      <c r="G155" s="2978">
        <v>0.1</v>
      </c>
    </row>
    <row r="156" spans="1:7">
      <c r="A156" s="2987" t="s">
        <v>29</v>
      </c>
      <c r="B156" s="2976" t="s">
        <v>2947</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2967</v>
      </c>
      <c r="C160" s="2977">
        <v>0.13</v>
      </c>
      <c r="D160" s="2977">
        <v>0.13</v>
      </c>
      <c r="E160" s="2977">
        <v>0.124</v>
      </c>
      <c r="F160" s="2977">
        <v>0.126</v>
      </c>
      <c r="G160" s="2978">
        <v>0.13</v>
      </c>
    </row>
    <row r="161" spans="1:7">
      <c r="A161" s="2987" t="s">
        <v>29</v>
      </c>
      <c r="B161" s="2976" t="s">
        <v>2972</v>
      </c>
      <c r="C161" s="2977">
        <v>0.13</v>
      </c>
      <c r="D161" s="2977">
        <v>0.13</v>
      </c>
      <c r="E161" s="2977">
        <v>0.124</v>
      </c>
      <c r="F161" s="2977">
        <v>0.127</v>
      </c>
      <c r="G161" s="2978">
        <v>0.13</v>
      </c>
    </row>
    <row r="162" spans="1:7">
      <c r="A162" s="2987" t="s">
        <v>29</v>
      </c>
      <c r="B162" s="2976" t="s">
        <v>2977</v>
      </c>
      <c r="C162" s="2977">
        <v>0.1</v>
      </c>
      <c r="D162" s="2977">
        <v>0.1</v>
      </c>
      <c r="E162" s="2977">
        <v>0.1</v>
      </c>
      <c r="F162" s="2977">
        <v>0.121</v>
      </c>
      <c r="G162" s="2978">
        <v>0.105</v>
      </c>
    </row>
    <row r="163" spans="1:7">
      <c r="A163" s="2987" t="s">
        <v>29</v>
      </c>
      <c r="B163" s="2976" t="s">
        <v>2982</v>
      </c>
      <c r="C163" s="2977">
        <v>0.1</v>
      </c>
      <c r="D163" s="2977">
        <v>0.1</v>
      </c>
      <c r="E163" s="2977">
        <v>0.1</v>
      </c>
      <c r="F163" s="2977">
        <v>0.1</v>
      </c>
      <c r="G163" s="2978">
        <v>0.1</v>
      </c>
    </row>
    <row r="164" spans="1:7">
      <c r="A164" s="2987" t="s">
        <v>29</v>
      </c>
      <c r="B164" s="2976" t="s">
        <v>2987</v>
      </c>
      <c r="C164" s="2993"/>
      <c r="D164" s="2993"/>
      <c r="E164" s="2993"/>
      <c r="F164" s="2977">
        <v>0.1</v>
      </c>
      <c r="G164" s="2989"/>
    </row>
    <row r="165" spans="1:7">
      <c r="A165" s="2987" t="s">
        <v>29</v>
      </c>
      <c r="B165" s="2976" t="s">
        <v>3158</v>
      </c>
      <c r="C165" s="2977">
        <v>0.126</v>
      </c>
      <c r="D165" s="2977">
        <v>0.126</v>
      </c>
      <c r="E165" s="2977">
        <v>0.11899999999999999</v>
      </c>
      <c r="F165" s="2977">
        <v>0.13</v>
      </c>
      <c r="G165" s="2978">
        <v>0.128</v>
      </c>
    </row>
    <row r="166" spans="1:7">
      <c r="A166" s="2987" t="s">
        <v>29</v>
      </c>
      <c r="B166" s="2976" t="s">
        <v>2997</v>
      </c>
      <c r="C166" s="2977">
        <v>0.129</v>
      </c>
      <c r="D166" s="2977">
        <v>0.129</v>
      </c>
      <c r="E166" s="2977">
        <v>0.123</v>
      </c>
      <c r="F166" s="2977">
        <v>0.128</v>
      </c>
      <c r="G166" s="2978">
        <v>0.13</v>
      </c>
    </row>
    <row r="167" spans="1:7">
      <c r="A167" s="2987" t="s">
        <v>29</v>
      </c>
      <c r="B167" s="2976" t="s">
        <v>3001</v>
      </c>
      <c r="C167" s="2977">
        <v>0.125</v>
      </c>
      <c r="D167" s="2977">
        <v>0.125</v>
      </c>
      <c r="E167" s="2977">
        <v>0.11700000000000001</v>
      </c>
      <c r="F167" s="2977">
        <v>0.13</v>
      </c>
      <c r="G167" s="2978">
        <v>0.126</v>
      </c>
    </row>
    <row r="168" spans="1:7">
      <c r="A168" s="2987" t="s">
        <v>29</v>
      </c>
      <c r="B168" s="2976" t="s">
        <v>3006</v>
      </c>
      <c r="C168" s="2977">
        <v>0.128</v>
      </c>
      <c r="D168" s="2977">
        <v>0.128</v>
      </c>
      <c r="E168" s="2977">
        <v>0.123</v>
      </c>
      <c r="F168" s="2988"/>
      <c r="G168" s="2978">
        <v>0.13</v>
      </c>
    </row>
    <row r="169" spans="1:7">
      <c r="A169" s="2987" t="s">
        <v>29</v>
      </c>
      <c r="B169" s="2976" t="s">
        <v>3159</v>
      </c>
      <c r="C169" s="2993"/>
      <c r="D169" s="2993"/>
      <c r="E169" s="2993"/>
      <c r="F169" s="2977">
        <v>0.05</v>
      </c>
      <c r="G169" s="2989"/>
    </row>
    <row r="170" spans="1:7">
      <c r="A170" s="2987" t="s">
        <v>29</v>
      </c>
      <c r="B170" s="2976" t="s">
        <v>3160</v>
      </c>
      <c r="C170" s="2993"/>
      <c r="D170" s="2993"/>
      <c r="E170" s="2993"/>
      <c r="F170" s="2977">
        <v>0.05</v>
      </c>
      <c r="G170" s="2989"/>
    </row>
    <row r="171" spans="1:7">
      <c r="A171" s="2987" t="s">
        <v>29</v>
      </c>
      <c r="B171" s="2976" t="s">
        <v>3161</v>
      </c>
      <c r="C171" s="2993"/>
      <c r="D171" s="2993"/>
      <c r="E171" s="2993"/>
      <c r="F171" s="2977">
        <v>0.05</v>
      </c>
      <c r="G171" s="2994"/>
    </row>
    <row r="172" spans="1:7">
      <c r="A172" s="2987" t="s">
        <v>29</v>
      </c>
      <c r="B172" s="2976" t="s">
        <v>3162</v>
      </c>
      <c r="C172" s="2993"/>
      <c r="D172" s="2993"/>
      <c r="E172" s="2993"/>
      <c r="F172" s="2977">
        <v>0.05</v>
      </c>
      <c r="G172" s="2994"/>
    </row>
    <row r="173" spans="1:7">
      <c r="A173" s="2987" t="s">
        <v>29</v>
      </c>
      <c r="B173" s="2976" t="s">
        <v>3163</v>
      </c>
      <c r="C173" s="2993"/>
      <c r="D173" s="2993"/>
      <c r="E173" s="2993"/>
      <c r="F173" s="2977">
        <v>0.05</v>
      </c>
      <c r="G173" s="2989"/>
    </row>
    <row r="174" spans="1:7">
      <c r="A174" s="2987" t="s">
        <v>29</v>
      </c>
      <c r="B174" s="2976" t="s">
        <v>3164</v>
      </c>
      <c r="C174" s="2993"/>
      <c r="D174" s="2993"/>
      <c r="E174" s="2993"/>
      <c r="F174" s="2977">
        <v>0.05</v>
      </c>
      <c r="G174" s="2989"/>
    </row>
    <row r="175" spans="1:7">
      <c r="A175" s="2987" t="s">
        <v>29</v>
      </c>
      <c r="B175" s="2976" t="s">
        <v>3165</v>
      </c>
      <c r="C175" s="2993"/>
      <c r="D175" s="2993"/>
      <c r="E175" s="2993"/>
      <c r="F175" s="2977">
        <v>0.05</v>
      </c>
      <c r="G175" s="2989"/>
    </row>
    <row r="176" spans="1:7">
      <c r="A176" s="2987" t="s">
        <v>29</v>
      </c>
      <c r="B176" s="2976" t="s">
        <v>3166</v>
      </c>
      <c r="C176" s="2993"/>
      <c r="D176" s="2993"/>
      <c r="E176" s="2993"/>
      <c r="F176" s="2977">
        <v>0.05</v>
      </c>
      <c r="G176" s="2989"/>
    </row>
    <row r="177" spans="1:7">
      <c r="A177" s="2987" t="s">
        <v>29</v>
      </c>
      <c r="B177" s="2976" t="s">
        <v>3167</v>
      </c>
      <c r="C177" s="2988"/>
      <c r="D177" s="2988"/>
      <c r="E177" s="2988"/>
      <c r="F177" s="2977">
        <v>0.05</v>
      </c>
      <c r="G177" s="2994"/>
    </row>
    <row r="178" spans="1:7">
      <c r="A178" s="2987" t="s">
        <v>29</v>
      </c>
      <c r="B178" s="2976" t="s">
        <v>3168</v>
      </c>
      <c r="C178" s="2988"/>
      <c r="D178" s="2988"/>
      <c r="E178" s="2988"/>
      <c r="F178" s="2977">
        <v>0.05</v>
      </c>
      <c r="G178" s="2994"/>
    </row>
    <row r="179" spans="1:7">
      <c r="A179" s="2987" t="s">
        <v>29</v>
      </c>
      <c r="B179" s="2976" t="s">
        <v>3169</v>
      </c>
      <c r="C179" s="2988"/>
      <c r="D179" s="2988"/>
      <c r="E179" s="2988"/>
      <c r="F179" s="2977">
        <v>0.05</v>
      </c>
      <c r="G179" s="2994"/>
    </row>
    <row r="180" spans="1:7">
      <c r="A180" s="2987" t="s">
        <v>29</v>
      </c>
      <c r="B180" s="2976" t="s">
        <v>3170</v>
      </c>
      <c r="C180" s="2988"/>
      <c r="D180" s="2988"/>
      <c r="E180" s="2988"/>
      <c r="F180" s="2977">
        <v>0.05</v>
      </c>
      <c r="G180" s="2994"/>
    </row>
    <row r="181" spans="1:7">
      <c r="A181" s="2987" t="s">
        <v>29</v>
      </c>
      <c r="B181" s="2976" t="s">
        <v>3171</v>
      </c>
      <c r="C181" s="2988"/>
      <c r="D181" s="2988"/>
      <c r="E181" s="2988"/>
      <c r="F181" s="2977">
        <v>0.05</v>
      </c>
      <c r="G181" s="2994"/>
    </row>
    <row r="182" spans="1:7">
      <c r="A182" s="2987" t="s">
        <v>29</v>
      </c>
      <c r="B182" s="2976" t="s">
        <v>3172</v>
      </c>
      <c r="C182" s="2988"/>
      <c r="D182" s="2988"/>
      <c r="E182" s="2988"/>
      <c r="F182" s="2977">
        <v>0.05</v>
      </c>
      <c r="G182" s="2994"/>
    </row>
    <row r="183" spans="1:7">
      <c r="A183" s="2987" t="s">
        <v>29</v>
      </c>
      <c r="B183" s="2976" t="s">
        <v>3173</v>
      </c>
      <c r="C183" s="2988"/>
      <c r="D183" s="2988"/>
      <c r="E183" s="2988"/>
      <c r="F183" s="2977">
        <v>0.05</v>
      </c>
      <c r="G183" s="2994"/>
    </row>
    <row r="184" spans="1:7">
      <c r="A184" s="2987" t="s">
        <v>29</v>
      </c>
      <c r="B184" s="2976" t="s">
        <v>3174</v>
      </c>
      <c r="C184" s="2988"/>
      <c r="D184" s="2988"/>
      <c r="E184" s="2988"/>
      <c r="F184" s="2977">
        <v>0.05</v>
      </c>
      <c r="G184" s="2994"/>
    </row>
    <row r="185" spans="1:7">
      <c r="A185" s="2987" t="s">
        <v>29</v>
      </c>
      <c r="B185" s="2976" t="s">
        <v>3175</v>
      </c>
      <c r="C185" s="2988"/>
      <c r="D185" s="2988"/>
      <c r="E185" s="2988"/>
      <c r="F185" s="2977">
        <v>0.05</v>
      </c>
      <c r="G185" s="2994"/>
    </row>
    <row r="186" spans="1:7">
      <c r="A186" s="2987" t="s">
        <v>29</v>
      </c>
      <c r="B186" s="2976" t="s">
        <v>3176</v>
      </c>
      <c r="C186" s="2988"/>
      <c r="D186" s="2988"/>
      <c r="E186" s="2988"/>
      <c r="F186" s="2977">
        <v>0.05</v>
      </c>
      <c r="G186" s="2994"/>
    </row>
    <row r="187" spans="1:7">
      <c r="A187" s="2987" t="s">
        <v>29</v>
      </c>
      <c r="B187" s="2976" t="s">
        <v>3177</v>
      </c>
      <c r="C187" s="2988"/>
      <c r="D187" s="2988"/>
      <c r="E187" s="2988"/>
      <c r="F187" s="2977">
        <v>0.05</v>
      </c>
      <c r="G187" s="2994"/>
    </row>
    <row r="188" spans="1:7">
      <c r="A188" s="2987" t="s">
        <v>29</v>
      </c>
      <c r="B188" s="2976" t="s">
        <v>3178</v>
      </c>
      <c r="C188" s="2988"/>
      <c r="D188" s="2988"/>
      <c r="E188" s="2988"/>
      <c r="F188" s="2977">
        <v>0.05</v>
      </c>
      <c r="G188" s="2994"/>
    </row>
    <row r="189" spans="1:7" ht="14.25" thickBot="1">
      <c r="A189" s="2990" t="s">
        <v>29</v>
      </c>
      <c r="B189" s="2980" t="s">
        <v>3179</v>
      </c>
      <c r="C189" s="2982"/>
      <c r="D189" s="2982"/>
      <c r="E189" s="2982"/>
      <c r="F189" s="2981">
        <v>0.05</v>
      </c>
      <c r="G189" s="2995"/>
    </row>
    <row r="190" spans="1:7">
      <c r="A190" s="2986" t="s">
        <v>304</v>
      </c>
      <c r="B190" s="2972" t="s">
        <v>2835</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2871</v>
      </c>
      <c r="C199" s="2977">
        <v>0.13</v>
      </c>
      <c r="D199" s="2977">
        <v>0.13</v>
      </c>
      <c r="E199" s="2977">
        <v>0.13</v>
      </c>
      <c r="F199" s="2977">
        <v>0.13</v>
      </c>
      <c r="G199" s="2978">
        <v>0.13</v>
      </c>
    </row>
    <row r="200" spans="1:7">
      <c r="A200" s="2987" t="s">
        <v>304</v>
      </c>
      <c r="B200" s="2976" t="s">
        <v>2874</v>
      </c>
      <c r="C200" s="2993"/>
      <c r="D200" s="2993"/>
      <c r="E200" s="2993"/>
      <c r="F200" s="2977">
        <v>0.13</v>
      </c>
      <c r="G200" s="2989"/>
    </row>
    <row r="201" spans="1:7">
      <c r="A201" s="2987" t="s">
        <v>304</v>
      </c>
      <c r="B201" s="2976" t="s">
        <v>2879</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2882</v>
      </c>
      <c r="C203" s="2977">
        <v>0.129</v>
      </c>
      <c r="D203" s="2977">
        <v>0.129</v>
      </c>
      <c r="E203" s="2977">
        <v>0.13</v>
      </c>
      <c r="F203" s="2977">
        <v>0.13</v>
      </c>
      <c r="G203" s="2978">
        <v>0.13</v>
      </c>
    </row>
    <row r="204" spans="1:7">
      <c r="A204" s="2987" t="s">
        <v>304</v>
      </c>
      <c r="B204" s="2976" t="s">
        <v>2885</v>
      </c>
      <c r="C204" s="2977">
        <v>0.129</v>
      </c>
      <c r="D204" s="2977">
        <v>0.129</v>
      </c>
      <c r="E204" s="2977">
        <v>0.123</v>
      </c>
      <c r="F204" s="2977">
        <v>0.13</v>
      </c>
      <c r="G204" s="2978">
        <v>0.13</v>
      </c>
    </row>
    <row r="205" spans="1:7">
      <c r="A205" s="2987" t="s">
        <v>304</v>
      </c>
      <c r="B205" s="2976" t="s">
        <v>2887</v>
      </c>
      <c r="C205" s="2977">
        <v>0.13</v>
      </c>
      <c r="D205" s="2977">
        <v>0.13</v>
      </c>
      <c r="E205" s="2977">
        <v>0.13</v>
      </c>
      <c r="F205" s="2977">
        <v>0.13</v>
      </c>
      <c r="G205" s="2978">
        <v>0.13</v>
      </c>
    </row>
    <row r="206" spans="1:7">
      <c r="A206" s="2987" t="s">
        <v>304</v>
      </c>
      <c r="B206" s="2976" t="s">
        <v>2890</v>
      </c>
      <c r="C206" s="2977">
        <v>0.13</v>
      </c>
      <c r="D206" s="2977">
        <v>0.13</v>
      </c>
      <c r="E206" s="2977">
        <v>0.13</v>
      </c>
      <c r="F206" s="2977">
        <v>0.128</v>
      </c>
      <c r="G206" s="2978">
        <v>0.13</v>
      </c>
    </row>
    <row r="207" spans="1:7">
      <c r="A207" s="2987" t="s">
        <v>304</v>
      </c>
      <c r="B207" s="2976" t="s">
        <v>2892</v>
      </c>
      <c r="C207" s="2977">
        <v>0.13</v>
      </c>
      <c r="D207" s="2977">
        <v>0.13</v>
      </c>
      <c r="E207" s="2977">
        <v>0.13</v>
      </c>
      <c r="F207" s="2977">
        <v>0.13</v>
      </c>
      <c r="G207" s="2978">
        <v>0.13</v>
      </c>
    </row>
    <row r="208" spans="1:7">
      <c r="A208" s="2987" t="s">
        <v>304</v>
      </c>
      <c r="B208" s="2976" t="s">
        <v>2895</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2902</v>
      </c>
      <c r="C210" s="2977">
        <v>0.121</v>
      </c>
      <c r="D210" s="2977">
        <v>0.121</v>
      </c>
      <c r="E210" s="2977">
        <v>0.125</v>
      </c>
      <c r="F210" s="2977">
        <v>0.13</v>
      </c>
      <c r="G210" s="2978">
        <v>0.123</v>
      </c>
    </row>
    <row r="211" spans="1:7">
      <c r="A211" s="2987" t="s">
        <v>304</v>
      </c>
      <c r="B211" s="2976" t="s">
        <v>2905</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2917</v>
      </c>
      <c r="C214" s="2977">
        <v>0.128</v>
      </c>
      <c r="D214" s="2977">
        <v>0.128</v>
      </c>
      <c r="E214" s="2977">
        <v>0.13</v>
      </c>
      <c r="F214" s="2977">
        <v>0.13</v>
      </c>
      <c r="G214" s="2978">
        <v>0.13</v>
      </c>
    </row>
    <row r="215" spans="1:7">
      <c r="A215" s="2987" t="s">
        <v>304</v>
      </c>
      <c r="B215" s="2976" t="s">
        <v>2921</v>
      </c>
      <c r="C215" s="2977">
        <v>0.13</v>
      </c>
      <c r="D215" s="2977">
        <v>0.13</v>
      </c>
      <c r="E215" s="2977">
        <v>0.13</v>
      </c>
      <c r="F215" s="2977">
        <v>0.129</v>
      </c>
      <c r="G215" s="2978">
        <v>0.13</v>
      </c>
    </row>
    <row r="216" spans="1:7">
      <c r="A216" s="2987" t="s">
        <v>304</v>
      </c>
      <c r="B216" s="2976" t="s">
        <v>2928</v>
      </c>
      <c r="C216" s="2977">
        <v>0.13</v>
      </c>
      <c r="D216" s="2977">
        <v>0.13</v>
      </c>
      <c r="E216" s="2977">
        <v>0.13</v>
      </c>
      <c r="F216" s="2977">
        <v>0.13</v>
      </c>
      <c r="G216" s="2978">
        <v>0.13</v>
      </c>
    </row>
    <row r="217" spans="1:7">
      <c r="A217" s="2987" t="s">
        <v>304</v>
      </c>
      <c r="B217" s="2976" t="s">
        <v>2935</v>
      </c>
      <c r="C217" s="2977">
        <v>0.129</v>
      </c>
      <c r="D217" s="2977">
        <v>0.129</v>
      </c>
      <c r="E217" s="2977">
        <v>0.13</v>
      </c>
      <c r="F217" s="2977">
        <v>0.13</v>
      </c>
      <c r="G217" s="2978">
        <v>0.13</v>
      </c>
    </row>
    <row r="218" spans="1:7">
      <c r="A218" s="2987" t="s">
        <v>304</v>
      </c>
      <c r="B218" s="2976" t="s">
        <v>2941</v>
      </c>
      <c r="C218" s="2988"/>
      <c r="D218" s="2988"/>
      <c r="E218" s="2988"/>
      <c r="F218" s="2977">
        <v>0.05</v>
      </c>
      <c r="G218" s="2994"/>
    </row>
    <row r="219" spans="1:7">
      <c r="A219" s="2987" t="s">
        <v>304</v>
      </c>
      <c r="B219" s="2976" t="s">
        <v>2948</v>
      </c>
      <c r="C219" s="2988"/>
      <c r="D219" s="2988"/>
      <c r="E219" s="2988"/>
      <c r="F219" s="2977">
        <v>0.05</v>
      </c>
      <c r="G219" s="2994"/>
    </row>
    <row r="220" spans="1:7">
      <c r="A220" s="2987" t="s">
        <v>304</v>
      </c>
      <c r="B220" s="2976" t="s">
        <v>2954</v>
      </c>
      <c r="C220" s="2988"/>
      <c r="D220" s="2988"/>
      <c r="E220" s="2988"/>
      <c r="F220" s="2977">
        <v>0.05</v>
      </c>
      <c r="G220" s="2994"/>
    </row>
    <row r="221" spans="1:7">
      <c r="A221" s="2987" t="s">
        <v>304</v>
      </c>
      <c r="B221" s="2976" t="s">
        <v>2959</v>
      </c>
      <c r="C221" s="2988"/>
      <c r="D221" s="2988"/>
      <c r="E221" s="2988"/>
      <c r="F221" s="2977">
        <v>0.05</v>
      </c>
      <c r="G221" s="2994"/>
    </row>
    <row r="222" spans="1:7">
      <c r="A222" s="2987" t="s">
        <v>304</v>
      </c>
      <c r="B222" s="2976" t="s">
        <v>2963</v>
      </c>
      <c r="C222" s="2988"/>
      <c r="D222" s="2988"/>
      <c r="E222" s="2988"/>
      <c r="F222" s="2977">
        <v>0.05</v>
      </c>
      <c r="G222" s="2994"/>
    </row>
    <row r="223" spans="1:7">
      <c r="A223" s="2987" t="s">
        <v>304</v>
      </c>
      <c r="B223" s="2976" t="s">
        <v>2968</v>
      </c>
      <c r="C223" s="2988"/>
      <c r="D223" s="2988"/>
      <c r="E223" s="2988"/>
      <c r="F223" s="2977">
        <v>0.05</v>
      </c>
      <c r="G223" s="2994"/>
    </row>
    <row r="224" spans="1:7">
      <c r="A224" s="2987" t="s">
        <v>304</v>
      </c>
      <c r="B224" s="2976" t="s">
        <v>2973</v>
      </c>
      <c r="C224" s="2988"/>
      <c r="D224" s="2988"/>
      <c r="E224" s="2988"/>
      <c r="F224" s="2977">
        <v>0.05</v>
      </c>
      <c r="G224" s="2994"/>
    </row>
    <row r="225" spans="1:7">
      <c r="A225" s="2987" t="s">
        <v>304</v>
      </c>
      <c r="B225" s="2976" t="s">
        <v>2978</v>
      </c>
      <c r="C225" s="2988"/>
      <c r="D225" s="2988"/>
      <c r="E225" s="2988"/>
      <c r="F225" s="2977">
        <v>0.05</v>
      </c>
      <c r="G225" s="2994"/>
    </row>
    <row r="226" spans="1:7">
      <c r="A226" s="2987" t="s">
        <v>304</v>
      </c>
      <c r="B226" s="2976" t="s">
        <v>3180</v>
      </c>
      <c r="C226" s="2988"/>
      <c r="D226" s="2988"/>
      <c r="E226" s="2988"/>
      <c r="F226" s="2977">
        <v>0.05</v>
      </c>
      <c r="G226" s="2994"/>
    </row>
    <row r="227" spans="1:7">
      <c r="A227" s="2987" t="s">
        <v>304</v>
      </c>
      <c r="B227" s="2976" t="s">
        <v>3181</v>
      </c>
      <c r="C227" s="2988"/>
      <c r="D227" s="2988"/>
      <c r="E227" s="2988"/>
      <c r="F227" s="2977">
        <v>0.05</v>
      </c>
      <c r="G227" s="2994"/>
    </row>
    <row r="228" spans="1:7">
      <c r="A228" s="2987" t="s">
        <v>304</v>
      </c>
      <c r="B228" s="2976" t="s">
        <v>3182</v>
      </c>
      <c r="C228" s="2988"/>
      <c r="D228" s="2988"/>
      <c r="E228" s="2988"/>
      <c r="F228" s="2977">
        <v>0.05</v>
      </c>
      <c r="G228" s="2994"/>
    </row>
    <row r="229" spans="1:7">
      <c r="A229" s="2987" t="s">
        <v>304</v>
      </c>
      <c r="B229" s="2976" t="s">
        <v>3183</v>
      </c>
      <c r="C229" s="2988"/>
      <c r="D229" s="2988"/>
      <c r="E229" s="2988"/>
      <c r="F229" s="2977">
        <v>0.05</v>
      </c>
      <c r="G229" s="2994"/>
    </row>
    <row r="230" spans="1:7">
      <c r="A230" s="2987" t="s">
        <v>304</v>
      </c>
      <c r="B230" s="2976" t="s">
        <v>3184</v>
      </c>
      <c r="C230" s="2988"/>
      <c r="D230" s="2988"/>
      <c r="E230" s="2988"/>
      <c r="F230" s="2977">
        <v>0.05</v>
      </c>
      <c r="G230" s="2994"/>
    </row>
    <row r="231" spans="1:7">
      <c r="A231" s="2987" t="s">
        <v>304</v>
      </c>
      <c r="B231" s="2976" t="s">
        <v>3185</v>
      </c>
      <c r="C231" s="2988"/>
      <c r="D231" s="2988"/>
      <c r="E231" s="2988"/>
      <c r="F231" s="2977">
        <v>0.05</v>
      </c>
      <c r="G231" s="2994"/>
    </row>
    <row r="232" spans="1:7">
      <c r="A232" s="2987" t="s">
        <v>304</v>
      </c>
      <c r="B232" s="2976" t="s">
        <v>3186</v>
      </c>
      <c r="C232" s="2988"/>
      <c r="D232" s="2988"/>
      <c r="E232" s="2988"/>
      <c r="F232" s="2977">
        <v>0.05</v>
      </c>
      <c r="G232" s="2994"/>
    </row>
    <row r="233" spans="1:7" ht="14.25" thickBot="1">
      <c r="A233" s="2990" t="s">
        <v>304</v>
      </c>
      <c r="B233" s="2980" t="s">
        <v>3187</v>
      </c>
      <c r="C233" s="2982"/>
      <c r="D233" s="2982"/>
      <c r="E233" s="2982"/>
      <c r="F233" s="2981">
        <v>0.05</v>
      </c>
      <c r="G233" s="2995"/>
    </row>
    <row r="234" spans="1:7">
      <c r="A234" s="2986" t="s">
        <v>305</v>
      </c>
      <c r="B234" s="2972" t="s">
        <v>2836</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2856</v>
      </c>
      <c r="C238" s="2977">
        <v>0.14899999999999999</v>
      </c>
      <c r="D238" s="2977">
        <v>0.14899999999999999</v>
      </c>
      <c r="E238" s="2977">
        <v>0.15</v>
      </c>
      <c r="F238" s="2977">
        <v>0.15</v>
      </c>
      <c r="G238" s="2978">
        <v>0.15</v>
      </c>
    </row>
    <row r="239" spans="1:7">
      <c r="A239" s="2987" t="s">
        <v>305</v>
      </c>
      <c r="B239" s="2976" t="s">
        <v>2860</v>
      </c>
      <c r="C239" s="2977">
        <v>0.15</v>
      </c>
      <c r="D239" s="2977">
        <v>0.15</v>
      </c>
      <c r="E239" s="2977">
        <v>0.15</v>
      </c>
      <c r="F239" s="2977">
        <v>0.15</v>
      </c>
      <c r="G239" s="2978">
        <v>0.15</v>
      </c>
    </row>
    <row r="240" spans="1:7">
      <c r="A240" s="2987" t="s">
        <v>305</v>
      </c>
      <c r="B240" s="2976" t="s">
        <v>2865</v>
      </c>
      <c r="C240" s="2977">
        <v>0.15</v>
      </c>
      <c r="D240" s="2977">
        <v>0.15</v>
      </c>
      <c r="E240" s="2977">
        <v>0.15</v>
      </c>
      <c r="F240" s="2977">
        <v>0.15</v>
      </c>
      <c r="G240" s="2978">
        <v>0.15</v>
      </c>
    </row>
    <row r="241" spans="1:7">
      <c r="A241" s="2987" t="s">
        <v>305</v>
      </c>
      <c r="B241" s="2976" t="s">
        <v>2869</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2875</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2883</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2888</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2896</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2909</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2918</v>
      </c>
      <c r="C258" s="2977">
        <v>0.14299999999999999</v>
      </c>
      <c r="D258" s="2977">
        <v>0.14299999999999999</v>
      </c>
      <c r="E258" s="2977">
        <v>0.15</v>
      </c>
      <c r="F258" s="2977">
        <v>0.14799999999999999</v>
      </c>
      <c r="G258" s="2978">
        <v>0.14599999999999999</v>
      </c>
    </row>
    <row r="259" spans="1:7">
      <c r="A259" s="2987" t="s">
        <v>305</v>
      </c>
      <c r="B259" s="2976" t="s">
        <v>2922</v>
      </c>
      <c r="C259" s="2977">
        <v>0.14399999999999999</v>
      </c>
      <c r="D259" s="2977">
        <v>0.14399999999999999</v>
      </c>
      <c r="E259" s="2977">
        <v>0.14899999999999999</v>
      </c>
      <c r="F259" s="2977">
        <v>0.14699999999999999</v>
      </c>
      <c r="G259" s="2978">
        <v>0.14599999999999999</v>
      </c>
    </row>
    <row r="260" spans="1:7">
      <c r="A260" s="2987" t="s">
        <v>305</v>
      </c>
      <c r="B260" s="2976" t="s">
        <v>2929</v>
      </c>
      <c r="C260" s="2977">
        <v>0.109</v>
      </c>
      <c r="D260" s="2977">
        <v>0.111</v>
      </c>
      <c r="E260" s="2977">
        <v>0.13100000000000001</v>
      </c>
      <c r="F260" s="2977">
        <v>0.126</v>
      </c>
      <c r="G260" s="2978">
        <v>0.11899999999999999</v>
      </c>
    </row>
    <row r="261" spans="1:7">
      <c r="A261" s="2987" t="s">
        <v>305</v>
      </c>
      <c r="B261" s="2976" t="s">
        <v>2936</v>
      </c>
      <c r="C261" s="2977">
        <v>0.1</v>
      </c>
      <c r="D261" s="2977">
        <v>0.1</v>
      </c>
      <c r="E261" s="2977">
        <v>0.11799999999999999</v>
      </c>
      <c r="F261" s="2977">
        <v>0.108</v>
      </c>
      <c r="G261" s="2978">
        <v>0.107</v>
      </c>
    </row>
    <row r="262" spans="1:7">
      <c r="A262" s="2987" t="s">
        <v>305</v>
      </c>
      <c r="B262" s="2976" t="s">
        <v>2942</v>
      </c>
      <c r="C262" s="2977">
        <v>0.1</v>
      </c>
      <c r="D262" s="2977">
        <v>0.1</v>
      </c>
      <c r="E262" s="2977">
        <v>0.1</v>
      </c>
      <c r="F262" s="2977">
        <v>0.14099999999999999</v>
      </c>
      <c r="G262" s="2978">
        <v>0.1</v>
      </c>
    </row>
    <row r="263" spans="1:7">
      <c r="A263" s="2987" t="s">
        <v>305</v>
      </c>
      <c r="B263" s="2976" t="s">
        <v>2949</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2960</v>
      </c>
      <c r="C265" s="2988"/>
      <c r="D265" s="2988"/>
      <c r="E265" s="2988"/>
      <c r="F265" s="2977">
        <v>0.05</v>
      </c>
      <c r="G265" s="2994"/>
    </row>
    <row r="266" spans="1:7">
      <c r="A266" s="2987" t="s">
        <v>305</v>
      </c>
      <c r="B266" s="2976" t="s">
        <v>2964</v>
      </c>
      <c r="C266" s="2988"/>
      <c r="D266" s="2988"/>
      <c r="E266" s="2988"/>
      <c r="F266" s="2977">
        <v>0.05</v>
      </c>
      <c r="G266" s="2994"/>
    </row>
    <row r="267" spans="1:7">
      <c r="A267" s="2987" t="s">
        <v>305</v>
      </c>
      <c r="B267" s="2976" t="s">
        <v>2969</v>
      </c>
      <c r="C267" s="2988"/>
      <c r="D267" s="2988"/>
      <c r="E267" s="2988"/>
      <c r="F267" s="2977">
        <v>0.05</v>
      </c>
      <c r="G267" s="2994"/>
    </row>
    <row r="268" spans="1:7">
      <c r="A268" s="2987" t="s">
        <v>305</v>
      </c>
      <c r="B268" s="2976" t="s">
        <v>2974</v>
      </c>
      <c r="C268" s="2988"/>
      <c r="D268" s="2988"/>
      <c r="E268" s="2988"/>
      <c r="F268" s="2977">
        <v>0.05</v>
      </c>
      <c r="G268" s="2994"/>
    </row>
    <row r="269" spans="1:7">
      <c r="A269" s="2987" t="s">
        <v>305</v>
      </c>
      <c r="B269" s="2976" t="s">
        <v>2979</v>
      </c>
      <c r="C269" s="2988"/>
      <c r="D269" s="2988"/>
      <c r="E269" s="2988"/>
      <c r="F269" s="2977">
        <v>0.05</v>
      </c>
      <c r="G269" s="2994"/>
    </row>
    <row r="270" spans="1:7">
      <c r="A270" s="2987" t="s">
        <v>305</v>
      </c>
      <c r="B270" s="2976" t="s">
        <v>2984</v>
      </c>
      <c r="C270" s="2988"/>
      <c r="D270" s="2988"/>
      <c r="E270" s="2988"/>
      <c r="F270" s="2977">
        <v>0.05</v>
      </c>
      <c r="G270" s="2994"/>
    </row>
    <row r="271" spans="1:7">
      <c r="A271" s="2987" t="s">
        <v>305</v>
      </c>
      <c r="B271" s="2976" t="s">
        <v>3188</v>
      </c>
      <c r="C271" s="2988"/>
      <c r="D271" s="2988"/>
      <c r="E271" s="2988"/>
      <c r="F271" s="2977">
        <v>0.05</v>
      </c>
      <c r="G271" s="2994"/>
    </row>
    <row r="272" spans="1:7">
      <c r="A272" s="2987" t="s">
        <v>305</v>
      </c>
      <c r="B272" s="2976" t="s">
        <v>3189</v>
      </c>
      <c r="C272" s="2988"/>
      <c r="D272" s="2988"/>
      <c r="E272" s="2988"/>
      <c r="F272" s="2977">
        <v>0.05</v>
      </c>
      <c r="G272" s="2994"/>
    </row>
    <row r="273" spans="1:7">
      <c r="A273" s="2987" t="s">
        <v>305</v>
      </c>
      <c r="B273" s="2976" t="s">
        <v>3190</v>
      </c>
      <c r="C273" s="2988"/>
      <c r="D273" s="2988"/>
      <c r="E273" s="2988"/>
      <c r="F273" s="2977">
        <v>0.05</v>
      </c>
      <c r="G273" s="2994"/>
    </row>
    <row r="274" spans="1:7">
      <c r="A274" s="2987" t="s">
        <v>305</v>
      </c>
      <c r="B274" s="2976" t="s">
        <v>3191</v>
      </c>
      <c r="C274" s="2988"/>
      <c r="D274" s="2988"/>
      <c r="E274" s="2988"/>
      <c r="F274" s="2977">
        <v>0.05</v>
      </c>
      <c r="G274" s="2994"/>
    </row>
    <row r="275" spans="1:7">
      <c r="A275" s="2987" t="s">
        <v>305</v>
      </c>
      <c r="B275" s="2976" t="s">
        <v>3192</v>
      </c>
      <c r="C275" s="2988"/>
      <c r="D275" s="2988"/>
      <c r="E275" s="2988"/>
      <c r="F275" s="2977">
        <v>0.05</v>
      </c>
      <c r="G275" s="2994"/>
    </row>
    <row r="276" spans="1:7" ht="14.25" thickBot="1">
      <c r="A276" s="2990" t="s">
        <v>305</v>
      </c>
      <c r="B276" s="2980" t="s">
        <v>3193</v>
      </c>
      <c r="C276" s="2982"/>
      <c r="D276" s="2982"/>
      <c r="E276" s="2982"/>
      <c r="F276" s="2981">
        <v>0.05</v>
      </c>
      <c r="G276" s="2995"/>
    </row>
    <row r="277" spans="1:7">
      <c r="A277" s="2986" t="s">
        <v>306</v>
      </c>
      <c r="B277" s="2972" t="s">
        <v>2837</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2849</v>
      </c>
      <c r="C279" s="2977">
        <v>0.15</v>
      </c>
      <c r="D279" s="2977">
        <v>0.15</v>
      </c>
      <c r="E279" s="2977">
        <v>0.15</v>
      </c>
      <c r="F279" s="2977">
        <v>0.15</v>
      </c>
      <c r="G279" s="2978">
        <v>0.15</v>
      </c>
    </row>
    <row r="280" spans="1:7">
      <c r="A280" s="2987" t="s">
        <v>306</v>
      </c>
      <c r="B280" s="2976" t="s">
        <v>2853</v>
      </c>
      <c r="C280" s="2977">
        <v>0.15</v>
      </c>
      <c r="D280" s="2977">
        <v>0.15</v>
      </c>
      <c r="E280" s="2977">
        <v>0.15</v>
      </c>
      <c r="F280" s="2977">
        <v>0.15</v>
      </c>
      <c r="G280" s="2978">
        <v>0.15</v>
      </c>
    </row>
    <row r="281" spans="1:7">
      <c r="A281" s="2987" t="s">
        <v>306</v>
      </c>
      <c r="B281" s="2976" t="s">
        <v>2857</v>
      </c>
      <c r="C281" s="2977">
        <v>0.15</v>
      </c>
      <c r="D281" s="2977">
        <v>0.15</v>
      </c>
      <c r="E281" s="2977">
        <v>0.15</v>
      </c>
      <c r="F281" s="2977">
        <v>0.15</v>
      </c>
      <c r="G281" s="2978">
        <v>0.15</v>
      </c>
    </row>
    <row r="282" spans="1:7">
      <c r="A282" s="2987" t="s">
        <v>306</v>
      </c>
      <c r="B282" s="2976" t="s">
        <v>2861</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2876</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2881</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2891</v>
      </c>
      <c r="C293" s="2977">
        <v>0.15</v>
      </c>
      <c r="D293" s="2977">
        <v>0.15</v>
      </c>
      <c r="E293" s="2977">
        <v>0.15</v>
      </c>
      <c r="F293" s="2977">
        <v>0.14499999999999999</v>
      </c>
      <c r="G293" s="2978">
        <v>0.15</v>
      </c>
    </row>
    <row r="294" spans="1:7">
      <c r="A294" s="2987" t="s">
        <v>306</v>
      </c>
      <c r="B294" s="2976" t="s">
        <v>2893</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2910</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2923</v>
      </c>
      <c r="C302" s="2977">
        <v>0.15</v>
      </c>
      <c r="D302" s="2977">
        <v>0.15</v>
      </c>
      <c r="E302" s="2977">
        <v>0.15</v>
      </c>
      <c r="F302" s="2977">
        <v>0.14699999999999999</v>
      </c>
      <c r="G302" s="2978">
        <v>0.15</v>
      </c>
    </row>
    <row r="303" spans="1:7">
      <c r="A303" s="2987" t="s">
        <v>306</v>
      </c>
      <c r="B303" s="2976" t="s">
        <v>2930</v>
      </c>
      <c r="C303" s="2977">
        <v>0.15</v>
      </c>
      <c r="D303" s="2977">
        <v>0.15</v>
      </c>
      <c r="E303" s="2977">
        <v>0.15</v>
      </c>
      <c r="F303" s="2977">
        <v>0.14199999999999999</v>
      </c>
      <c r="G303" s="2978">
        <v>0.15</v>
      </c>
    </row>
    <row r="304" spans="1:7">
      <c r="A304" s="2987" t="s">
        <v>306</v>
      </c>
      <c r="B304" s="2976" t="s">
        <v>2937</v>
      </c>
      <c r="C304" s="2977">
        <v>0.15</v>
      </c>
      <c r="D304" s="2977">
        <v>0.15</v>
      </c>
      <c r="E304" s="2977">
        <v>0.15</v>
      </c>
      <c r="F304" s="2977">
        <v>0.14499999999999999</v>
      </c>
      <c r="G304" s="2978">
        <v>0.15</v>
      </c>
    </row>
    <row r="305" spans="1:7">
      <c r="A305" s="2987" t="s">
        <v>306</v>
      </c>
      <c r="B305" s="2976" t="s">
        <v>2943</v>
      </c>
      <c r="C305" s="2977">
        <v>0.15</v>
      </c>
      <c r="D305" s="2977">
        <v>0.15</v>
      </c>
      <c r="E305" s="2977">
        <v>0.15</v>
      </c>
      <c r="F305" s="2977">
        <v>0.111</v>
      </c>
      <c r="G305" s="2978">
        <v>0.15</v>
      </c>
    </row>
    <row r="306" spans="1:7">
      <c r="A306" s="2987" t="s">
        <v>306</v>
      </c>
      <c r="B306" s="2976" t="s">
        <v>2950</v>
      </c>
      <c r="C306" s="2977">
        <v>0.15</v>
      </c>
      <c r="D306" s="2977">
        <v>0.15</v>
      </c>
      <c r="E306" s="2977">
        <v>0.15</v>
      </c>
      <c r="F306" s="2977">
        <v>0.126</v>
      </c>
      <c r="G306" s="2978">
        <v>0.15</v>
      </c>
    </row>
    <row r="307" spans="1:7">
      <c r="A307" s="2987" t="s">
        <v>306</v>
      </c>
      <c r="B307" s="2976" t="s">
        <v>2955</v>
      </c>
      <c r="C307" s="2977">
        <v>0.15</v>
      </c>
      <c r="D307" s="2977">
        <v>0.15</v>
      </c>
      <c r="E307" s="2977">
        <v>0.15</v>
      </c>
      <c r="F307" s="2977">
        <v>0.12</v>
      </c>
      <c r="G307" s="2978">
        <v>0.15</v>
      </c>
    </row>
    <row r="308" spans="1:7">
      <c r="A308" s="2987" t="s">
        <v>306</v>
      </c>
      <c r="B308" s="2976" t="s">
        <v>2961</v>
      </c>
      <c r="C308" s="2977">
        <v>0.15</v>
      </c>
      <c r="D308" s="2977">
        <v>0.15</v>
      </c>
      <c r="E308" s="2977">
        <v>0.15</v>
      </c>
      <c r="F308" s="2977">
        <v>0.13</v>
      </c>
      <c r="G308" s="2978">
        <v>0.15</v>
      </c>
    </row>
    <row r="309" spans="1:7">
      <c r="A309" s="2987" t="s">
        <v>306</v>
      </c>
      <c r="B309" s="2976" t="s">
        <v>2965</v>
      </c>
      <c r="C309" s="2977">
        <v>0.15</v>
      </c>
      <c r="D309" s="2977">
        <v>0.15</v>
      </c>
      <c r="E309" s="2977">
        <v>0.15</v>
      </c>
      <c r="F309" s="2977">
        <v>0.14099999999999999</v>
      </c>
      <c r="G309" s="2978">
        <v>0.15</v>
      </c>
    </row>
    <row r="310" spans="1:7">
      <c r="A310" s="2987" t="s">
        <v>306</v>
      </c>
      <c r="B310" s="2976" t="s">
        <v>2970</v>
      </c>
      <c r="C310" s="2977">
        <v>0.15</v>
      </c>
      <c r="D310" s="2977">
        <v>0.15</v>
      </c>
      <c r="E310" s="2977">
        <v>0.15</v>
      </c>
      <c r="F310" s="2977">
        <v>0.15</v>
      </c>
      <c r="G310" s="2978">
        <v>0.15</v>
      </c>
    </row>
    <row r="311" spans="1:7">
      <c r="A311" s="2987" t="s">
        <v>306</v>
      </c>
      <c r="B311" s="2976" t="s">
        <v>2975</v>
      </c>
      <c r="C311" s="2977">
        <v>0.13200000000000001</v>
      </c>
      <c r="D311" s="2977">
        <v>0.13300000000000001</v>
      </c>
      <c r="E311" s="2977">
        <v>0.14499999999999999</v>
      </c>
      <c r="F311" s="2977">
        <v>0.14199999999999999</v>
      </c>
      <c r="G311" s="2978">
        <v>0.14000000000000001</v>
      </c>
    </row>
    <row r="312" spans="1:7">
      <c r="A312" s="2987" t="s">
        <v>306</v>
      </c>
      <c r="B312" s="2976" t="s">
        <v>2980</v>
      </c>
      <c r="C312" s="2977">
        <v>0.13800000000000001</v>
      </c>
      <c r="D312" s="2977">
        <v>0.14000000000000001</v>
      </c>
      <c r="E312" s="2977">
        <v>0.14599999999999999</v>
      </c>
      <c r="F312" s="2977">
        <v>0.14899999999999999</v>
      </c>
      <c r="G312" s="2978">
        <v>0.14199999999999999</v>
      </c>
    </row>
    <row r="313" spans="1:7">
      <c r="A313" s="2987" t="s">
        <v>306</v>
      </c>
      <c r="B313" s="2976" t="s">
        <v>2985</v>
      </c>
      <c r="C313" s="2977">
        <v>0.125</v>
      </c>
      <c r="D313" s="2977">
        <v>0.127</v>
      </c>
      <c r="E313" s="2977">
        <v>0.14399999999999999</v>
      </c>
      <c r="F313" s="2977">
        <v>0.115</v>
      </c>
      <c r="G313" s="2978">
        <v>0.13600000000000001</v>
      </c>
    </row>
    <row r="314" spans="1:7">
      <c r="A314" s="2987" t="s">
        <v>306</v>
      </c>
      <c r="B314" s="2976" t="s">
        <v>3194</v>
      </c>
      <c r="C314" s="2993"/>
      <c r="D314" s="2993"/>
      <c r="E314" s="2993"/>
      <c r="F314" s="2977">
        <v>0.05</v>
      </c>
      <c r="G314" s="2994"/>
    </row>
    <row r="315" spans="1:7">
      <c r="A315" s="2987" t="s">
        <v>306</v>
      </c>
      <c r="B315" s="2976" t="s">
        <v>3195</v>
      </c>
      <c r="C315" s="2993"/>
      <c r="D315" s="2993"/>
      <c r="E315" s="2993"/>
      <c r="F315" s="2977">
        <v>0.05</v>
      </c>
      <c r="G315" s="2994"/>
    </row>
    <row r="316" spans="1:7">
      <c r="A316" s="2987" t="s">
        <v>306</v>
      </c>
      <c r="B316" s="2976" t="s">
        <v>3196</v>
      </c>
      <c r="C316" s="2988"/>
      <c r="D316" s="2988"/>
      <c r="E316" s="2988"/>
      <c r="F316" s="2977">
        <v>0.05</v>
      </c>
      <c r="G316" s="2994"/>
    </row>
    <row r="317" spans="1:7">
      <c r="A317" s="2987" t="s">
        <v>306</v>
      </c>
      <c r="B317" s="2976" t="s">
        <v>3197</v>
      </c>
      <c r="C317" s="2988"/>
      <c r="D317" s="2988"/>
      <c r="E317" s="2988"/>
      <c r="F317" s="2977">
        <v>0.05</v>
      </c>
      <c r="G317" s="2994"/>
    </row>
    <row r="318" spans="1:7">
      <c r="A318" s="2987" t="s">
        <v>306</v>
      </c>
      <c r="B318" s="2976" t="s">
        <v>3198</v>
      </c>
      <c r="C318" s="2988"/>
      <c r="D318" s="2988"/>
      <c r="E318" s="2988"/>
      <c r="F318" s="2977">
        <v>0.05</v>
      </c>
      <c r="G318" s="2994"/>
    </row>
    <row r="319" spans="1:7">
      <c r="A319" s="2987" t="s">
        <v>306</v>
      </c>
      <c r="B319" s="2976" t="s">
        <v>3199</v>
      </c>
      <c r="C319" s="2988"/>
      <c r="D319" s="2988"/>
      <c r="E319" s="2988"/>
      <c r="F319" s="2977">
        <v>0.05</v>
      </c>
      <c r="G319" s="2994"/>
    </row>
    <row r="320" spans="1:7">
      <c r="A320" s="2987" t="s">
        <v>306</v>
      </c>
      <c r="B320" s="2976" t="s">
        <v>3200</v>
      </c>
      <c r="C320" s="2988"/>
      <c r="D320" s="2988"/>
      <c r="E320" s="2988"/>
      <c r="F320" s="2977">
        <v>0.05</v>
      </c>
      <c r="G320" s="2994"/>
    </row>
    <row r="321" spans="1:7">
      <c r="A321" s="2987" t="s">
        <v>306</v>
      </c>
      <c r="B321" s="2976" t="s">
        <v>3201</v>
      </c>
      <c r="C321" s="2988"/>
      <c r="D321" s="2988"/>
      <c r="E321" s="2988"/>
      <c r="F321" s="2977">
        <v>0.05</v>
      </c>
      <c r="G321" s="2994"/>
    </row>
    <row r="322" spans="1:7">
      <c r="A322" s="2987" t="s">
        <v>306</v>
      </c>
      <c r="B322" s="2976" t="s">
        <v>3202</v>
      </c>
      <c r="C322" s="2988"/>
      <c r="D322" s="2988"/>
      <c r="E322" s="2988"/>
      <c r="F322" s="2977">
        <v>0.05</v>
      </c>
      <c r="G322" s="2994"/>
    </row>
    <row r="323" spans="1:7">
      <c r="A323" s="2987" t="s">
        <v>306</v>
      </c>
      <c r="B323" s="2976" t="s">
        <v>3203</v>
      </c>
      <c r="C323" s="2988"/>
      <c r="D323" s="2988"/>
      <c r="E323" s="2988"/>
      <c r="F323" s="2977">
        <v>0.05</v>
      </c>
      <c r="G323" s="2994"/>
    </row>
    <row r="324" spans="1:7">
      <c r="A324" s="2987" t="s">
        <v>306</v>
      </c>
      <c r="B324" s="2976" t="s">
        <v>3204</v>
      </c>
      <c r="C324" s="2988"/>
      <c r="D324" s="2988"/>
      <c r="E324" s="2988"/>
      <c r="F324" s="2977">
        <v>0.05</v>
      </c>
      <c r="G324" s="2994"/>
    </row>
    <row r="325" spans="1:7">
      <c r="A325" s="2987" t="s">
        <v>306</v>
      </c>
      <c r="B325" s="2976" t="s">
        <v>3205</v>
      </c>
      <c r="C325" s="2988"/>
      <c r="D325" s="2988"/>
      <c r="E325" s="2988"/>
      <c r="F325" s="2977">
        <v>0.05</v>
      </c>
      <c r="G325" s="2994"/>
    </row>
    <row r="326" spans="1:7" ht="14.25" thickBot="1">
      <c r="A326" s="2990" t="s">
        <v>306</v>
      </c>
      <c r="B326" s="2980" t="s">
        <v>3206</v>
      </c>
      <c r="C326" s="2982"/>
      <c r="D326" s="2982"/>
      <c r="E326" s="2982"/>
      <c r="F326" s="2981">
        <v>0.05</v>
      </c>
      <c r="G326" s="2995"/>
    </row>
    <row r="327" spans="1:7">
      <c r="A327" s="2986" t="s">
        <v>307</v>
      </c>
      <c r="B327" s="2972" t="s">
        <v>2838</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2850</v>
      </c>
      <c r="C329" s="2977">
        <v>0.15</v>
      </c>
      <c r="D329" s="2977">
        <v>0.15</v>
      </c>
      <c r="E329" s="2977">
        <v>0.15</v>
      </c>
      <c r="F329" s="2977">
        <v>0.15</v>
      </c>
      <c r="G329" s="2978">
        <v>0.15</v>
      </c>
    </row>
    <row r="330" spans="1:7">
      <c r="A330" s="2987" t="s">
        <v>307</v>
      </c>
      <c r="B330" s="2976" t="s">
        <v>2854</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2862</v>
      </c>
      <c r="C332" s="2977">
        <v>0.15</v>
      </c>
      <c r="D332" s="2977">
        <v>0.15</v>
      </c>
      <c r="E332" s="2977">
        <v>0.15</v>
      </c>
      <c r="F332" s="2977">
        <v>0.15</v>
      </c>
      <c r="G332" s="2978">
        <v>0.15</v>
      </c>
    </row>
    <row r="333" spans="1:7">
      <c r="A333" s="2987" t="s">
        <v>307</v>
      </c>
      <c r="B333" s="2976" t="s">
        <v>2866</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2872</v>
      </c>
      <c r="C336" s="2977">
        <v>0.15</v>
      </c>
      <c r="D336" s="2977">
        <v>0.15</v>
      </c>
      <c r="E336" s="2977">
        <v>0.15</v>
      </c>
      <c r="F336" s="2977">
        <v>0.14199999999999999</v>
      </c>
      <c r="G336" s="2978">
        <v>0.15</v>
      </c>
    </row>
    <row r="337" spans="1:7">
      <c r="A337" s="2987" t="s">
        <v>307</v>
      </c>
      <c r="B337" s="2976" t="s">
        <v>2877</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2884</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2889</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2897</v>
      </c>
      <c r="C345" s="2977">
        <v>0.15</v>
      </c>
      <c r="D345" s="2977">
        <v>0.15</v>
      </c>
      <c r="E345" s="2977">
        <v>0.15</v>
      </c>
      <c r="F345" s="2977">
        <v>0.13800000000000001</v>
      </c>
      <c r="G345" s="2978">
        <v>0.15</v>
      </c>
    </row>
    <row r="346" spans="1:7">
      <c r="A346" s="2987" t="s">
        <v>307</v>
      </c>
      <c r="B346" s="2976" t="s">
        <v>2899</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2906</v>
      </c>
      <c r="C348" s="2977">
        <v>0.15</v>
      </c>
      <c r="D348" s="2977">
        <v>0.15</v>
      </c>
      <c r="E348" s="2977">
        <v>0.15</v>
      </c>
      <c r="F348" s="2977">
        <v>0.14399999999999999</v>
      </c>
      <c r="G348" s="2978">
        <v>0.15</v>
      </c>
    </row>
    <row r="349" spans="1:7">
      <c r="A349" s="2987" t="s">
        <v>307</v>
      </c>
      <c r="B349" s="2976" t="s">
        <v>2911</v>
      </c>
      <c r="C349" s="2977">
        <v>0.15</v>
      </c>
      <c r="D349" s="2977">
        <v>0.15</v>
      </c>
      <c r="E349" s="2977">
        <v>0.15</v>
      </c>
      <c r="F349" s="2977">
        <v>0.15</v>
      </c>
      <c r="G349" s="2978">
        <v>0.15</v>
      </c>
    </row>
    <row r="350" spans="1:7">
      <c r="A350" s="2987" t="s">
        <v>307</v>
      </c>
      <c r="B350" s="2976" t="s">
        <v>2914</v>
      </c>
      <c r="C350" s="2977">
        <v>0.15</v>
      </c>
      <c r="D350" s="2977">
        <v>0.15</v>
      </c>
      <c r="E350" s="2977">
        <v>0.15</v>
      </c>
      <c r="F350" s="2977">
        <v>0.14699999999999999</v>
      </c>
      <c r="G350" s="2978">
        <v>0.15</v>
      </c>
    </row>
    <row r="351" spans="1:7">
      <c r="A351" s="2987" t="s">
        <v>307</v>
      </c>
      <c r="B351" s="2976" t="s">
        <v>2919</v>
      </c>
      <c r="C351" s="2977">
        <v>0.15</v>
      </c>
      <c r="D351" s="2977">
        <v>0.15</v>
      </c>
      <c r="E351" s="2977">
        <v>0.15</v>
      </c>
      <c r="F351" s="2977">
        <v>0.13</v>
      </c>
      <c r="G351" s="2978">
        <v>0.15</v>
      </c>
    </row>
    <row r="352" spans="1:7">
      <c r="A352" s="2987" t="s">
        <v>307</v>
      </c>
      <c r="B352" s="2976" t="s">
        <v>2924</v>
      </c>
      <c r="C352" s="2977">
        <v>0.15</v>
      </c>
      <c r="D352" s="2977">
        <v>0.15</v>
      </c>
      <c r="E352" s="2977">
        <v>0.15</v>
      </c>
      <c r="F352" s="2977">
        <v>0.14599999999999999</v>
      </c>
      <c r="G352" s="2978">
        <v>0.15</v>
      </c>
    </row>
    <row r="353" spans="1:7">
      <c r="A353" s="2987" t="s">
        <v>307</v>
      </c>
      <c r="B353" s="2976" t="s">
        <v>2931</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2944</v>
      </c>
      <c r="C355" s="2977">
        <v>0.15</v>
      </c>
      <c r="D355" s="2977">
        <v>0.15</v>
      </c>
      <c r="E355" s="2977">
        <v>0.15</v>
      </c>
      <c r="F355" s="2977">
        <v>0.15</v>
      </c>
      <c r="G355" s="2978">
        <v>0.15</v>
      </c>
    </row>
    <row r="356" spans="1:7">
      <c r="A356" s="2987" t="s">
        <v>307</v>
      </c>
      <c r="B356" s="2976" t="s">
        <v>2951</v>
      </c>
      <c r="C356" s="2977">
        <v>0.15</v>
      </c>
      <c r="D356" s="2977">
        <v>0.15</v>
      </c>
      <c r="E356" s="2977">
        <v>0.15</v>
      </c>
      <c r="F356" s="2977">
        <v>0.15</v>
      </c>
      <c r="G356" s="2978">
        <v>0.15</v>
      </c>
    </row>
    <row r="357" spans="1:7" ht="14.25" thickBot="1">
      <c r="A357" s="2990" t="s">
        <v>307</v>
      </c>
      <c r="B357" s="2980" t="s">
        <v>2956</v>
      </c>
      <c r="C357" s="2981">
        <v>0.126</v>
      </c>
      <c r="D357" s="2981">
        <v>0.127</v>
      </c>
      <c r="E357" s="2981">
        <v>0.14299999999999999</v>
      </c>
      <c r="F357" s="2981">
        <v>0.125</v>
      </c>
      <c r="G357" s="2983">
        <v>0.129</v>
      </c>
    </row>
    <row r="358" spans="1:7">
      <c r="A358" s="2986" t="s">
        <v>2825</v>
      </c>
      <c r="B358" s="2972" t="s">
        <v>2839</v>
      </c>
      <c r="C358" s="2973">
        <v>0.15</v>
      </c>
      <c r="D358" s="2973">
        <v>0.15</v>
      </c>
      <c r="E358" s="2973">
        <v>0.15</v>
      </c>
      <c r="F358" s="2973">
        <v>0.15</v>
      </c>
      <c r="G358" s="2974">
        <v>0.15</v>
      </c>
    </row>
    <row r="359" spans="1:7">
      <c r="A359" s="2987" t="s">
        <v>2825</v>
      </c>
      <c r="B359" s="2976" t="s">
        <v>2845</v>
      </c>
      <c r="C359" s="2977">
        <v>0.1</v>
      </c>
      <c r="D359" s="2977">
        <v>0.1</v>
      </c>
      <c r="E359" s="2977">
        <v>0.1</v>
      </c>
      <c r="F359" s="2977">
        <v>0.1</v>
      </c>
      <c r="G359" s="2978">
        <v>0.1</v>
      </c>
    </row>
    <row r="360" spans="1:7">
      <c r="A360" s="2987" t="s">
        <v>2825</v>
      </c>
      <c r="B360" s="2976" t="s">
        <v>2851</v>
      </c>
      <c r="C360" s="2977">
        <v>0.15</v>
      </c>
      <c r="D360" s="2977">
        <v>0.15</v>
      </c>
      <c r="E360" s="2977">
        <v>0.15</v>
      </c>
      <c r="F360" s="2977">
        <v>0.14899999999999999</v>
      </c>
      <c r="G360" s="2978">
        <v>0.15</v>
      </c>
    </row>
    <row r="361" spans="1:7">
      <c r="A361" s="2987" t="s">
        <v>2825</v>
      </c>
      <c r="B361" s="2976" t="s">
        <v>153</v>
      </c>
      <c r="C361" s="2977">
        <v>0.15</v>
      </c>
      <c r="D361" s="2977">
        <v>0.15</v>
      </c>
      <c r="E361" s="2977">
        <v>0.15</v>
      </c>
      <c r="F361" s="2977">
        <v>0.115</v>
      </c>
      <c r="G361" s="2978">
        <v>0.15</v>
      </c>
    </row>
    <row r="362" spans="1:7">
      <c r="A362" s="2987" t="s">
        <v>2825</v>
      </c>
      <c r="B362" s="2976" t="s">
        <v>2858</v>
      </c>
      <c r="C362" s="2977">
        <v>0.15</v>
      </c>
      <c r="D362" s="2977">
        <v>0.15</v>
      </c>
      <c r="E362" s="2977">
        <v>0.15</v>
      </c>
      <c r="F362" s="2977">
        <v>0.106</v>
      </c>
      <c r="G362" s="2978">
        <v>0.15</v>
      </c>
    </row>
    <row r="363" spans="1:7">
      <c r="A363" s="2987" t="s">
        <v>2825</v>
      </c>
      <c r="B363" s="2976" t="s">
        <v>2863</v>
      </c>
      <c r="C363" s="2977">
        <v>0.15</v>
      </c>
      <c r="D363" s="2977">
        <v>0.15</v>
      </c>
      <c r="E363" s="2977">
        <v>0.15</v>
      </c>
      <c r="F363" s="2977">
        <v>0.14699999999999999</v>
      </c>
      <c r="G363" s="2978">
        <v>0.15</v>
      </c>
    </row>
    <row r="364" spans="1:7">
      <c r="A364" s="2987" t="s">
        <v>2825</v>
      </c>
      <c r="B364" s="2976" t="s">
        <v>2867</v>
      </c>
      <c r="C364" s="2977">
        <v>0.15</v>
      </c>
      <c r="D364" s="2977">
        <v>0.15</v>
      </c>
      <c r="E364" s="2977">
        <v>0.15</v>
      </c>
      <c r="F364" s="2977">
        <v>0.14799999999999999</v>
      </c>
      <c r="G364" s="2978">
        <v>0.15</v>
      </c>
    </row>
    <row r="365" spans="1:7">
      <c r="A365" s="2987" t="s">
        <v>2825</v>
      </c>
      <c r="B365" s="2976" t="s">
        <v>200</v>
      </c>
      <c r="C365" s="2977">
        <v>0.15</v>
      </c>
      <c r="D365" s="2977">
        <v>0.15</v>
      </c>
      <c r="E365" s="2977">
        <v>0.15</v>
      </c>
      <c r="F365" s="2977">
        <v>0.15</v>
      </c>
      <c r="G365" s="2978">
        <v>0.15</v>
      </c>
    </row>
    <row r="366" spans="1:7">
      <c r="A366" s="2987" t="s">
        <v>2825</v>
      </c>
      <c r="B366" s="2976" t="s">
        <v>2870</v>
      </c>
      <c r="C366" s="2977">
        <v>0.15</v>
      </c>
      <c r="D366" s="2977">
        <v>0.15</v>
      </c>
      <c r="E366" s="2977">
        <v>0.15</v>
      </c>
      <c r="F366" s="2977">
        <v>0.15</v>
      </c>
      <c r="G366" s="2978">
        <v>0.15</v>
      </c>
    </row>
    <row r="367" spans="1:7">
      <c r="A367" s="2987" t="s">
        <v>2825</v>
      </c>
      <c r="B367" s="2976" t="s">
        <v>2873</v>
      </c>
      <c r="C367" s="2977">
        <v>0.15</v>
      </c>
      <c r="D367" s="2977">
        <v>0.15</v>
      </c>
      <c r="E367" s="2977">
        <v>0.15</v>
      </c>
      <c r="F367" s="2977">
        <v>0.14699999999999999</v>
      </c>
      <c r="G367" s="2978">
        <v>0.15</v>
      </c>
    </row>
    <row r="368" spans="1:7">
      <c r="A368" s="2987" t="s">
        <v>2825</v>
      </c>
      <c r="B368" s="2976" t="s">
        <v>2878</v>
      </c>
      <c r="C368" s="2977">
        <v>0.15</v>
      </c>
      <c r="D368" s="2977">
        <v>0.15</v>
      </c>
      <c r="E368" s="2977">
        <v>0.15</v>
      </c>
      <c r="F368" s="2977">
        <v>0.13600000000000001</v>
      </c>
      <c r="G368" s="2978">
        <v>0.15</v>
      </c>
    </row>
    <row r="369" spans="1:7">
      <c r="A369" s="2987" t="s">
        <v>2825</v>
      </c>
      <c r="B369" s="2976" t="s">
        <v>214</v>
      </c>
      <c r="C369" s="2977">
        <v>0.15</v>
      </c>
      <c r="D369" s="2977">
        <v>0.15</v>
      </c>
      <c r="E369" s="2977">
        <v>0.15</v>
      </c>
      <c r="F369" s="2977">
        <v>0.14399999999999999</v>
      </c>
      <c r="G369" s="2978">
        <v>0.15</v>
      </c>
    </row>
    <row r="370" spans="1:7">
      <c r="A370" s="2987" t="s">
        <v>2825</v>
      </c>
      <c r="B370" s="2976" t="s">
        <v>221</v>
      </c>
      <c r="C370" s="2977">
        <v>0.15</v>
      </c>
      <c r="D370" s="2977">
        <v>0.15</v>
      </c>
      <c r="E370" s="2977">
        <v>0.15</v>
      </c>
      <c r="F370" s="2977">
        <v>0.14599999999999999</v>
      </c>
      <c r="G370" s="2978">
        <v>0.15</v>
      </c>
    </row>
    <row r="371" spans="1:7">
      <c r="A371" s="2987" t="s">
        <v>2825</v>
      </c>
      <c r="B371" s="2976" t="s">
        <v>229</v>
      </c>
      <c r="C371" s="2977">
        <v>0.15</v>
      </c>
      <c r="D371" s="2977">
        <v>0.15</v>
      </c>
      <c r="E371" s="2977">
        <v>0.15</v>
      </c>
      <c r="F371" s="2977">
        <v>0.12</v>
      </c>
      <c r="G371" s="2978">
        <v>0.15</v>
      </c>
    </row>
    <row r="372" spans="1:7">
      <c r="A372" s="2987" t="s">
        <v>2825</v>
      </c>
      <c r="B372" s="2976" t="s">
        <v>2886</v>
      </c>
      <c r="C372" s="2977">
        <v>0.15</v>
      </c>
      <c r="D372" s="2977">
        <v>0.15</v>
      </c>
      <c r="E372" s="2977">
        <v>0.15</v>
      </c>
      <c r="F372" s="2977">
        <v>0.14299999999999999</v>
      </c>
      <c r="G372" s="2978">
        <v>0.15</v>
      </c>
    </row>
    <row r="373" spans="1:7">
      <c r="A373" s="2987" t="s">
        <v>2825</v>
      </c>
      <c r="B373" s="2976" t="s">
        <v>258</v>
      </c>
      <c r="C373" s="2977">
        <v>0.15</v>
      </c>
      <c r="D373" s="2977">
        <v>0.15</v>
      </c>
      <c r="E373" s="2977">
        <v>0.15</v>
      </c>
      <c r="F373" s="2977">
        <v>0.14599999999999999</v>
      </c>
      <c r="G373" s="2978">
        <v>0.15</v>
      </c>
    </row>
    <row r="374" spans="1:7">
      <c r="A374" s="2987" t="s">
        <v>2825</v>
      </c>
      <c r="B374" s="2976" t="s">
        <v>266</v>
      </c>
      <c r="C374" s="2977">
        <v>0.15</v>
      </c>
      <c r="D374" s="2977">
        <v>0.15</v>
      </c>
      <c r="E374" s="2977">
        <v>0.15</v>
      </c>
      <c r="F374" s="2977">
        <v>0.14399999999999999</v>
      </c>
      <c r="G374" s="2978">
        <v>0.15</v>
      </c>
    </row>
    <row r="375" spans="1:7">
      <c r="A375" s="2987" t="s">
        <v>2825</v>
      </c>
      <c r="B375" s="2976" t="s">
        <v>2894</v>
      </c>
      <c r="C375" s="2977">
        <v>0.15</v>
      </c>
      <c r="D375" s="2977">
        <v>0.15</v>
      </c>
      <c r="E375" s="2977">
        <v>0.15</v>
      </c>
      <c r="F375" s="2977">
        <v>0.13</v>
      </c>
      <c r="G375" s="2978">
        <v>0.15</v>
      </c>
    </row>
    <row r="376" spans="1:7">
      <c r="A376" s="2987" t="s">
        <v>2825</v>
      </c>
      <c r="B376" s="2976" t="s">
        <v>277</v>
      </c>
      <c r="C376" s="2977">
        <v>0.15</v>
      </c>
      <c r="D376" s="2977">
        <v>0.15</v>
      </c>
      <c r="E376" s="2977">
        <v>0.15</v>
      </c>
      <c r="F376" s="2977">
        <v>0.14199999999999999</v>
      </c>
      <c r="G376" s="2978">
        <v>0.15</v>
      </c>
    </row>
    <row r="377" spans="1:7" ht="14.25" thickBot="1">
      <c r="A377" s="2990" t="s">
        <v>2825</v>
      </c>
      <c r="B377" s="2980" t="s">
        <v>2900</v>
      </c>
      <c r="C377" s="2981">
        <v>0.15</v>
      </c>
      <c r="D377" s="2981">
        <v>0.15</v>
      </c>
      <c r="E377" s="2981">
        <v>0.15</v>
      </c>
      <c r="F377" s="2981">
        <v>0.14000000000000001</v>
      </c>
      <c r="G377" s="2983">
        <v>0.15</v>
      </c>
    </row>
    <row r="378" spans="1:7">
      <c r="A378" s="2986" t="s">
        <v>2826</v>
      </c>
      <c r="B378" s="2972" t="s">
        <v>2840</v>
      </c>
      <c r="C378" s="2973">
        <v>0.15</v>
      </c>
      <c r="D378" s="2973">
        <v>0.15</v>
      </c>
      <c r="E378" s="2973">
        <v>0.15</v>
      </c>
      <c r="F378" s="2973">
        <v>0.107</v>
      </c>
      <c r="G378" s="2974">
        <v>0.15</v>
      </c>
    </row>
    <row r="379" spans="1:7">
      <c r="A379" s="2987" t="s">
        <v>2826</v>
      </c>
      <c r="B379" s="2976" t="s">
        <v>2846</v>
      </c>
      <c r="C379" s="2977">
        <v>0.15</v>
      </c>
      <c r="D379" s="2977">
        <v>0.15</v>
      </c>
      <c r="E379" s="2977">
        <v>0.15</v>
      </c>
      <c r="F379" s="2977">
        <v>0.115</v>
      </c>
      <c r="G379" s="2978">
        <v>0.14899999999999999</v>
      </c>
    </row>
    <row r="380" spans="1:7">
      <c r="A380" s="2987" t="s">
        <v>2826</v>
      </c>
      <c r="B380" s="2976" t="s">
        <v>2852</v>
      </c>
      <c r="C380" s="2977">
        <v>0.15</v>
      </c>
      <c r="D380" s="2977">
        <v>0.15</v>
      </c>
      <c r="E380" s="2977">
        <v>0.15</v>
      </c>
      <c r="F380" s="2977">
        <v>0.1</v>
      </c>
      <c r="G380" s="2978">
        <v>0.14799999999999999</v>
      </c>
    </row>
    <row r="381" spans="1:7">
      <c r="A381" s="2987" t="s">
        <v>2826</v>
      </c>
      <c r="B381" s="2976" t="s">
        <v>2855</v>
      </c>
      <c r="C381" s="2977">
        <v>0.15</v>
      </c>
      <c r="D381" s="2977">
        <v>0.15</v>
      </c>
      <c r="E381" s="2977">
        <v>0.15</v>
      </c>
      <c r="F381" s="2977">
        <v>0.126</v>
      </c>
      <c r="G381" s="2978">
        <v>0.15</v>
      </c>
    </row>
    <row r="382" spans="1:7">
      <c r="A382" s="2987" t="s">
        <v>2826</v>
      </c>
      <c r="B382" s="2976" t="s">
        <v>2859</v>
      </c>
      <c r="C382" s="2977">
        <v>0.15</v>
      </c>
      <c r="D382" s="2977">
        <v>0.15</v>
      </c>
      <c r="E382" s="2977">
        <v>0.15</v>
      </c>
      <c r="F382" s="2977">
        <v>0.15</v>
      </c>
      <c r="G382" s="2978">
        <v>0.15</v>
      </c>
    </row>
    <row r="383" spans="1:7">
      <c r="A383" s="2987" t="s">
        <v>2826</v>
      </c>
      <c r="B383" s="2976" t="s">
        <v>2864</v>
      </c>
      <c r="C383" s="2977">
        <v>0.15</v>
      </c>
      <c r="D383" s="2977">
        <v>0.15</v>
      </c>
      <c r="E383" s="2977">
        <v>0.15</v>
      </c>
      <c r="F383" s="2977">
        <v>0.14699999999999999</v>
      </c>
      <c r="G383" s="2978">
        <v>0.15</v>
      </c>
    </row>
    <row r="384" spans="1:7" ht="14.25" thickBot="1">
      <c r="A384" s="2997" t="s">
        <v>2826</v>
      </c>
      <c r="B384" s="2998" t="s">
        <v>2868</v>
      </c>
      <c r="C384" s="2999">
        <v>0.15</v>
      </c>
      <c r="D384" s="2999">
        <v>0.15</v>
      </c>
      <c r="E384" s="2999">
        <v>0.15</v>
      </c>
      <c r="F384" s="2999">
        <v>0.15</v>
      </c>
      <c r="G384" s="3000">
        <v>0.15</v>
      </c>
    </row>
  </sheetData>
  <sheetProtection password="CEE9" sheet="1" objects="1" scenarios="1"/>
  <mergeCells count="1">
    <mergeCell ref="A1:B1"/>
  </mergeCells>
  <phoneticPr fontId="9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2"/>
  </cols>
  <sheetData>
    <row r="1" spans="1:6">
      <c r="A1" s="3536" t="s">
        <v>3207</v>
      </c>
      <c r="B1" s="3536"/>
      <c r="C1" s="3536"/>
      <c r="D1" s="3536"/>
      <c r="E1" s="3536"/>
      <c r="F1" s="3537"/>
    </row>
    <row r="2" spans="1:6">
      <c r="A2" s="3001" t="s">
        <v>3208</v>
      </c>
    </row>
    <row r="3" spans="1:6">
      <c r="A3" s="3001" t="s">
        <v>3209</v>
      </c>
      <c r="F3" s="3002" t="s">
        <v>3210</v>
      </c>
    </row>
    <row r="4" spans="1:6">
      <c r="A4" s="3003" t="s">
        <v>656</v>
      </c>
      <c r="B4" s="3003" t="s">
        <v>657</v>
      </c>
      <c r="C4" s="3003" t="s">
        <v>21</v>
      </c>
      <c r="D4" s="3003" t="s">
        <v>658</v>
      </c>
      <c r="E4" s="3003" t="s">
        <v>3</v>
      </c>
      <c r="F4" s="3003" t="s">
        <v>3211</v>
      </c>
    </row>
    <row r="5" spans="1:6">
      <c r="A5" s="3004" t="s">
        <v>659</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G31" sqref="G31"/>
    </sheetView>
  </sheetViews>
  <sheetFormatPr defaultRowHeight="13.5"/>
  <cols>
    <col min="1" max="1" width="13.875" customWidth="1"/>
    <col min="11" max="17" width="0" hidden="1" customWidth="1"/>
    <col min="25" max="30" width="0" hidden="1" customWidth="1"/>
  </cols>
  <sheetData>
    <row r="1" spans="1:30">
      <c r="A1" s="2936">
        <f>基准地价修正!G23</f>
        <v>45677</v>
      </c>
      <c r="B1" s="2928" t="s">
        <v>3355</v>
      </c>
      <c r="C1" s="2929"/>
      <c r="D1" s="2929"/>
      <c r="E1" s="2929"/>
      <c r="F1" s="2929"/>
      <c r="G1" s="2929"/>
      <c r="H1" s="2929"/>
      <c r="I1" s="2929"/>
      <c r="J1" s="2895"/>
      <c r="K1" s="2929" t="s">
        <v>454</v>
      </c>
      <c r="L1" s="2929"/>
      <c r="M1" s="2929"/>
      <c r="N1" s="2929"/>
      <c r="O1" s="2929"/>
      <c r="P1" s="2929"/>
      <c r="Q1" s="2895"/>
      <c r="R1" s="3538" t="s">
        <v>456</v>
      </c>
      <c r="S1" s="3539"/>
      <c r="T1" s="3539"/>
      <c r="U1" s="3539"/>
      <c r="V1" s="3539"/>
      <c r="W1" s="3539"/>
      <c r="X1" s="2895"/>
      <c r="Y1" s="3538" t="s">
        <v>457</v>
      </c>
      <c r="Z1" s="3539"/>
      <c r="AA1" s="3539"/>
      <c r="AB1" s="3539"/>
      <c r="AC1" s="3539"/>
      <c r="AD1" s="3539"/>
    </row>
    <row r="2" spans="1:30" s="2010" customFormat="1" ht="14.25" thickBot="1">
      <c r="B2" s="2880"/>
      <c r="C2" s="2881"/>
      <c r="D2" s="2011" t="s">
        <v>2785</v>
      </c>
      <c r="E2" s="2012" t="s">
        <v>2786</v>
      </c>
      <c r="F2" s="2012" t="s">
        <v>2787</v>
      </c>
      <c r="G2" s="2012" t="s">
        <v>2788</v>
      </c>
      <c r="H2" s="2012" t="s">
        <v>2789</v>
      </c>
      <c r="I2" s="2012" t="s">
        <v>2606</v>
      </c>
      <c r="J2" s="2882"/>
      <c r="K2" s="2011" t="s">
        <v>2785</v>
      </c>
      <c r="L2" s="2012" t="s">
        <v>2786</v>
      </c>
      <c r="M2" s="2012" t="s">
        <v>2787</v>
      </c>
      <c r="N2" s="2012" t="s">
        <v>2788</v>
      </c>
      <c r="O2" s="2012" t="s">
        <v>2790</v>
      </c>
      <c r="P2" s="2012" t="s">
        <v>2606</v>
      </c>
      <c r="Q2" s="2882"/>
      <c r="R2" s="2011" t="s">
        <v>2785</v>
      </c>
      <c r="S2" s="2012" t="s">
        <v>2786</v>
      </c>
      <c r="T2" s="2012" t="s">
        <v>2787</v>
      </c>
      <c r="U2" s="2012" t="s">
        <v>2791</v>
      </c>
      <c r="V2" s="2012" t="s">
        <v>2792</v>
      </c>
      <c r="W2" s="2012" t="s">
        <v>2606</v>
      </c>
      <c r="X2" s="2882"/>
      <c r="Y2" s="2011" t="s">
        <v>2785</v>
      </c>
      <c r="Z2" s="2012" t="s">
        <v>2786</v>
      </c>
      <c r="AA2" s="2012" t="s">
        <v>2787</v>
      </c>
      <c r="AB2" s="2012" t="s">
        <v>2793</v>
      </c>
      <c r="AC2" s="2012" t="s">
        <v>2792</v>
      </c>
      <c r="AD2" s="2012" t="s">
        <v>2606</v>
      </c>
    </row>
    <row r="3" spans="1:30" s="2885" customFormat="1" ht="12.75">
      <c r="A3" s="2883" t="s">
        <v>2794</v>
      </c>
      <c r="B3" s="2884"/>
      <c r="D3" s="2885">
        <f>ROUND(AVERAGEIF(D4:D21,"&lt;&gt;0"),2)</f>
        <v>0.38</v>
      </c>
      <c r="E3" s="2885">
        <f t="shared" ref="E3:H3" si="0">ROUND(AVERAGEIF(E4:E21,"&lt;&gt;0"),2)</f>
        <v>0.26</v>
      </c>
      <c r="F3" s="2885">
        <f t="shared" si="0"/>
        <v>-0.01</v>
      </c>
      <c r="G3" s="2885">
        <f t="shared" si="0"/>
        <v>0.41</v>
      </c>
      <c r="H3" s="2885">
        <f t="shared" si="0"/>
        <v>0.52</v>
      </c>
      <c r="I3" s="2885">
        <f>F3</f>
        <v>-0.01</v>
      </c>
      <c r="J3" s="2886"/>
      <c r="K3" s="2887">
        <f>ROUND(AVERAGEIF(K4:K21,"&lt;&gt;0"),4)</f>
        <v>3.8E-3</v>
      </c>
      <c r="L3" s="2888">
        <f t="shared" ref="L3:O3" si="1">ROUND(AVERAGEIF(L4:L21,"&lt;&gt;0"),4)</f>
        <v>2.5999999999999999E-3</v>
      </c>
      <c r="M3" s="2888">
        <f t="shared" si="1"/>
        <v>-1E-4</v>
      </c>
      <c r="N3" s="2888">
        <f t="shared" si="1"/>
        <v>4.1000000000000003E-3</v>
      </c>
      <c r="O3" s="2888">
        <f t="shared" si="1"/>
        <v>5.1999999999999998E-3</v>
      </c>
      <c r="P3" s="2888">
        <f>M3</f>
        <v>-1E-4</v>
      </c>
      <c r="Q3" s="2886"/>
      <c r="R3" s="2889">
        <f>ROUND(SUMPRODUCT(PRODUCT(1+K4:K21)),4)</f>
        <v>1.0613999999999999</v>
      </c>
      <c r="S3" s="2890">
        <f t="shared" ref="S3:V3" si="2">ROUND(SUMPRODUCT(PRODUCT(1+L4:L21)),4)</f>
        <v>1.0415000000000001</v>
      </c>
      <c r="T3" s="2890">
        <f t="shared" si="2"/>
        <v>0.99780000000000002</v>
      </c>
      <c r="U3" s="2890">
        <f t="shared" si="2"/>
        <v>1.0678000000000001</v>
      </c>
      <c r="V3" s="2890">
        <f t="shared" si="2"/>
        <v>1.0866</v>
      </c>
      <c r="W3" s="2889">
        <f>T3</f>
        <v>0.99780000000000002</v>
      </c>
      <c r="X3" s="2886"/>
      <c r="Y3" s="2891">
        <f>ROUND(AVERAGEIF(Y8:Y21,"&lt;&gt;0"),4)</f>
        <v>8.3999999999999995E-3</v>
      </c>
      <c r="Z3" s="2892">
        <f t="shared" ref="Z3:AC3" si="3">ROUND(AVERAGEIF(Z8:Z21,"&lt;&gt;0"),4)</f>
        <v>3.5000000000000001E-3</v>
      </c>
      <c r="AA3" s="2893">
        <f t="shared" si="3"/>
        <v>8.0000000000000004E-4</v>
      </c>
      <c r="AB3" s="2891">
        <f t="shared" si="3"/>
        <v>9.1000000000000004E-3</v>
      </c>
      <c r="AC3" s="2894">
        <f t="shared" si="3"/>
        <v>6.1000000000000004E-3</v>
      </c>
      <c r="AD3" s="2891">
        <f>AA3</f>
        <v>8.0000000000000004E-4</v>
      </c>
    </row>
    <row r="4" spans="1:30" s="2009" customFormat="1" ht="12.75">
      <c r="B4" s="2025"/>
      <c r="J4" s="2895"/>
      <c r="K4" s="2896"/>
      <c r="L4" s="2897"/>
      <c r="M4" s="2897"/>
      <c r="N4" s="2897"/>
      <c r="O4" s="2897"/>
      <c r="P4" s="2897"/>
      <c r="Q4" s="2895"/>
      <c r="R4" s="2027"/>
      <c r="S4" s="2898"/>
      <c r="T4" s="2899"/>
      <c r="U4" s="2027"/>
      <c r="V4" s="2900"/>
      <c r="W4" s="2027"/>
      <c r="X4" s="2895"/>
      <c r="Y4" s="2028"/>
      <c r="Z4" s="2901"/>
      <c r="AA4" s="2902"/>
      <c r="AB4" s="2028"/>
      <c r="AC4" s="2903"/>
      <c r="AD4" s="2028"/>
    </row>
    <row r="5" spans="1:30" s="2045" customFormat="1" ht="12.75">
      <c r="A5" s="2040" t="s">
        <v>3351</v>
      </c>
      <c r="B5" s="2031">
        <v>2025</v>
      </c>
      <c r="C5" s="2042">
        <v>1</v>
      </c>
      <c r="D5" s="2007">
        <v>0</v>
      </c>
      <c r="E5" s="2007">
        <v>0</v>
      </c>
      <c r="F5" s="2007">
        <v>0</v>
      </c>
      <c r="G5" s="2007">
        <v>0</v>
      </c>
      <c r="H5" s="2007">
        <v>0</v>
      </c>
      <c r="I5" s="2008">
        <f t="shared" ref="I5" si="4">F5</f>
        <v>0</v>
      </c>
      <c r="J5" s="2905"/>
      <c r="K5" s="2043">
        <f t="shared" ref="K5" si="5">D5/100</f>
        <v>0</v>
      </c>
      <c r="L5" s="2028">
        <f t="shared" ref="L5" si="6">E5/100</f>
        <v>0</v>
      </c>
      <c r="M5" s="2028">
        <f t="shared" ref="M5" si="7">F5/100</f>
        <v>0</v>
      </c>
      <c r="N5" s="2028">
        <f t="shared" ref="N5" si="8">G5/100</f>
        <v>0</v>
      </c>
      <c r="O5" s="2028">
        <f t="shared" ref="O5" si="9">H5/100</f>
        <v>0</v>
      </c>
      <c r="P5" s="2028">
        <f>M5</f>
        <v>0</v>
      </c>
      <c r="Q5" s="2905"/>
      <c r="R5" s="2027">
        <f>ROUND(IF(项目基本情况!$B$8="出让",SUMPRODUCT(PRODUCT(1+K5:$K$21)),SUMPRODUCT(PRODUCT(1+K5:$K$20))),4)</f>
        <v>1.0511999999999999</v>
      </c>
      <c r="S5" s="2027">
        <f>ROUND(IF(项目基本情况!$B$8="出让",SUMPRODUCT(PRODUCT(1+L5:$L$21)),SUMPRODUCT(PRODUCT(1+L5:$L$20))),4)</f>
        <v>1.0398000000000001</v>
      </c>
      <c r="T5" s="2027">
        <f>ROUND(IF(项目基本情况!$B$8="出让",SUMPRODUCT(PRODUCT(1+M5:$M$21)),SUMPRODUCT(PRODUCT(1+M5:$M$20))),4)</f>
        <v>1.0003</v>
      </c>
      <c r="U5" s="2027">
        <f>ROUND(IF(项目基本情况!$B$8="出让",SUMPRODUCT(PRODUCT(1+N5:$N$21)),SUMPRODUCT(PRODUCT(1+N5:$N$20))),4)</f>
        <v>1.0561</v>
      </c>
      <c r="V5" s="2027">
        <f>ROUND(IF(项目基本情况!$B$8="出让",SUMPRODUCT(PRODUCT(1+O5:$O$21)),SUMPRODUCT(PRODUCT(1+O5:$O$20))),4)</f>
        <v>1.0827</v>
      </c>
      <c r="W5" s="2027">
        <f>T5</f>
        <v>1.0003</v>
      </c>
      <c r="X5" s="2905"/>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5" customFormat="1" ht="12.75">
      <c r="A6" s="2906" t="s">
        <v>3360</v>
      </c>
      <c r="B6" s="2907">
        <v>2024</v>
      </c>
      <c r="C6" s="2908">
        <v>4</v>
      </c>
      <c r="D6" s="2909">
        <v>-1.02</v>
      </c>
      <c r="E6" s="2909">
        <v>-0.48</v>
      </c>
      <c r="F6" s="2909">
        <v>-0.75</v>
      </c>
      <c r="G6" s="2909">
        <v>-1.05</v>
      </c>
      <c r="H6" s="2910">
        <v>0.08</v>
      </c>
      <c r="I6" s="2911">
        <f t="shared" ref="I6" si="15">F6</f>
        <v>-0.75</v>
      </c>
      <c r="J6" s="2912"/>
      <c r="K6" s="2913">
        <f t="shared" ref="K6" si="16">D6/100</f>
        <v>-1.0200000000000001E-2</v>
      </c>
      <c r="L6" s="2914">
        <f t="shared" ref="L6" si="17">E6/100</f>
        <v>-4.7999999999999996E-3</v>
      </c>
      <c r="M6" s="2914">
        <f t="shared" ref="M6" si="18">F6/100</f>
        <v>-7.4999999999999997E-3</v>
      </c>
      <c r="N6" s="2914">
        <f t="shared" ref="N6" si="19">G6/100</f>
        <v>-1.0500000000000001E-2</v>
      </c>
      <c r="O6" s="2914">
        <f t="shared" ref="O6" si="20">H6/100</f>
        <v>8.0000000000000004E-4</v>
      </c>
      <c r="P6" s="2914">
        <f>M6</f>
        <v>-7.4999999999999997E-3</v>
      </c>
      <c r="Q6" s="2912"/>
      <c r="R6" s="2912">
        <f>ROUND(IF(项目基本情况!$B$8="出让",SUMPRODUCT(PRODUCT(1+K6:$K$21)),SUMPRODUCT(PRODUCT(1+K6:$K$20))),4)</f>
        <v>1.0511999999999999</v>
      </c>
      <c r="S6" s="2912">
        <f>ROUND(IF(项目基本情况!$B$8="出让",SUMPRODUCT(PRODUCT(1+L6:$L$21)),SUMPRODUCT(PRODUCT(1+L6:$L$20))),4)</f>
        <v>1.0398000000000001</v>
      </c>
      <c r="T6" s="2912">
        <f>ROUND(IF(项目基本情况!$B$8="出让",SUMPRODUCT(PRODUCT(1+M6:$M$21)),SUMPRODUCT(PRODUCT(1+M6:$M$20))),4)</f>
        <v>1.0003</v>
      </c>
      <c r="U6" s="2912">
        <f>ROUND(IF(项目基本情况!$B$8="出让",SUMPRODUCT(PRODUCT(1+N6:$N$21)),SUMPRODUCT(PRODUCT(1+N6:$N$20))),4)</f>
        <v>1.0561</v>
      </c>
      <c r="V6" s="2912">
        <f>ROUND(IF(项目基本情况!$B$8="出让",SUMPRODUCT(PRODUCT(1+O6:$O$21)),SUMPRODUCT(PRODUCT(1+O6:$O$20))),4)</f>
        <v>1.0827</v>
      </c>
      <c r="W6" s="2912">
        <f>T6</f>
        <v>1.0003</v>
      </c>
      <c r="X6" s="2912"/>
      <c r="Y6" s="2914">
        <f>IF(D6=0,0,ROUND(AVERAGE(D6:D19)/100,4))</f>
        <v>2.8999999999999998E-3</v>
      </c>
      <c r="Z6" s="2914">
        <f t="shared" ref="Z6" si="21">IF(E6=0,0,ROUND(AVERAGE(E6:E19)/100,4))</f>
        <v>2.3E-3</v>
      </c>
      <c r="AA6" s="2914">
        <f t="shared" ref="AA6" si="22">IF(F6=0,0,ROUND(AVERAGE(F6:F19)/100,4))</f>
        <v>-2.9999999999999997E-4</v>
      </c>
      <c r="AB6" s="2914">
        <f t="shared" ref="AB6" si="23">IF(G6=0,0,ROUND(AVERAGE(G6:G19)/100,4))</f>
        <v>3.3E-3</v>
      </c>
      <c r="AC6" s="2914">
        <f t="shared" ref="AC6" si="24">IF(H6=0,0,ROUND(AVERAGE(H6:H19)/100,4))</f>
        <v>5.0000000000000001E-3</v>
      </c>
      <c r="AD6" s="2914">
        <f t="shared" ref="AD6" si="25">AA6</f>
        <v>-2.9999999999999997E-4</v>
      </c>
    </row>
    <row r="7" spans="1:30" s="2045" customFormat="1" ht="12.75">
      <c r="A7" s="2040" t="s">
        <v>3359</v>
      </c>
      <c r="B7" s="2031">
        <v>2024</v>
      </c>
      <c r="C7" s="2042">
        <v>3</v>
      </c>
      <c r="D7" s="2007">
        <v>-1.19</v>
      </c>
      <c r="E7" s="2007">
        <v>-0.47</v>
      </c>
      <c r="F7" s="2007">
        <v>-0.28999999999999998</v>
      </c>
      <c r="G7" s="2007">
        <v>-0.74</v>
      </c>
      <c r="H7" s="2007">
        <v>-0.21</v>
      </c>
      <c r="I7" s="2008">
        <f t="shared" ref="I7" si="26">F7</f>
        <v>-0.28999999999999998</v>
      </c>
      <c r="J7" s="2905"/>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5"/>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5"/>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2.75">
      <c r="A8" s="2904" t="s">
        <v>3352</v>
      </c>
      <c r="B8" s="2031">
        <v>2024</v>
      </c>
      <c r="C8" s="2042">
        <v>2</v>
      </c>
      <c r="D8" s="2007">
        <v>-0.59</v>
      </c>
      <c r="E8" s="2007">
        <v>-0.21</v>
      </c>
      <c r="F8" s="2007">
        <v>-1.38</v>
      </c>
      <c r="G8" s="2007">
        <v>-1.24</v>
      </c>
      <c r="H8" s="2916">
        <v>0.34</v>
      </c>
      <c r="I8" s="2008">
        <f t="shared" ref="I8:I21" si="37">F8</f>
        <v>-1.38</v>
      </c>
      <c r="J8" s="2905"/>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5"/>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5"/>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2.75">
      <c r="A9" s="2904" t="s">
        <v>3350</v>
      </c>
      <c r="B9" s="2031">
        <v>2024</v>
      </c>
      <c r="C9" s="2042">
        <v>1</v>
      </c>
      <c r="D9" s="2007">
        <v>0.08</v>
      </c>
      <c r="E9" s="2007">
        <v>0.46</v>
      </c>
      <c r="F9" s="2007">
        <v>-0.16</v>
      </c>
      <c r="G9" s="2007">
        <v>0.26</v>
      </c>
      <c r="H9" s="2916">
        <v>0.59</v>
      </c>
      <c r="I9" s="2008">
        <v>0</v>
      </c>
      <c r="J9" s="2905"/>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5"/>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5"/>
      <c r="Y9" s="2028"/>
      <c r="Z9" s="2028"/>
      <c r="AA9" s="2028"/>
      <c r="AB9" s="2028"/>
      <c r="AC9" s="2028"/>
      <c r="AD9" s="2028"/>
    </row>
    <row r="10" spans="1:30" s="2045" customFormat="1" ht="12.75">
      <c r="A10" s="2904" t="s">
        <v>3346</v>
      </c>
      <c r="B10" s="2031">
        <v>2023</v>
      </c>
      <c r="C10" s="2042">
        <v>4</v>
      </c>
      <c r="D10" s="2007">
        <v>0.19</v>
      </c>
      <c r="E10" s="2007">
        <v>0.24</v>
      </c>
      <c r="F10" s="2007">
        <v>-0.16</v>
      </c>
      <c r="G10" s="2007">
        <v>0.17</v>
      </c>
      <c r="H10" s="2916">
        <v>0.61</v>
      </c>
      <c r="I10" s="2008">
        <f>F10</f>
        <v>-0.16</v>
      </c>
      <c r="J10" s="2905"/>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5"/>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5"/>
      <c r="Y10" s="2028"/>
      <c r="Z10" s="2028"/>
      <c r="AA10" s="2028"/>
      <c r="AB10" s="2028"/>
      <c r="AC10" s="2028"/>
      <c r="AD10" s="2028"/>
    </row>
    <row r="11" spans="1:30" s="2045" customFormat="1" ht="12.75">
      <c r="A11" s="2904" t="s">
        <v>3345</v>
      </c>
      <c r="B11" s="2031">
        <v>2023</v>
      </c>
      <c r="C11" s="2042">
        <v>3</v>
      </c>
      <c r="D11" s="2007">
        <v>0.25</v>
      </c>
      <c r="E11" s="2007">
        <v>0.5</v>
      </c>
      <c r="F11" s="2007">
        <v>0.31</v>
      </c>
      <c r="G11" s="2007">
        <v>0.21</v>
      </c>
      <c r="H11" s="2916">
        <v>0.43</v>
      </c>
      <c r="I11" s="2008">
        <f t="shared" si="37"/>
        <v>0.31</v>
      </c>
      <c r="J11" s="2905"/>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5"/>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5"/>
      <c r="Y11" s="2028"/>
      <c r="Z11" s="2028"/>
      <c r="AA11" s="2028"/>
      <c r="AB11" s="2028"/>
      <c r="AC11" s="2028"/>
      <c r="AD11" s="2028"/>
    </row>
    <row r="12" spans="1:30" s="2045" customFormat="1" ht="12.75">
      <c r="A12" s="2904" t="s">
        <v>3343</v>
      </c>
      <c r="B12" s="2031">
        <v>2023</v>
      </c>
      <c r="C12" s="2042">
        <v>2</v>
      </c>
      <c r="D12" s="2007">
        <v>0.91</v>
      </c>
      <c r="E12" s="2007">
        <v>0.66</v>
      </c>
      <c r="F12" s="2007">
        <v>0.47</v>
      </c>
      <c r="G12" s="2007">
        <v>0.96</v>
      </c>
      <c r="H12" s="2916">
        <v>0.71</v>
      </c>
      <c r="I12" s="2008">
        <f t="shared" si="37"/>
        <v>0.47</v>
      </c>
      <c r="J12" s="2905"/>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5"/>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5"/>
      <c r="Y12" s="2028"/>
      <c r="Z12" s="2028"/>
      <c r="AA12" s="2028"/>
      <c r="AB12" s="2028"/>
      <c r="AC12" s="2028"/>
      <c r="AD12" s="2028"/>
    </row>
    <row r="13" spans="1:30" s="2045" customFormat="1" ht="12.75">
      <c r="A13" s="2904" t="s">
        <v>3342</v>
      </c>
      <c r="B13" s="2031">
        <v>2023</v>
      </c>
      <c r="C13" s="2042">
        <v>1</v>
      </c>
      <c r="D13" s="2007">
        <v>0.89</v>
      </c>
      <c r="E13" s="2007">
        <v>0.74</v>
      </c>
      <c r="F13" s="2007">
        <v>0.56999999999999995</v>
      </c>
      <c r="G13" s="2007">
        <v>0.92</v>
      </c>
      <c r="H13" s="2916">
        <v>0.5</v>
      </c>
      <c r="I13" s="2008">
        <f t="shared" si="37"/>
        <v>0.56999999999999995</v>
      </c>
      <c r="J13" s="2905"/>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5"/>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5"/>
      <c r="Y13" s="2028"/>
      <c r="Z13" s="2028"/>
      <c r="AA13" s="2028"/>
      <c r="AB13" s="2028"/>
      <c r="AC13" s="2028"/>
      <c r="AD13" s="2028"/>
    </row>
    <row r="14" spans="1:30" s="2045" customFormat="1" ht="12.75">
      <c r="A14" s="2904" t="s">
        <v>3341</v>
      </c>
      <c r="B14" s="2031">
        <v>2022</v>
      </c>
      <c r="C14" s="2042">
        <v>4</v>
      </c>
      <c r="D14" s="2007">
        <v>0.62</v>
      </c>
      <c r="E14" s="2007">
        <v>0.2</v>
      </c>
      <c r="F14" s="2007">
        <v>0.11</v>
      </c>
      <c r="G14" s="2007">
        <v>0.69</v>
      </c>
      <c r="H14" s="2916">
        <v>0.53</v>
      </c>
      <c r="I14" s="2008">
        <f t="shared" si="37"/>
        <v>0.11</v>
      </c>
      <c r="J14" s="2905"/>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5"/>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5"/>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2.75">
      <c r="A15" s="2904" t="s">
        <v>3339</v>
      </c>
      <c r="B15" s="2031">
        <v>2022</v>
      </c>
      <c r="C15" s="2042">
        <v>3</v>
      </c>
      <c r="D15" s="2007">
        <v>0.66</v>
      </c>
      <c r="E15" s="2007">
        <v>0.32</v>
      </c>
      <c r="F15" s="2007">
        <v>0.23</v>
      </c>
      <c r="G15" s="2007">
        <v>0.72</v>
      </c>
      <c r="H15" s="2916">
        <v>0.63</v>
      </c>
      <c r="I15" s="2008">
        <f t="shared" si="37"/>
        <v>0.23</v>
      </c>
      <c r="J15" s="2905"/>
      <c r="K15" s="2043">
        <f t="shared" si="38"/>
        <v>6.6E-3</v>
      </c>
      <c r="L15" s="2028">
        <f t="shared" si="38"/>
        <v>3.2000000000000002E-3</v>
      </c>
      <c r="M15" s="2028">
        <f t="shared" si="38"/>
        <v>2.3E-3</v>
      </c>
      <c r="N15" s="2028">
        <f t="shared" si="38"/>
        <v>7.1999999999999998E-3</v>
      </c>
      <c r="O15" s="2028">
        <f t="shared" si="38"/>
        <v>6.3E-3</v>
      </c>
      <c r="P15" s="2028">
        <f t="shared" si="58"/>
        <v>2.3E-3</v>
      </c>
      <c r="Q15" s="2905"/>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5"/>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2.75">
      <c r="A16" s="2904" t="s">
        <v>3330</v>
      </c>
      <c r="B16" s="2031">
        <v>2022</v>
      </c>
      <c r="C16" s="2042">
        <v>2</v>
      </c>
      <c r="D16" s="2007">
        <v>0.93</v>
      </c>
      <c r="E16" s="2007">
        <v>0.15</v>
      </c>
      <c r="F16" s="2007">
        <v>0.01</v>
      </c>
      <c r="G16" s="2007">
        <v>1.05</v>
      </c>
      <c r="H16" s="2916">
        <v>1.08</v>
      </c>
      <c r="I16" s="2008">
        <f t="shared" si="37"/>
        <v>0.01</v>
      </c>
      <c r="J16" s="2905"/>
      <c r="K16" s="2043">
        <f t="shared" si="38"/>
        <v>9.300000000000001E-3</v>
      </c>
      <c r="L16" s="2028">
        <f t="shared" si="38"/>
        <v>1.5E-3</v>
      </c>
      <c r="M16" s="2028">
        <f t="shared" si="38"/>
        <v>1E-4</v>
      </c>
      <c r="N16" s="2028">
        <f t="shared" si="38"/>
        <v>1.0500000000000001E-2</v>
      </c>
      <c r="O16" s="2028">
        <f t="shared" si="38"/>
        <v>1.0800000000000001E-2</v>
      </c>
      <c r="P16" s="2028">
        <f t="shared" si="58"/>
        <v>1E-4</v>
      </c>
      <c r="Q16" s="2905"/>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5"/>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2.75">
      <c r="A17" s="2904" t="s">
        <v>2795</v>
      </c>
      <c r="B17" s="2031">
        <v>2022</v>
      </c>
      <c r="C17" s="2042">
        <v>1</v>
      </c>
      <c r="D17" s="2007">
        <v>0.89</v>
      </c>
      <c r="E17" s="2007">
        <v>0.44</v>
      </c>
      <c r="F17" s="2007">
        <v>0.37</v>
      </c>
      <c r="G17" s="2007">
        <v>0.96</v>
      </c>
      <c r="H17" s="2916">
        <v>0.64</v>
      </c>
      <c r="I17" s="2008">
        <f t="shared" si="37"/>
        <v>0.37</v>
      </c>
      <c r="J17" s="2905"/>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5"/>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5"/>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2.75">
      <c r="A18" s="2904" t="s">
        <v>2796</v>
      </c>
      <c r="B18" s="2031">
        <v>2021</v>
      </c>
      <c r="C18" s="2042">
        <v>4</v>
      </c>
      <c r="D18" s="2007">
        <v>1.03</v>
      </c>
      <c r="E18" s="2007">
        <v>0.24</v>
      </c>
      <c r="F18" s="2007">
        <v>7.0000000000000007E-2</v>
      </c>
      <c r="G18" s="2007">
        <v>1.17</v>
      </c>
      <c r="H18" s="2916">
        <v>0.55000000000000004</v>
      </c>
      <c r="I18" s="2008">
        <f t="shared" si="37"/>
        <v>7.0000000000000007E-2</v>
      </c>
      <c r="J18" s="2905"/>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5"/>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5"/>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2.75">
      <c r="A19" s="2904" t="s">
        <v>2797</v>
      </c>
      <c r="B19" s="2031">
        <v>2021</v>
      </c>
      <c r="C19" s="2042">
        <v>3</v>
      </c>
      <c r="D19" s="2007">
        <v>0.47</v>
      </c>
      <c r="E19" s="2007">
        <v>0.41</v>
      </c>
      <c r="F19" s="2007">
        <v>0.24</v>
      </c>
      <c r="G19" s="2007">
        <v>0.48</v>
      </c>
      <c r="H19" s="2916">
        <v>0.48</v>
      </c>
      <c r="I19" s="2008">
        <f t="shared" si="37"/>
        <v>0.24</v>
      </c>
      <c r="J19" s="2905"/>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5"/>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5"/>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2.75">
      <c r="A20" s="2904" t="s">
        <v>2798</v>
      </c>
      <c r="B20" s="2031">
        <v>2021</v>
      </c>
      <c r="C20" s="2042">
        <v>2</v>
      </c>
      <c r="D20" s="2007">
        <v>0.92</v>
      </c>
      <c r="E20" s="2007">
        <v>0.72</v>
      </c>
      <c r="F20" s="2007">
        <v>0.41</v>
      </c>
      <c r="G20" s="2007">
        <v>0.95</v>
      </c>
      <c r="H20" s="2916">
        <v>1.01</v>
      </c>
      <c r="I20" s="2008">
        <f t="shared" si="37"/>
        <v>0.41</v>
      </c>
      <c r="J20" s="2905"/>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5"/>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5"/>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7" customFormat="1" thickBot="1">
      <c r="A21" s="2917" t="s">
        <v>2799</v>
      </c>
      <c r="B21" s="2918">
        <v>2021</v>
      </c>
      <c r="C21" s="2919">
        <v>1</v>
      </c>
      <c r="D21" s="2920">
        <v>0.97</v>
      </c>
      <c r="E21" s="2920">
        <v>0.16</v>
      </c>
      <c r="F21" s="2920">
        <v>-0.25</v>
      </c>
      <c r="G21" s="2920">
        <v>1.1100000000000001</v>
      </c>
      <c r="H21" s="2921">
        <v>0.36</v>
      </c>
      <c r="I21" s="2922">
        <f t="shared" si="37"/>
        <v>-0.25</v>
      </c>
      <c r="J21" s="2923"/>
      <c r="K21" s="2924">
        <f t="shared" si="38"/>
        <v>9.7000000000000003E-3</v>
      </c>
      <c r="L21" s="2925">
        <f t="shared" si="38"/>
        <v>1.6000000000000001E-3</v>
      </c>
      <c r="M21" s="2925">
        <f>F21/100</f>
        <v>-2.5000000000000001E-3</v>
      </c>
      <c r="N21" s="2925">
        <f t="shared" si="38"/>
        <v>1.11E-2</v>
      </c>
      <c r="O21" s="2925">
        <f t="shared" si="38"/>
        <v>3.5999999999999999E-3</v>
      </c>
      <c r="P21" s="2925">
        <f t="shared" si="58"/>
        <v>-2.5000000000000001E-3</v>
      </c>
      <c r="Q21" s="2923"/>
      <c r="R21" s="2926">
        <v>1</v>
      </c>
      <c r="S21" s="2926">
        <v>1</v>
      </c>
      <c r="T21" s="2926">
        <v>1</v>
      </c>
      <c r="U21" s="2926">
        <v>1</v>
      </c>
      <c r="V21" s="2926">
        <v>1</v>
      </c>
      <c r="W21" s="2926">
        <f t="shared" ref="W21" si="64">T21</f>
        <v>1</v>
      </c>
      <c r="X21" s="2923"/>
      <c r="Y21" s="2925">
        <f>IF(D21=0,0,ROUND(AVERAGE(D21:D21)/100,4))</f>
        <v>9.7000000000000003E-3</v>
      </c>
      <c r="Z21" s="2925">
        <f>IF(E21=0,0,ROUND(AVERAGE(E21:E21)/100,4))</f>
        <v>1.6000000000000001E-3</v>
      </c>
      <c r="AA21" s="2925">
        <f>IF(F21=0,0,ROUND(AVERAGE(F21:F21)/100,4))</f>
        <v>-2.5000000000000001E-3</v>
      </c>
      <c r="AB21" s="2925">
        <f>IF(G21=0,0,ROUND(AVERAGE(G21:G21)/100,4))</f>
        <v>1.11E-2</v>
      </c>
      <c r="AC21" s="2925">
        <f>IF(H21=0,0,ROUND(AVERAGE(H21:H21)/100,4))</f>
        <v>3.5999999999999999E-3</v>
      </c>
      <c r="AD21" s="2925">
        <f>AA21</f>
        <v>-2.5000000000000001E-3</v>
      </c>
    </row>
    <row r="22" spans="1:30" ht="14.25" thickTop="1"/>
    <row r="23" spans="1:30">
      <c r="A23" s="3142" t="s">
        <v>3358</v>
      </c>
    </row>
    <row r="24" spans="1:30">
      <c r="I24" s="1405" t="s">
        <v>2800</v>
      </c>
    </row>
    <row r="26" spans="1:30" s="2009" customFormat="1" ht="12.75">
      <c r="B26" s="2928" t="s">
        <v>3356</v>
      </c>
      <c r="C26" s="2929"/>
      <c r="D26" s="2929"/>
      <c r="E26" s="2929"/>
      <c r="F26" s="2929"/>
      <c r="G26" s="2929"/>
      <c r="H26" s="2929"/>
      <c r="I26" s="2929"/>
      <c r="J26" s="2895"/>
      <c r="K26" s="2929" t="s">
        <v>2801</v>
      </c>
      <c r="L26" s="2929"/>
      <c r="M26" s="2929"/>
      <c r="N26" s="2929"/>
      <c r="O26" s="2929"/>
      <c r="P26" s="2929"/>
      <c r="Q26" s="2895"/>
      <c r="R26" s="3538" t="s">
        <v>2802</v>
      </c>
      <c r="S26" s="3539"/>
      <c r="T26" s="3539"/>
      <c r="U26" s="3539"/>
      <c r="V26" s="3539"/>
      <c r="W26" s="3539"/>
      <c r="X26" s="2895"/>
      <c r="Y26" s="3538" t="s">
        <v>2803</v>
      </c>
      <c r="Z26" s="3539"/>
      <c r="AA26" s="3539"/>
      <c r="AB26" s="3539"/>
      <c r="AC26" s="3539"/>
      <c r="AD26" s="3539"/>
    </row>
    <row r="27" spans="1:30" s="2010" customFormat="1" ht="14.25" thickBot="1">
      <c r="B27" s="2880"/>
      <c r="C27" s="2881"/>
      <c r="D27" s="2011" t="s">
        <v>2804</v>
      </c>
      <c r="E27" s="2012" t="s">
        <v>2805</v>
      </c>
      <c r="F27" s="2012" t="s">
        <v>2806</v>
      </c>
      <c r="G27" s="2012" t="s">
        <v>2807</v>
      </c>
      <c r="H27" s="2012"/>
      <c r="I27" s="2012" t="s">
        <v>2808</v>
      </c>
      <c r="J27" s="2882"/>
      <c r="K27" s="2011" t="s">
        <v>2804</v>
      </c>
      <c r="L27" s="2012" t="s">
        <v>2805</v>
      </c>
      <c r="M27" s="2012" t="s">
        <v>2806</v>
      </c>
      <c r="N27" s="2012" t="s">
        <v>2807</v>
      </c>
      <c r="O27" s="2012"/>
      <c r="P27" s="2012" t="s">
        <v>2808</v>
      </c>
      <c r="Q27" s="2882"/>
      <c r="R27" s="2011" t="s">
        <v>2804</v>
      </c>
      <c r="S27" s="2012" t="s">
        <v>2805</v>
      </c>
      <c r="T27" s="2012" t="s">
        <v>2806</v>
      </c>
      <c r="U27" s="2012" t="s">
        <v>2807</v>
      </c>
      <c r="V27" s="2012"/>
      <c r="W27" s="2012" t="s">
        <v>2808</v>
      </c>
      <c r="X27" s="2882"/>
      <c r="Y27" s="2011" t="s">
        <v>2804</v>
      </c>
      <c r="Z27" s="2012" t="s">
        <v>2805</v>
      </c>
      <c r="AA27" s="2012" t="s">
        <v>2806</v>
      </c>
      <c r="AB27" s="2012" t="s">
        <v>2807</v>
      </c>
      <c r="AC27" s="2012"/>
      <c r="AD27" s="2012" t="s">
        <v>2808</v>
      </c>
    </row>
    <row r="28" spans="1:30" s="2885" customFormat="1" ht="12.75">
      <c r="A28" s="2883" t="s">
        <v>2809</v>
      </c>
      <c r="B28" s="2884"/>
      <c r="E28" s="2885">
        <f t="shared" ref="E28:G28" si="65">ROUND(AVERAGEIF(E29:E46,"&lt;&gt;0"),2)</f>
        <v>0.21</v>
      </c>
      <c r="F28" s="2885">
        <f t="shared" si="65"/>
        <v>0.14000000000000001</v>
      </c>
      <c r="G28" s="2885">
        <f t="shared" si="65"/>
        <v>0.3</v>
      </c>
      <c r="I28" s="2885">
        <f>F28</f>
        <v>0.14000000000000001</v>
      </c>
      <c r="J28" s="2886"/>
      <c r="K28" s="2887"/>
      <c r="L28" s="2888">
        <f t="shared" ref="L28:N28" si="66">ROUND(AVERAGEIF(L29:L46,"&lt;&gt;0"),4)</f>
        <v>2.0999999999999999E-3</v>
      </c>
      <c r="M28" s="2888">
        <f t="shared" si="66"/>
        <v>1.4E-3</v>
      </c>
      <c r="N28" s="2888">
        <f t="shared" si="66"/>
        <v>3.0000000000000001E-3</v>
      </c>
      <c r="O28" s="2888"/>
      <c r="P28" s="2888">
        <f>M28</f>
        <v>1.4E-3</v>
      </c>
      <c r="Q28" s="2886"/>
      <c r="R28" s="2889"/>
      <c r="S28" s="2890">
        <f>ROUND(SUMPRODUCT(PRODUCT(1+L29:L46)),4)</f>
        <v>1.0337000000000001</v>
      </c>
      <c r="T28" s="2890">
        <f t="shared" ref="T28:U28" si="67">ROUND(SUMPRODUCT(PRODUCT(1+M29:M46)),4)</f>
        <v>1.022</v>
      </c>
      <c r="U28" s="2890">
        <f t="shared" si="67"/>
        <v>1.0489999999999999</v>
      </c>
      <c r="V28" s="2890"/>
      <c r="W28" s="2889">
        <f>T28</f>
        <v>1.022</v>
      </c>
      <c r="X28" s="2886"/>
      <c r="Y28" s="2891"/>
      <c r="Z28" s="2892">
        <f t="shared" ref="Z28:AB28" si="68">ROUND(AVERAGEIF(Z29:Z46,"&lt;&gt;0"),4)</f>
        <v>3.8E-3</v>
      </c>
      <c r="AA28" s="2893">
        <f t="shared" si="68"/>
        <v>3.0000000000000001E-3</v>
      </c>
      <c r="AB28" s="2891">
        <f t="shared" si="68"/>
        <v>7.4999999999999997E-3</v>
      </c>
      <c r="AC28" s="2894"/>
      <c r="AD28" s="2891">
        <f>AA28</f>
        <v>3.0000000000000001E-3</v>
      </c>
    </row>
    <row r="29" spans="1:30" s="2009" customFormat="1" ht="12.75">
      <c r="B29" s="2025"/>
      <c r="J29" s="2895"/>
      <c r="K29" s="2896"/>
      <c r="L29" s="2897"/>
      <c r="M29" s="2897"/>
      <c r="N29" s="2897"/>
      <c r="O29" s="2897"/>
      <c r="P29" s="2897"/>
      <c r="Q29" s="2895"/>
      <c r="R29" s="2027"/>
      <c r="S29" s="2898"/>
      <c r="T29" s="2899"/>
      <c r="U29" s="2027"/>
      <c r="V29" s="2900"/>
      <c r="W29" s="2027"/>
      <c r="X29" s="2895"/>
      <c r="Y29" s="2028"/>
      <c r="Z29" s="2901"/>
      <c r="AA29" s="2902"/>
      <c r="AB29" s="2028"/>
      <c r="AC29" s="2903"/>
      <c r="AD29" s="2028"/>
    </row>
    <row r="30" spans="1:30" s="2045" customFormat="1" ht="12.75">
      <c r="A30" s="2040" t="s">
        <v>3351</v>
      </c>
      <c r="B30" s="2031">
        <v>2025</v>
      </c>
      <c r="C30" s="2042">
        <v>1</v>
      </c>
      <c r="D30" s="2007"/>
      <c r="E30" s="2007">
        <v>0</v>
      </c>
      <c r="F30" s="2007">
        <v>0</v>
      </c>
      <c r="G30" s="2007">
        <v>0</v>
      </c>
      <c r="H30" s="2007"/>
      <c r="I30" s="2008">
        <f t="shared" ref="I30" si="69">F30</f>
        <v>0</v>
      </c>
      <c r="J30" s="2905"/>
      <c r="K30" s="2043"/>
      <c r="L30" s="2028">
        <f t="shared" ref="L30" si="70">E30/100</f>
        <v>0</v>
      </c>
      <c r="M30" s="2028">
        <f t="shared" ref="M30" si="71">F30/100</f>
        <v>0</v>
      </c>
      <c r="N30" s="2028">
        <f t="shared" ref="N30" si="72">G30/100</f>
        <v>0</v>
      </c>
      <c r="O30" s="2028"/>
      <c r="P30" s="2028">
        <f>M30</f>
        <v>0</v>
      </c>
      <c r="Q30" s="2905"/>
      <c r="R30" s="2027"/>
      <c r="S30" s="2027">
        <f>ROUND(IF(项目基本情况!$B$8="出让",SUMPRODUCT(PRODUCT(1+L30:L$46)),SUMPRODUCT(PRODUCT(1+L30:L$45))),4)</f>
        <v>1.0301</v>
      </c>
      <c r="T30" s="2027">
        <f>ROUND(IF(项目基本情况!$B$8="出让",SUMPRODUCT(PRODUCT(1+M30:M$46)),SUMPRODUCT(PRODUCT(1+M30:M$45))),4)</f>
        <v>1.0170999999999999</v>
      </c>
      <c r="U30" s="2027">
        <f>ROUND(IF(项目基本情况!$B$8="出让",SUMPRODUCT(PRODUCT(1+N30:N$46)),SUMPRODUCT(PRODUCT(1+N30:N$45))),4)</f>
        <v>1.0387999999999999</v>
      </c>
      <c r="V30" s="2027"/>
      <c r="W30" s="2027">
        <f>T30</f>
        <v>1.0170999999999999</v>
      </c>
      <c r="X30" s="2905"/>
      <c r="Y30" s="2028"/>
      <c r="Z30" s="2901">
        <f t="shared" ref="Z30" si="73">IF(E30=0,0,ROUND(AVERAGE(E30:E43)/100,4))</f>
        <v>0</v>
      </c>
      <c r="AA30" s="2901">
        <f t="shared" ref="AA30" si="74">IF(F30=0,0,ROUND(AVERAGE(F30:F43)/100,4))</f>
        <v>0</v>
      </c>
      <c r="AB30" s="2901">
        <f t="shared" ref="AB30" si="75">IF(G30=0,0,ROUND(AVERAGE(G30:G43)/100,4))</f>
        <v>0</v>
      </c>
      <c r="AC30" s="2903"/>
      <c r="AD30" s="2028">
        <f>IF(I30=0,0,ROUND(AVERAGE(I30:I43)/100,4))</f>
        <v>0</v>
      </c>
    </row>
    <row r="31" spans="1:30" s="2915" customFormat="1" ht="12.75">
      <c r="A31" s="2906" t="s">
        <v>3353</v>
      </c>
      <c r="B31" s="2907">
        <v>2024</v>
      </c>
      <c r="C31" s="2908">
        <v>4</v>
      </c>
      <c r="D31" s="2909"/>
      <c r="E31" s="2909">
        <v>-0.61</v>
      </c>
      <c r="F31" s="2909">
        <v>-0.71</v>
      </c>
      <c r="G31" s="2909">
        <v>-0.88</v>
      </c>
      <c r="H31" s="2910"/>
      <c r="I31" s="2911">
        <f t="shared" ref="I31" si="76">F31</f>
        <v>-0.71</v>
      </c>
      <c r="J31" s="2912"/>
      <c r="K31" s="2913"/>
      <c r="L31" s="2914">
        <f t="shared" ref="L31" si="77">E31/100</f>
        <v>-6.0999999999999995E-3</v>
      </c>
      <c r="M31" s="2914">
        <f t="shared" ref="M31" si="78">F31/100</f>
        <v>-7.0999999999999995E-3</v>
      </c>
      <c r="N31" s="2914">
        <f t="shared" ref="N31" si="79">G31/100</f>
        <v>-8.8000000000000005E-3</v>
      </c>
      <c r="O31" s="2914"/>
      <c r="P31" s="2914">
        <f>M31</f>
        <v>-7.0999999999999995E-3</v>
      </c>
      <c r="Q31" s="2912"/>
      <c r="R31" s="2912"/>
      <c r="S31" s="2912">
        <f>ROUND(IF(项目基本情况!$B$8="出让",SUMPRODUCT(PRODUCT(1+L31:L$46)),SUMPRODUCT(PRODUCT(1+L31:L$45))),4)</f>
        <v>1.0301</v>
      </c>
      <c r="T31" s="2912">
        <f>ROUND(IF(项目基本情况!$B$8="出让",SUMPRODUCT(PRODUCT(1+M31:M$46)),SUMPRODUCT(PRODUCT(1+M31:M$45))),4)</f>
        <v>1.0170999999999999</v>
      </c>
      <c r="U31" s="2912">
        <f>ROUND(IF(项目基本情况!$B$8="出让",SUMPRODUCT(PRODUCT(1+N31:N$46)),SUMPRODUCT(PRODUCT(1+N31:N$45))),4)</f>
        <v>1.0387999999999999</v>
      </c>
      <c r="V31" s="2912"/>
      <c r="W31" s="2912">
        <f>T31</f>
        <v>1.0170999999999999</v>
      </c>
      <c r="X31" s="2912"/>
      <c r="Y31" s="2914"/>
      <c r="Z31" s="2930">
        <f t="shared" ref="Z31" si="80">IF(E31=0,0,ROUND(AVERAGE(E31:E44)/100,4))</f>
        <v>1.6999999999999999E-3</v>
      </c>
      <c r="AA31" s="2931">
        <f t="shared" ref="AA31" si="81">IF(F31=0,0,ROUND(AVERAGE(F31:F44)/100,4))</f>
        <v>8.9999999999999998E-4</v>
      </c>
      <c r="AB31" s="2914">
        <f t="shared" ref="AB31" si="82">IF(G31=0,0,ROUND(AVERAGE(G31:G44)/100,4))</f>
        <v>2E-3</v>
      </c>
      <c r="AC31" s="2932"/>
      <c r="AD31" s="2914">
        <f>IF(I31=0,0,ROUND(AVERAGE(I31:I44)/100,4))</f>
        <v>8.9999999999999998E-4</v>
      </c>
    </row>
    <row r="32" spans="1:30" s="2045" customFormat="1" ht="12.75">
      <c r="A32" s="2040" t="s">
        <v>3348</v>
      </c>
      <c r="B32" s="2031">
        <v>2024</v>
      </c>
      <c r="C32" s="2042">
        <v>3</v>
      </c>
      <c r="D32" s="2007"/>
      <c r="E32" s="2007">
        <v>-0.66</v>
      </c>
      <c r="F32" s="2007">
        <v>-0.52</v>
      </c>
      <c r="G32" s="2007">
        <v>-2.87</v>
      </c>
      <c r="H32" s="2007"/>
      <c r="I32" s="2008">
        <f t="shared" ref="I32" si="83">F32</f>
        <v>-0.52</v>
      </c>
      <c r="J32" s="2905"/>
      <c r="K32" s="2043"/>
      <c r="L32" s="2028">
        <f t="shared" ref="L32" si="84">E32/100</f>
        <v>-6.6E-3</v>
      </c>
      <c r="M32" s="2028">
        <f t="shared" ref="M32" si="85">F32/100</f>
        <v>-5.1999999999999998E-3</v>
      </c>
      <c r="N32" s="2028">
        <f t="shared" ref="N32" si="86">G32/100</f>
        <v>-2.87E-2</v>
      </c>
      <c r="O32" s="2028"/>
      <c r="P32" s="2028">
        <f>M32</f>
        <v>-5.1999999999999998E-3</v>
      </c>
      <c r="Q32" s="2905"/>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5"/>
      <c r="Y32" s="2028"/>
      <c r="Z32" s="2901">
        <f t="shared" ref="Z32:AB33" si="87">IF(E32=0,0,ROUND(AVERAGE(E32:E45)/100,4))</f>
        <v>2.5999999999999999E-3</v>
      </c>
      <c r="AA32" s="2901">
        <f t="shared" si="87"/>
        <v>1.6999999999999999E-3</v>
      </c>
      <c r="AB32" s="2901">
        <f t="shared" si="87"/>
        <v>3.3999999999999998E-3</v>
      </c>
      <c r="AC32" s="2903"/>
      <c r="AD32" s="2028">
        <f>IF(I32=0,0,ROUND(AVERAGE(I32:I45)/100,4))</f>
        <v>1.6999999999999999E-3</v>
      </c>
    </row>
    <row r="33" spans="1:30" s="2045" customFormat="1" ht="12.75">
      <c r="A33" s="2904" t="s">
        <v>3354</v>
      </c>
      <c r="B33" s="2031">
        <v>2024</v>
      </c>
      <c r="C33" s="2042">
        <v>2</v>
      </c>
      <c r="D33" s="2007"/>
      <c r="E33" s="2007">
        <v>-0.31</v>
      </c>
      <c r="F33" s="2007">
        <v>-0.39</v>
      </c>
      <c r="G33" s="2007">
        <v>1.23</v>
      </c>
      <c r="H33" s="2916"/>
      <c r="I33" s="2008">
        <f t="shared" ref="I33:I46" si="88">F33</f>
        <v>-0.39</v>
      </c>
      <c r="J33" s="2905"/>
      <c r="K33" s="2043"/>
      <c r="L33" s="2028">
        <f t="shared" ref="L33:N46" si="89">E33/100</f>
        <v>-3.0999999999999999E-3</v>
      </c>
      <c r="M33" s="2028">
        <f t="shared" si="89"/>
        <v>-3.9000000000000003E-3</v>
      </c>
      <c r="N33" s="2028">
        <f t="shared" si="89"/>
        <v>1.23E-2</v>
      </c>
      <c r="O33" s="2028"/>
      <c r="P33" s="2028">
        <f>M33</f>
        <v>-3.9000000000000003E-3</v>
      </c>
      <c r="Q33" s="2905"/>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5"/>
      <c r="Y33" s="2028"/>
      <c r="Z33" s="2901">
        <f t="shared" si="87"/>
        <v>3.3E-3</v>
      </c>
      <c r="AA33" s="2902">
        <f t="shared" si="87"/>
        <v>2.3999999999999998E-3</v>
      </c>
      <c r="AB33" s="2028">
        <f t="shared" si="87"/>
        <v>6.1999999999999998E-3</v>
      </c>
      <c r="AC33" s="2903"/>
      <c r="AD33" s="2028">
        <f>IF(I33=0,0,ROUND(AVERAGE(I33:I46)/100,4))</f>
        <v>2.3999999999999998E-3</v>
      </c>
    </row>
    <row r="34" spans="1:30" s="2045" customFormat="1" ht="12.75">
      <c r="A34" s="2904" t="s">
        <v>3349</v>
      </c>
      <c r="B34" s="2031">
        <v>2024</v>
      </c>
      <c r="C34" s="2042">
        <v>1</v>
      </c>
      <c r="D34" s="2007"/>
      <c r="E34" s="2007">
        <v>0.25</v>
      </c>
      <c r="F34" s="2007">
        <v>0.4</v>
      </c>
      <c r="G34" s="2007">
        <v>-0.63</v>
      </c>
      <c r="H34" s="2916"/>
      <c r="I34" s="2008">
        <f t="shared" ref="I34:I35" si="90">F34</f>
        <v>0.4</v>
      </c>
      <c r="J34" s="2905"/>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5"/>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5"/>
      <c r="Y34" s="2028"/>
      <c r="Z34" s="2901"/>
      <c r="AA34" s="2902"/>
      <c r="AB34" s="2028"/>
      <c r="AC34" s="2903"/>
      <c r="AD34" s="2028"/>
    </row>
    <row r="35" spans="1:30" s="2045" customFormat="1" ht="12.75">
      <c r="A35" s="2904" t="s">
        <v>3347</v>
      </c>
      <c r="B35" s="2031">
        <v>2023</v>
      </c>
      <c r="C35" s="2042">
        <v>4</v>
      </c>
      <c r="D35" s="2007"/>
      <c r="E35" s="2007">
        <v>7.0000000000000007E-2</v>
      </c>
      <c r="F35" s="2007">
        <v>0.09</v>
      </c>
      <c r="G35" s="2007">
        <v>0.03</v>
      </c>
      <c r="H35" s="2916"/>
      <c r="I35" s="2008">
        <f t="shared" si="90"/>
        <v>0.09</v>
      </c>
      <c r="J35" s="2905"/>
      <c r="K35" s="2043"/>
      <c r="L35" s="2028">
        <f t="shared" si="89"/>
        <v>7.000000000000001E-4</v>
      </c>
      <c r="M35" s="2028">
        <f t="shared" si="89"/>
        <v>8.9999999999999998E-4</v>
      </c>
      <c r="N35" s="2028">
        <f t="shared" si="89"/>
        <v>2.9999999999999997E-4</v>
      </c>
      <c r="O35" s="2028"/>
      <c r="P35" s="2028">
        <f t="shared" ref="P35" si="96">M35</f>
        <v>8.9999999999999998E-4</v>
      </c>
      <c r="Q35" s="2905"/>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5"/>
      <c r="Y35" s="2028"/>
      <c r="Z35" s="2901"/>
      <c r="AA35" s="2902"/>
      <c r="AB35" s="2028"/>
      <c r="AC35" s="2903"/>
      <c r="AD35" s="2028"/>
    </row>
    <row r="36" spans="1:30" s="2045" customFormat="1" ht="12.75">
      <c r="A36" s="2904" t="s">
        <v>3345</v>
      </c>
      <c r="B36" s="2031">
        <v>2023</v>
      </c>
      <c r="C36" s="2042">
        <v>3</v>
      </c>
      <c r="D36" s="2007"/>
      <c r="E36" s="2007">
        <v>0.35</v>
      </c>
      <c r="F36" s="2007">
        <v>0.17</v>
      </c>
      <c r="G36" s="2007">
        <v>0.52</v>
      </c>
      <c r="H36" s="2916"/>
      <c r="I36" s="2008">
        <f t="shared" si="88"/>
        <v>0.17</v>
      </c>
      <c r="J36" s="2905"/>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5"/>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5"/>
      <c r="Y36" s="2028"/>
      <c r="Z36" s="2901"/>
      <c r="AA36" s="2902"/>
      <c r="AB36" s="2028"/>
      <c r="AC36" s="2903"/>
      <c r="AD36" s="2028"/>
    </row>
    <row r="37" spans="1:30" s="2045" customFormat="1" ht="12.75">
      <c r="A37" s="2904" t="s">
        <v>3344</v>
      </c>
      <c r="B37" s="2031">
        <v>2023</v>
      </c>
      <c r="C37" s="2042">
        <v>2</v>
      </c>
      <c r="D37" s="2007"/>
      <c r="E37" s="2007">
        <v>0.5</v>
      </c>
      <c r="F37" s="2007">
        <v>0.45</v>
      </c>
      <c r="G37" s="2007">
        <v>0.89</v>
      </c>
      <c r="H37" s="2916"/>
      <c r="I37" s="2008">
        <f t="shared" si="88"/>
        <v>0.45</v>
      </c>
      <c r="J37" s="2905"/>
      <c r="K37" s="2043"/>
      <c r="L37" s="2028">
        <f t="shared" si="98"/>
        <v>5.0000000000000001E-3</v>
      </c>
      <c r="M37" s="2028">
        <f t="shared" si="99"/>
        <v>4.5000000000000005E-3</v>
      </c>
      <c r="N37" s="2028">
        <f t="shared" si="100"/>
        <v>8.8999999999999999E-3</v>
      </c>
      <c r="O37" s="2028"/>
      <c r="P37" s="2028">
        <f t="shared" si="101"/>
        <v>4.5000000000000005E-3</v>
      </c>
      <c r="Q37" s="2905"/>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5"/>
      <c r="Y37" s="2028"/>
      <c r="Z37" s="2901"/>
      <c r="AA37" s="2902"/>
      <c r="AB37" s="2028"/>
      <c r="AC37" s="2903"/>
      <c r="AD37" s="2028"/>
    </row>
    <row r="38" spans="1:30" s="2045" customFormat="1" ht="12.75">
      <c r="A38" s="2904" t="s">
        <v>3342</v>
      </c>
      <c r="B38" s="2031">
        <v>2023</v>
      </c>
      <c r="C38" s="2042">
        <v>1</v>
      </c>
      <c r="D38" s="2007"/>
      <c r="E38" s="2007">
        <v>0.55000000000000004</v>
      </c>
      <c r="F38" s="2007">
        <v>0.59</v>
      </c>
      <c r="G38" s="2007">
        <v>0.64</v>
      </c>
      <c r="H38" s="2916"/>
      <c r="I38" s="2008">
        <f t="shared" si="88"/>
        <v>0.59</v>
      </c>
      <c r="J38" s="2905"/>
      <c r="K38" s="2043"/>
      <c r="L38" s="2028">
        <f t="shared" si="98"/>
        <v>5.5000000000000005E-3</v>
      </c>
      <c r="M38" s="2028">
        <f t="shared" si="99"/>
        <v>5.8999999999999999E-3</v>
      </c>
      <c r="N38" s="2028">
        <f t="shared" si="100"/>
        <v>6.4000000000000003E-3</v>
      </c>
      <c r="O38" s="2028"/>
      <c r="P38" s="2028">
        <f t="shared" si="101"/>
        <v>5.8999999999999999E-3</v>
      </c>
      <c r="Q38" s="2905"/>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5"/>
      <c r="Y38" s="2028"/>
      <c r="Z38" s="2901"/>
      <c r="AA38" s="2902"/>
      <c r="AB38" s="2028"/>
      <c r="AC38" s="2903"/>
      <c r="AD38" s="2028"/>
    </row>
    <row r="39" spans="1:30" s="2045" customFormat="1" ht="12.75">
      <c r="A39" s="2904" t="s">
        <v>3341</v>
      </c>
      <c r="B39" s="2031">
        <v>2022</v>
      </c>
      <c r="C39" s="2042">
        <v>4</v>
      </c>
      <c r="D39" s="2007"/>
      <c r="E39" s="2007">
        <v>0.45</v>
      </c>
      <c r="F39" s="2007">
        <v>0.2</v>
      </c>
      <c r="G39" s="2007">
        <v>0.38</v>
      </c>
      <c r="H39" s="2916"/>
      <c r="I39" s="2008">
        <f t="shared" si="88"/>
        <v>0.2</v>
      </c>
      <c r="J39" s="2905"/>
      <c r="K39" s="2043"/>
      <c r="L39" s="2028">
        <f t="shared" si="89"/>
        <v>4.5000000000000005E-3</v>
      </c>
      <c r="M39" s="2028">
        <f t="shared" si="89"/>
        <v>2E-3</v>
      </c>
      <c r="N39" s="2028">
        <f t="shared" si="89"/>
        <v>3.8E-3</v>
      </c>
      <c r="O39" s="2028"/>
      <c r="P39" s="2028">
        <f t="shared" ref="P39:P46" si="103">M39</f>
        <v>2E-3</v>
      </c>
      <c r="Q39" s="2905"/>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5"/>
      <c r="Y39" s="2028"/>
      <c r="Z39" s="2901">
        <f t="shared" ref="Z39:AD46" si="105">IF(E39=0,0,ROUND(AVERAGE(E39:E47)/100,4))</f>
        <v>4.0000000000000001E-3</v>
      </c>
      <c r="AA39" s="2902">
        <f t="shared" si="105"/>
        <v>2.5999999999999999E-3</v>
      </c>
      <c r="AB39" s="2028">
        <f t="shared" si="105"/>
        <v>7.4000000000000003E-3</v>
      </c>
      <c r="AC39" s="2903"/>
      <c r="AD39" s="2028">
        <f t="shared" si="105"/>
        <v>2.5999999999999999E-3</v>
      </c>
    </row>
    <row r="40" spans="1:30" s="2045" customFormat="1" ht="12.75">
      <c r="A40" s="2904" t="s">
        <v>3340</v>
      </c>
      <c r="B40" s="2031">
        <v>2022</v>
      </c>
      <c r="C40" s="2042">
        <v>3</v>
      </c>
      <c r="D40" s="2007"/>
      <c r="E40" s="2007">
        <v>0.3</v>
      </c>
      <c r="F40" s="2007">
        <v>0.28999999999999998</v>
      </c>
      <c r="G40" s="2007">
        <v>0.83</v>
      </c>
      <c r="H40" s="2916"/>
      <c r="I40" s="2008">
        <f t="shared" si="88"/>
        <v>0.28999999999999998</v>
      </c>
      <c r="J40" s="2905"/>
      <c r="K40" s="2043"/>
      <c r="L40" s="2028">
        <f t="shared" si="89"/>
        <v>3.0000000000000001E-3</v>
      </c>
      <c r="M40" s="2028">
        <f t="shared" si="89"/>
        <v>2.8999999999999998E-3</v>
      </c>
      <c r="N40" s="2028">
        <f t="shared" si="89"/>
        <v>8.3000000000000001E-3</v>
      </c>
      <c r="O40" s="2028"/>
      <c r="P40" s="2028">
        <f t="shared" si="103"/>
        <v>2.8999999999999998E-3</v>
      </c>
      <c r="Q40" s="2905"/>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5"/>
      <c r="Y40" s="2028"/>
      <c r="Z40" s="2901">
        <f t="shared" si="105"/>
        <v>3.8999999999999998E-3</v>
      </c>
      <c r="AA40" s="2902">
        <f t="shared" si="105"/>
        <v>2.7000000000000001E-3</v>
      </c>
      <c r="AB40" s="2028">
        <f t="shared" si="105"/>
        <v>7.9000000000000008E-3</v>
      </c>
      <c r="AC40" s="2903"/>
      <c r="AD40" s="2028">
        <f t="shared" si="105"/>
        <v>2.7000000000000001E-3</v>
      </c>
    </row>
    <row r="41" spans="1:30" s="2045" customFormat="1" ht="12.75">
      <c r="A41" s="2904" t="s">
        <v>3330</v>
      </c>
      <c r="B41" s="2031">
        <v>2022</v>
      </c>
      <c r="C41" s="2042">
        <v>2</v>
      </c>
      <c r="D41" s="2007"/>
      <c r="E41" s="2007">
        <v>-0.11</v>
      </c>
      <c r="F41" s="2007">
        <v>-0.13</v>
      </c>
      <c r="G41" s="2007">
        <v>0.53</v>
      </c>
      <c r="H41" s="2916"/>
      <c r="I41" s="2008">
        <f t="shared" si="88"/>
        <v>-0.13</v>
      </c>
      <c r="J41" s="2905"/>
      <c r="K41" s="2043"/>
      <c r="L41" s="2028">
        <f t="shared" si="89"/>
        <v>-1.1000000000000001E-3</v>
      </c>
      <c r="M41" s="2028">
        <f t="shared" si="89"/>
        <v>-1.2999999999999999E-3</v>
      </c>
      <c r="N41" s="2028">
        <f t="shared" si="89"/>
        <v>5.3E-3</v>
      </c>
      <c r="O41" s="2028"/>
      <c r="P41" s="2028">
        <f t="shared" si="103"/>
        <v>-1.2999999999999999E-3</v>
      </c>
      <c r="Q41" s="2905"/>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5"/>
      <c r="Y41" s="2028"/>
      <c r="Z41" s="2901">
        <f t="shared" si="105"/>
        <v>4.1000000000000003E-3</v>
      </c>
      <c r="AA41" s="2902">
        <f t="shared" si="105"/>
        <v>2.7000000000000001E-3</v>
      </c>
      <c r="AB41" s="2028">
        <f t="shared" si="105"/>
        <v>7.9000000000000008E-3</v>
      </c>
      <c r="AC41" s="2903"/>
      <c r="AD41" s="2028">
        <f t="shared" si="105"/>
        <v>2.7000000000000001E-3</v>
      </c>
    </row>
    <row r="42" spans="1:30" s="2045" customFormat="1" ht="12.75">
      <c r="A42" s="2904" t="s">
        <v>2810</v>
      </c>
      <c r="B42" s="2031">
        <v>2022</v>
      </c>
      <c r="C42" s="2042">
        <v>1</v>
      </c>
      <c r="D42" s="2007"/>
      <c r="E42" s="2007">
        <v>0.6</v>
      </c>
      <c r="F42" s="2007">
        <v>0.45</v>
      </c>
      <c r="G42" s="2007">
        <v>0.53</v>
      </c>
      <c r="H42" s="2916"/>
      <c r="I42" s="2008">
        <f t="shared" si="88"/>
        <v>0.45</v>
      </c>
      <c r="J42" s="2905"/>
      <c r="K42" s="2043"/>
      <c r="L42" s="2028">
        <f t="shared" si="89"/>
        <v>6.0000000000000001E-3</v>
      </c>
      <c r="M42" s="2028">
        <f t="shared" si="89"/>
        <v>4.5000000000000005E-3</v>
      </c>
      <c r="N42" s="2028">
        <f t="shared" si="89"/>
        <v>5.3E-3</v>
      </c>
      <c r="O42" s="2028"/>
      <c r="P42" s="2028">
        <f t="shared" si="103"/>
        <v>4.5000000000000005E-3</v>
      </c>
      <c r="Q42" s="2905"/>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5"/>
      <c r="Y42" s="2028"/>
      <c r="Z42" s="2901">
        <f t="shared" si="105"/>
        <v>5.1000000000000004E-3</v>
      </c>
      <c r="AA42" s="2902">
        <f t="shared" si="105"/>
        <v>3.5000000000000001E-3</v>
      </c>
      <c r="AB42" s="2028">
        <f t="shared" si="105"/>
        <v>8.3999999999999995E-3</v>
      </c>
      <c r="AC42" s="2903"/>
      <c r="AD42" s="2028">
        <f t="shared" si="105"/>
        <v>3.5000000000000001E-3</v>
      </c>
    </row>
    <row r="43" spans="1:30" s="2045" customFormat="1" ht="12.75">
      <c r="A43" s="2904" t="s">
        <v>2811</v>
      </c>
      <c r="B43" s="2031">
        <v>2021</v>
      </c>
      <c r="C43" s="2042">
        <v>4</v>
      </c>
      <c r="D43" s="2007"/>
      <c r="E43" s="2007">
        <v>0.57999999999999996</v>
      </c>
      <c r="F43" s="2007">
        <v>0.08</v>
      </c>
      <c r="G43" s="2007">
        <v>0.68</v>
      </c>
      <c r="H43" s="2916"/>
      <c r="I43" s="2008">
        <f t="shared" si="88"/>
        <v>0.08</v>
      </c>
      <c r="J43" s="2905"/>
      <c r="K43" s="2043"/>
      <c r="L43" s="2028">
        <f t="shared" si="89"/>
        <v>5.7999999999999996E-3</v>
      </c>
      <c r="M43" s="2028">
        <f t="shared" si="89"/>
        <v>8.0000000000000004E-4</v>
      </c>
      <c r="N43" s="2028">
        <f t="shared" si="89"/>
        <v>6.8000000000000005E-3</v>
      </c>
      <c r="O43" s="2028"/>
      <c r="P43" s="2028">
        <f t="shared" si="103"/>
        <v>8.0000000000000004E-4</v>
      </c>
      <c r="Q43" s="2905"/>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5"/>
      <c r="Y43" s="2028"/>
      <c r="Z43" s="2901">
        <f t="shared" si="105"/>
        <v>4.8999999999999998E-3</v>
      </c>
      <c r="AA43" s="2902">
        <f t="shared" si="105"/>
        <v>3.3E-3</v>
      </c>
      <c r="AB43" s="2028">
        <f t="shared" si="105"/>
        <v>9.1999999999999998E-3</v>
      </c>
      <c r="AC43" s="2903"/>
      <c r="AD43" s="2028">
        <f t="shared" si="105"/>
        <v>3.3E-3</v>
      </c>
    </row>
    <row r="44" spans="1:30" s="2045" customFormat="1" ht="12.75">
      <c r="A44" s="2904" t="s">
        <v>2812</v>
      </c>
      <c r="B44" s="2031">
        <v>2021</v>
      </c>
      <c r="C44" s="2042">
        <v>3</v>
      </c>
      <c r="D44" s="2007"/>
      <c r="E44" s="2007">
        <v>0.47</v>
      </c>
      <c r="F44" s="2007">
        <v>0.28000000000000003</v>
      </c>
      <c r="G44" s="2007">
        <v>0.91</v>
      </c>
      <c r="H44" s="2916"/>
      <c r="I44" s="2008">
        <f t="shared" si="88"/>
        <v>0.28000000000000003</v>
      </c>
      <c r="J44" s="2905"/>
      <c r="K44" s="2043"/>
      <c r="L44" s="2028">
        <f t="shared" si="89"/>
        <v>4.6999999999999993E-3</v>
      </c>
      <c r="M44" s="2028">
        <f t="shared" si="89"/>
        <v>2.8000000000000004E-3</v>
      </c>
      <c r="N44" s="2028">
        <f t="shared" si="89"/>
        <v>9.1000000000000004E-3</v>
      </c>
      <c r="O44" s="2028"/>
      <c r="P44" s="2028">
        <f t="shared" si="103"/>
        <v>2.8000000000000004E-3</v>
      </c>
      <c r="Q44" s="2905"/>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5"/>
      <c r="Y44" s="2028"/>
      <c r="Z44" s="2901">
        <f t="shared" si="105"/>
        <v>4.5999999999999999E-3</v>
      </c>
      <c r="AA44" s="2902">
        <f t="shared" si="105"/>
        <v>4.1000000000000003E-3</v>
      </c>
      <c r="AB44" s="2028">
        <f t="shared" si="105"/>
        <v>0.01</v>
      </c>
      <c r="AC44" s="2903"/>
      <c r="AD44" s="2028">
        <f t="shared" si="105"/>
        <v>4.1000000000000003E-3</v>
      </c>
    </row>
    <row r="45" spans="1:30" s="2045" customFormat="1" ht="12.75">
      <c r="A45" s="2904" t="s">
        <v>2813</v>
      </c>
      <c r="B45" s="2031">
        <v>2021</v>
      </c>
      <c r="C45" s="2042">
        <v>2</v>
      </c>
      <c r="D45" s="2007"/>
      <c r="E45" s="2007">
        <v>0.55000000000000004</v>
      </c>
      <c r="F45" s="2007">
        <v>0.46</v>
      </c>
      <c r="G45" s="2007">
        <v>1.1000000000000001</v>
      </c>
      <c r="H45" s="2916"/>
      <c r="I45" s="2008">
        <f t="shared" si="88"/>
        <v>0.46</v>
      </c>
      <c r="J45" s="2905"/>
      <c r="K45" s="2043"/>
      <c r="L45" s="2028">
        <f t="shared" si="89"/>
        <v>5.5000000000000005E-3</v>
      </c>
      <c r="M45" s="2028">
        <f t="shared" si="89"/>
        <v>4.5999999999999999E-3</v>
      </c>
      <c r="N45" s="2028">
        <f t="shared" si="89"/>
        <v>1.1000000000000001E-2</v>
      </c>
      <c r="O45" s="2028"/>
      <c r="P45" s="2028">
        <f t="shared" si="103"/>
        <v>4.5999999999999999E-3</v>
      </c>
      <c r="Q45" s="2905"/>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5"/>
      <c r="Y45" s="2028"/>
      <c r="Z45" s="2901">
        <f t="shared" si="105"/>
        <v>4.4999999999999997E-3</v>
      </c>
      <c r="AA45" s="2902">
        <f t="shared" si="105"/>
        <v>4.7000000000000002E-3</v>
      </c>
      <c r="AB45" s="2028">
        <f t="shared" si="105"/>
        <v>1.04E-2</v>
      </c>
      <c r="AC45" s="2903"/>
      <c r="AD45" s="2028">
        <f t="shared" si="105"/>
        <v>4.7000000000000002E-3</v>
      </c>
    </row>
    <row r="46" spans="1:30" s="2927" customFormat="1" thickBot="1">
      <c r="A46" s="2917" t="s">
        <v>2799</v>
      </c>
      <c r="B46" s="2918">
        <v>2021</v>
      </c>
      <c r="C46" s="2919">
        <v>1</v>
      </c>
      <c r="D46" s="2920"/>
      <c r="E46" s="2920">
        <v>0.35</v>
      </c>
      <c r="F46" s="2920">
        <v>0.48</v>
      </c>
      <c r="G46" s="2920">
        <v>0.98</v>
      </c>
      <c r="H46" s="2921"/>
      <c r="I46" s="2922">
        <f t="shared" si="88"/>
        <v>0.48</v>
      </c>
      <c r="J46" s="2923"/>
      <c r="K46" s="2924"/>
      <c r="L46" s="2925">
        <f t="shared" si="89"/>
        <v>3.4999999999999996E-3</v>
      </c>
      <c r="M46" s="2925">
        <f>F46/100</f>
        <v>4.7999999999999996E-3</v>
      </c>
      <c r="N46" s="2925">
        <f t="shared" si="89"/>
        <v>9.7999999999999997E-3</v>
      </c>
      <c r="O46" s="2925"/>
      <c r="P46" s="2925">
        <f t="shared" si="103"/>
        <v>4.7999999999999996E-3</v>
      </c>
      <c r="Q46" s="2923"/>
      <c r="R46" s="2926"/>
      <c r="S46" s="2926">
        <v>1</v>
      </c>
      <c r="T46" s="2926">
        <v>1</v>
      </c>
      <c r="U46" s="2926">
        <v>1</v>
      </c>
      <c r="V46" s="2926"/>
      <c r="W46" s="2926">
        <f t="shared" si="104"/>
        <v>1</v>
      </c>
      <c r="X46" s="2923"/>
      <c r="Y46" s="2925"/>
      <c r="Z46" s="2933">
        <f t="shared" si="105"/>
        <v>3.5000000000000001E-3</v>
      </c>
      <c r="AA46" s="2934">
        <f t="shared" si="105"/>
        <v>4.7999999999999996E-3</v>
      </c>
      <c r="AB46" s="2925">
        <f t="shared" si="105"/>
        <v>9.7999999999999997E-3</v>
      </c>
      <c r="AC46" s="2935"/>
      <c r="AD46" s="2925">
        <f t="shared" si="105"/>
        <v>4.7999999999999996E-3</v>
      </c>
    </row>
    <row r="47" spans="1:30" ht="14.25" thickTop="1"/>
    <row r="48" spans="1:30">
      <c r="A48" s="3142" t="s">
        <v>3357</v>
      </c>
    </row>
  </sheetData>
  <sheetProtection password="CEE9" sheet="1" objects="1" scenarios="1" formatCells="0" formatColumns="0" formatRows="0"/>
  <mergeCells count="4">
    <mergeCell ref="R26:W26"/>
    <mergeCell ref="Y26:AD26"/>
    <mergeCell ref="R1:W1"/>
    <mergeCell ref="Y1:AD1"/>
  </mergeCells>
  <phoneticPr fontId="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543" t="s">
        <v>452</v>
      </c>
      <c r="C1" s="3543"/>
      <c r="D1" s="3543"/>
      <c r="E1" s="3543"/>
      <c r="F1" s="3543"/>
      <c r="G1" s="3539" t="s">
        <v>453</v>
      </c>
      <c r="H1" s="3539"/>
      <c r="I1" s="3539"/>
      <c r="J1" s="3539"/>
      <c r="K1" s="3539"/>
      <c r="L1" s="3539"/>
      <c r="N1" s="3539" t="s">
        <v>454</v>
      </c>
      <c r="O1" s="3539"/>
      <c r="P1" s="3539"/>
      <c r="Q1" s="3539"/>
      <c r="S1" s="3539" t="s">
        <v>455</v>
      </c>
      <c r="T1" s="3539"/>
      <c r="U1" s="3539"/>
      <c r="V1" s="3539"/>
      <c r="X1" s="3538" t="s">
        <v>456</v>
      </c>
      <c r="Y1" s="3539"/>
      <c r="Z1" s="3539"/>
      <c r="AA1" s="3539"/>
      <c r="AB1" s="3539"/>
      <c r="AD1" s="3538" t="s">
        <v>457</v>
      </c>
      <c r="AE1" s="3539"/>
      <c r="AF1" s="3539"/>
      <c r="AG1" s="3539"/>
      <c r="AH1" s="3539"/>
    </row>
    <row r="2" spans="1:34" s="2010" customFormat="1" ht="14.25" thickBot="1">
      <c r="B2" s="2011" t="s">
        <v>458</v>
      </c>
      <c r="C2" s="2011" t="s">
        <v>459</v>
      </c>
      <c r="D2" s="2012" t="s">
        <v>460</v>
      </c>
      <c r="E2" s="2012" t="s">
        <v>461</v>
      </c>
      <c r="F2" s="2011" t="s">
        <v>462</v>
      </c>
      <c r="G2" s="2013"/>
      <c r="I2" s="2011" t="s">
        <v>458</v>
      </c>
      <c r="J2" s="2012" t="s">
        <v>660</v>
      </c>
      <c r="K2" s="2012" t="s">
        <v>308</v>
      </c>
      <c r="L2" s="2011" t="s">
        <v>462</v>
      </c>
      <c r="N2" s="2011" t="s">
        <v>458</v>
      </c>
      <c r="O2" s="2012" t="s">
        <v>660</v>
      </c>
      <c r="P2" s="2012" t="s">
        <v>308</v>
      </c>
      <c r="Q2" s="2011" t="s">
        <v>462</v>
      </c>
      <c r="S2" s="2011" t="s">
        <v>458</v>
      </c>
      <c r="T2" s="2012" t="s">
        <v>660</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2098</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3338</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3335</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2099</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3336</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3337</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2411</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2288</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2287</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2286</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2283</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2282</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2114</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2112</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2111</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2110</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2108</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2107</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2109</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541">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2105</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541"/>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2104</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541"/>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2097</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48"/>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2095</v>
      </c>
      <c r="B25" s="2049">
        <v>439</v>
      </c>
      <c r="C25" s="2049">
        <v>327</v>
      </c>
      <c r="D25" s="2049">
        <f>C25</f>
        <v>327</v>
      </c>
      <c r="E25" s="2049">
        <v>627</v>
      </c>
      <c r="F25" s="2050">
        <v>283</v>
      </c>
      <c r="G25" s="3544">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2096</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541"/>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661</v>
      </c>
      <c r="B27" s="2041">
        <f t="shared" si="232"/>
        <v>419.31181600000002</v>
      </c>
      <c r="C27" s="2041">
        <f t="shared" si="233"/>
        <v>313.95436800000004</v>
      </c>
      <c r="D27" s="2041">
        <f t="shared" si="234"/>
        <v>313.95436800000004</v>
      </c>
      <c r="E27" s="2041">
        <f t="shared" si="235"/>
        <v>596.63028431999999</v>
      </c>
      <c r="F27" s="2041">
        <f t="shared" si="236"/>
        <v>274.74220703999998</v>
      </c>
      <c r="G27" s="3541"/>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48"/>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44">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541"/>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541"/>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42"/>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540">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541"/>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541"/>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42"/>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540">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541"/>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541"/>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42"/>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545">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46"/>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46"/>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47"/>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540">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541"/>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541"/>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542"/>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540">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541">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541">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42">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540">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541">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541">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42">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540">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541">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541">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42">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540">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541">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541">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42">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540">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541">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541">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42">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540">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541">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541">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42">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540">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541">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541">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42">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540">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541">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541">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42">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540">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541">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541">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542">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540">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541">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541">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542">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5"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45677</v>
      </c>
      <c r="D1" s="1217" t="s">
        <v>603</v>
      </c>
      <c r="E1" s="1212">
        <f>'数据-取费表'!B22</f>
        <v>2</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4">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44795</v>
      </c>
      <c r="D18" s="1205">
        <v>3.65</v>
      </c>
      <c r="E18" s="1205">
        <v>3.65</v>
      </c>
      <c r="F18" s="1205">
        <v>3.65</v>
      </c>
      <c r="G18" s="1205">
        <v>3.65</v>
      </c>
      <c r="H18" s="1205">
        <v>4.3</v>
      </c>
      <c r="I18" s="1201"/>
      <c r="J18" s="1201"/>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5"/>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1200" t="s">
        <v>2284</v>
      </c>
      <c r="C26" s="1207">
        <v>43697</v>
      </c>
      <c r="D26" s="2573">
        <v>4.25</v>
      </c>
      <c r="E26" s="2573">
        <v>4.25</v>
      </c>
      <c r="F26" s="2573">
        <v>4.25</v>
      </c>
      <c r="G26" s="2573">
        <v>4.25</v>
      </c>
      <c r="H26" s="2573">
        <v>4.8499999999999996</v>
      </c>
      <c r="I26" s="2573"/>
      <c r="J26" s="2573"/>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4.25">
      <c r="B27" s="2576"/>
      <c r="C27" s="2577">
        <v>42301</v>
      </c>
      <c r="D27" s="2578">
        <v>4.3499999999999996</v>
      </c>
      <c r="E27" s="2578">
        <v>4.3499999999999996</v>
      </c>
      <c r="F27" s="2578">
        <v>4.75</v>
      </c>
      <c r="G27" s="2578">
        <v>4.75</v>
      </c>
      <c r="H27" s="2578">
        <v>4.9000000000000004</v>
      </c>
      <c r="I27" s="2578"/>
      <c r="J27" s="2578"/>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面积</vt:lpstr>
      <vt:lpstr>租约</vt:lpstr>
      <vt:lpstr>Sheet4</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2025-01-24T06:20:16Z</dcterms:modified>
</cp:coreProperties>
</file>