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2025\2025询价\1月\曲美家居询价-吴姐-华信取增长率还原率5权重73\彩翔东路11号1幢-曲美家居\"/>
    </mc:Choice>
  </mc:AlternateContent>
  <xr:revisionPtr revIDLastSave="0" documentId="13_ncr:1_{2BA98623-5CE8-4BE3-9C8B-B91871AC21D0}"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B6" i="1" l="1"/>
  <c r="AA6" i="1"/>
  <c r="F19" i="6" l="1"/>
  <c r="G19" i="6"/>
  <c r="K13" i="3"/>
  <c r="I13" i="3"/>
  <c r="N6" i="1"/>
  <c r="Y6" i="1" s="1"/>
  <c r="I14" i="3"/>
  <c r="I15" i="3"/>
  <c r="I16" i="3"/>
  <c r="I17" i="3"/>
  <c r="I18" i="3"/>
  <c r="I19" i="3"/>
  <c r="I20" i="3"/>
  <c r="I21" i="3"/>
  <c r="I22" i="3"/>
  <c r="I23" i="3"/>
  <c r="I24" i="3"/>
  <c r="C14" i="3"/>
  <c r="C15" i="3"/>
  <c r="C16" i="3"/>
  <c r="C17" i="3"/>
  <c r="C18" i="3"/>
  <c r="C19" i="3"/>
  <c r="C20" i="3"/>
  <c r="C21" i="3"/>
  <c r="C22" i="3"/>
  <c r="C23" i="3"/>
  <c r="C24" i="3"/>
  <c r="C13" i="3"/>
  <c r="L19" i="80"/>
  <c r="G84" i="43"/>
  <c r="G85" i="43"/>
  <c r="G86" i="43"/>
  <c r="G87" i="43"/>
  <c r="G88" i="43"/>
  <c r="G89" i="43"/>
  <c r="G90" i="43"/>
  <c r="G83" i="43"/>
  <c r="D3" i="4"/>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C68" i="71"/>
  <c r="B68" i="71"/>
  <c r="B67" i="71" s="1"/>
  <c r="B66" i="71" s="1"/>
  <c r="N66" i="71" s="1"/>
  <c r="S68" i="71"/>
  <c r="F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E40" i="71" s="1"/>
  <c r="U40" i="71" s="1"/>
  <c r="O37" i="71"/>
  <c r="N37" i="71"/>
  <c r="D37" i="71"/>
  <c r="Q36" i="71"/>
  <c r="P36" i="71"/>
  <c r="O36" i="71"/>
  <c r="Y35" i="71" s="1"/>
  <c r="Z35" i="71" s="1"/>
  <c r="N36" i="71"/>
  <c r="Q35" i="71"/>
  <c r="P35" i="71"/>
  <c r="AA35" i="71" s="1"/>
  <c r="O35" i="71"/>
  <c r="N35" i="71"/>
  <c r="X35" i="71" s="1"/>
  <c r="Q34" i="71"/>
  <c r="P34" i="71"/>
  <c r="O34" i="71"/>
  <c r="Y30" i="71" s="1"/>
  <c r="Z30" i="71" s="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c r="E32" i="71" s="1"/>
  <c r="U32" i="71" s="1"/>
  <c r="AA37" i="71"/>
  <c r="C30" i="71"/>
  <c r="C34" i="71"/>
  <c r="C38" i="71"/>
  <c r="D38" i="71" s="1"/>
  <c r="Y37" i="71"/>
  <c r="Z37" i="71" s="1"/>
  <c r="F51" i="71"/>
  <c r="F52" i="71" s="1"/>
  <c r="V52" i="71" s="1"/>
  <c r="C28" i="71"/>
  <c r="Y28" i="71"/>
  <c r="Z28" i="71" s="1"/>
  <c r="C39" i="71"/>
  <c r="D50" i="71"/>
  <c r="P28" i="71"/>
  <c r="E28" i="71" s="1"/>
  <c r="E55" i="71"/>
  <c r="E56" i="71" s="1"/>
  <c r="U56" i="71" s="1"/>
  <c r="E67" i="71"/>
  <c r="Q28" i="71"/>
  <c r="C59" i="71"/>
  <c r="D59" i="71" s="1"/>
  <c r="N67" i="71"/>
  <c r="T68" i="71"/>
  <c r="O68" i="71"/>
  <c r="D68" i="71"/>
  <c r="C67" i="71"/>
  <c r="D67" i="71" s="1"/>
  <c r="Q68" i="71"/>
  <c r="C71" i="71"/>
  <c r="E71" i="71"/>
  <c r="E70" i="71"/>
  <c r="D72" i="71"/>
  <c r="C75" i="71"/>
  <c r="D76" i="71"/>
  <c r="C79" i="71"/>
  <c r="D79" i="71" s="1"/>
  <c r="D80" i="71"/>
  <c r="C83" i="71"/>
  <c r="D83" i="71" s="1"/>
  <c r="F28" i="71"/>
  <c r="F27" i="71"/>
  <c r="F26" i="71"/>
  <c r="AA27" i="71"/>
  <c r="C66" i="71"/>
  <c r="C82" i="71"/>
  <c r="D82" i="71" s="1"/>
  <c r="C78" i="71"/>
  <c r="D78" i="71" s="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K5" i="3" s="1"/>
  <c r="BJ21" i="3"/>
  <c r="BI21" i="3"/>
  <c r="BH21" i="3"/>
  <c r="BG21" i="3"/>
  <c r="BG5" i="3" s="1"/>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P5" i="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J5" i="3" s="1"/>
  <c r="BK14" i="3"/>
  <c r="BB15" i="3"/>
  <c r="BC15" i="3"/>
  <c r="BD15" i="3"/>
  <c r="BA15" i="3" s="1"/>
  <c r="BE15" i="3"/>
  <c r="BF15" i="3"/>
  <c r="BG15" i="3"/>
  <c r="BH15" i="3"/>
  <c r="BH5" i="3" s="1"/>
  <c r="BI15" i="3"/>
  <c r="BJ15" i="3"/>
  <c r="BK15" i="3"/>
  <c r="BB16" i="3"/>
  <c r="BC16" i="3"/>
  <c r="BD16" i="3"/>
  <c r="BE16" i="3"/>
  <c r="BF16" i="3"/>
  <c r="BG16" i="3"/>
  <c r="BH16" i="3"/>
  <c r="BI16" i="3"/>
  <c r="BJ16" i="3"/>
  <c r="BK16" i="3"/>
  <c r="BB17" i="3"/>
  <c r="BC17" i="3"/>
  <c r="BD17" i="3"/>
  <c r="BA17" i="3" s="1"/>
  <c r="AZ17" i="3" s="1"/>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c r="U9" i="39"/>
  <c r="U30" i="37"/>
  <c r="W31"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S31" i="35"/>
  <c r="F36" i="34"/>
  <c r="J35" i="34"/>
  <c r="U34" i="34"/>
  <c r="H39" i="33"/>
  <c r="AB39" i="33"/>
  <c r="U35" i="33"/>
  <c r="S40" i="33"/>
  <c r="W33" i="33"/>
  <c r="W39" i="33"/>
  <c r="H39" i="37"/>
  <c r="AB39" i="37" s="1"/>
  <c r="S27" i="35"/>
  <c r="F11" i="40"/>
  <c r="AA11" i="40"/>
  <c r="H11" i="40"/>
  <c r="AB11" i="40"/>
  <c r="AB39" i="40"/>
  <c r="AA9" i="40"/>
  <c r="U9" i="40"/>
  <c r="S34" i="40"/>
  <c r="U38" i="40"/>
  <c r="U34" i="40"/>
  <c r="F42" i="39"/>
  <c r="F41" i="39"/>
  <c r="S41" i="39" s="1"/>
  <c r="H40" i="39"/>
  <c r="AB40" i="39" s="1"/>
  <c r="H39" i="39"/>
  <c r="U39" i="39" s="1"/>
  <c r="S38" i="39"/>
  <c r="H34" i="39"/>
  <c r="U34" i="39" s="1"/>
  <c r="E108"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F35" i="40"/>
  <c r="AA35" i="40"/>
  <c r="H23" i="40"/>
  <c r="AB23" i="40" s="1"/>
  <c r="H17" i="40"/>
  <c r="U17" i="40" s="1"/>
  <c r="J15" i="40"/>
  <c r="W15" i="40" s="1"/>
  <c r="J11" i="40"/>
  <c r="W11" i="40"/>
  <c r="AC12" i="34"/>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H30" i="33"/>
  <c r="AB30" i="33" s="1"/>
  <c r="F30" i="33"/>
  <c r="J30" i="33"/>
  <c r="H44" i="33"/>
  <c r="J44" i="33"/>
  <c r="W44" i="33" s="1"/>
  <c r="AC44" i="33"/>
  <c r="J46" i="33"/>
  <c r="AC46" i="33" s="1"/>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U46" i="33"/>
  <c r="AA14" i="33"/>
  <c r="J36" i="37"/>
  <c r="AC36" i="37" s="1"/>
  <c r="J10" i="36"/>
  <c r="AC10" i="36" s="1"/>
  <c r="AB30" i="21"/>
  <c r="W31" i="34"/>
  <c r="S11" i="36"/>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AZ180" i="3"/>
  <c r="G181" i="3"/>
  <c r="BA183" i="3"/>
  <c r="BL184" i="3"/>
  <c r="G185" i="3"/>
  <c r="BA187" i="3"/>
  <c r="AZ187" i="3" s="1"/>
  <c r="BL188" i="3"/>
  <c r="AZ188" i="3" s="1"/>
  <c r="G189" i="3"/>
  <c r="BA191" i="3"/>
  <c r="AZ191" i="3" s="1"/>
  <c r="BL192" i="3"/>
  <c r="G193" i="3"/>
  <c r="BA195" i="3"/>
  <c r="AZ195" i="3"/>
  <c r="BL196" i="3"/>
  <c r="G197" i="3"/>
  <c r="BA199" i="3"/>
  <c r="AZ199" i="3" s="1"/>
  <c r="BL200" i="3"/>
  <c r="AZ200" i="3" s="1"/>
  <c r="G201" i="3"/>
  <c r="BA203" i="3"/>
  <c r="BL204" i="3"/>
  <c r="AZ184"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BL370" i="3"/>
  <c r="G371" i="3"/>
  <c r="BA373" i="3"/>
  <c r="BL374" i="3"/>
  <c r="G375" i="3"/>
  <c r="BA377" i="3"/>
  <c r="AZ377" i="3"/>
  <c r="AZ229" i="3"/>
  <c r="AZ269" i="3"/>
  <c r="BA379" i="3"/>
  <c r="AZ379" i="3" s="1"/>
  <c r="BL380" i="3"/>
  <c r="G381" i="3"/>
  <c r="BA383" i="3"/>
  <c r="AZ383" i="3" s="1"/>
  <c r="BL384" i="3"/>
  <c r="G385" i="3"/>
  <c r="BA387" i="3"/>
  <c r="AZ387" i="3" s="1"/>
  <c r="BL388" i="3"/>
  <c r="G389" i="3"/>
  <c r="BA391" i="3"/>
  <c r="AZ391" i="3" s="1"/>
  <c r="BL392" i="3"/>
  <c r="G393" i="3"/>
  <c r="BM5" i="3"/>
  <c r="AZ506" i="3"/>
  <c r="AZ496" i="3"/>
  <c r="G548" i="3"/>
  <c r="G538" i="3"/>
  <c r="G520" i="3"/>
  <c r="G502" i="3"/>
  <c r="BN5" i="3"/>
  <c r="BE5" i="3"/>
  <c r="G17" i="3"/>
  <c r="BT5" i="3"/>
  <c r="AZ356" i="3"/>
  <c r="BR5" i="3"/>
  <c r="AZ499"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33" i="3"/>
  <c r="W12" i="33"/>
  <c r="AC12" i="33"/>
  <c r="AA32" i="36"/>
  <c r="S32" i="36"/>
  <c r="AZ437" i="3"/>
  <c r="U30" i="33"/>
  <c r="AC13" i="34"/>
  <c r="AA47" i="34"/>
  <c r="W28" i="37"/>
  <c r="S19" i="39"/>
  <c r="F12" i="33"/>
  <c r="H12" i="39"/>
  <c r="AB12" i="39"/>
  <c r="F39" i="40"/>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U23" i="21" s="1"/>
  <c r="S13" i="21"/>
  <c r="AP7" i="1"/>
  <c r="AB45" i="21"/>
  <c r="AB9" i="21"/>
  <c r="AA32" i="21"/>
  <c r="S32" i="21"/>
  <c r="W9" i="21"/>
  <c r="AB32" i="21"/>
  <c r="U32" i="21"/>
  <c r="U32" i="39"/>
  <c r="AC32" i="39"/>
  <c r="W23" i="37"/>
  <c r="J63" i="37"/>
  <c r="K63" i="37" s="1"/>
  <c r="L63" i="37" s="1"/>
  <c r="M63" i="37" s="1"/>
  <c r="J11" i="37"/>
  <c r="AC11" i="37" s="1"/>
  <c r="J11" i="34"/>
  <c r="W11" i="34" s="1"/>
  <c r="AB36" i="33"/>
  <c r="W27" i="33"/>
  <c r="W25" i="33"/>
  <c r="AC25" i="33"/>
  <c r="AB19" i="33"/>
  <c r="AA17"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E2" i="68"/>
  <c r="L48" i="67"/>
  <c r="L47" i="15"/>
  <c r="F43" i="67"/>
  <c r="F4" i="73"/>
  <c r="E10" i="76"/>
  <c r="E12" i="76"/>
  <c r="B8" i="76"/>
  <c r="D6" i="73"/>
  <c r="M23" i="67"/>
  <c r="F6" i="73"/>
  <c r="F38" i="15"/>
  <c r="B11" i="76"/>
  <c r="F40" i="15"/>
  <c r="E9" i="76"/>
  <c r="F13" i="67"/>
  <c r="F26" i="15"/>
  <c r="M24" i="67"/>
  <c r="J15" i="15"/>
  <c r="M29" i="67"/>
  <c r="F7" i="73"/>
  <c r="F40" i="67"/>
  <c r="M9" i="67"/>
  <c r="E2" i="69"/>
  <c r="M8" i="15"/>
  <c r="M8" i="67"/>
  <c r="E13" i="76"/>
  <c r="F26" i="67"/>
  <c r="B7" i="76"/>
  <c r="M6" i="15"/>
  <c r="F37" i="15"/>
  <c r="M26" i="15"/>
  <c r="B9" i="76"/>
  <c r="M28" i="67"/>
  <c r="F5" i="73"/>
  <c r="M6" i="67"/>
  <c r="C76" i="67"/>
  <c r="F36" i="67"/>
  <c r="F16" i="67"/>
  <c r="J15" i="67"/>
  <c r="E7" i="76"/>
  <c r="F20" i="31"/>
  <c r="F37" i="67"/>
  <c r="D34" i="9"/>
  <c r="M26" i="67"/>
  <c r="E8" i="76"/>
  <c r="M23" i="15"/>
  <c r="B12" i="76"/>
  <c r="F6" i="15"/>
  <c r="F9" i="15"/>
  <c r="AO13" i="1"/>
  <c r="F13" i="15"/>
  <c r="B10" i="76"/>
  <c r="F3" i="73"/>
  <c r="F42" i="15"/>
  <c r="L47" i="67"/>
  <c r="B13" i="76"/>
  <c r="F9" i="67"/>
  <c r="E11" i="76"/>
  <c r="M9" i="15"/>
  <c r="D35" i="9"/>
  <c r="M22" i="67"/>
  <c r="F42" i="67"/>
  <c r="M28" i="15"/>
  <c r="BC5" i="3" l="1"/>
  <c r="BB5" i="3"/>
  <c r="G29" i="6"/>
  <c r="BA14" i="3"/>
  <c r="BD5" i="3"/>
  <c r="BO5" i="3"/>
  <c r="BF5" i="3"/>
  <c r="BL20" i="3"/>
  <c r="BA21" i="3"/>
  <c r="G23" i="3"/>
  <c r="H5" i="3"/>
  <c r="G15" i="3"/>
  <c r="F28" i="15"/>
  <c r="F28" i="67"/>
  <c r="F32" i="67"/>
  <c r="F60" i="67" s="1"/>
  <c r="F30" i="11"/>
  <c r="C48" i="11" s="1"/>
  <c r="F54" i="9"/>
  <c r="F32" i="15"/>
  <c r="F60" i="15" s="1"/>
  <c r="F52" i="9"/>
  <c r="F30" i="68"/>
  <c r="F48" i="68" s="1"/>
  <c r="M18" i="15"/>
  <c r="M18" i="67"/>
  <c r="D68" i="9"/>
  <c r="F30" i="69"/>
  <c r="F48" i="69" s="1"/>
  <c r="F31" i="12"/>
  <c r="D23" i="15"/>
  <c r="F29" i="6"/>
  <c r="C7" i="37"/>
  <c r="C52" i="37" s="1"/>
  <c r="D52" i="37" s="1"/>
  <c r="C7" i="21"/>
  <c r="G23" i="43"/>
  <c r="C23" i="43" s="1"/>
  <c r="D121" i="9"/>
  <c r="D7" i="52" s="1"/>
  <c r="D6" i="52"/>
  <c r="AB23" i="21"/>
  <c r="AA17" i="37"/>
  <c r="S17" i="37"/>
  <c r="AA23" i="37"/>
  <c r="W33" i="34"/>
  <c r="AB33" i="34"/>
  <c r="S23" i="39"/>
  <c r="S43" i="34"/>
  <c r="AB20" i="36"/>
  <c r="U25" i="39"/>
  <c r="AZ14" i="3"/>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Z585" i="3"/>
  <c r="AC31" i="40"/>
  <c r="W31" i="40"/>
  <c r="AZ364" i="3"/>
  <c r="AZ306" i="3"/>
  <c r="AZ527" i="3"/>
  <c r="AZ571" i="3"/>
  <c r="AZ579" i="3"/>
  <c r="AZ510" i="3"/>
  <c r="AZ552" i="3"/>
  <c r="AB36" i="40"/>
  <c r="U36" i="40"/>
  <c r="AB36" i="39"/>
  <c r="U36" i="39"/>
  <c r="BL585" i="3"/>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35" i="3"/>
  <c r="AZ444" i="3"/>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AZ332" i="3" s="1"/>
  <c r="BL332" i="3"/>
  <c r="BL350" i="3"/>
  <c r="BL224" i="3"/>
  <c r="BA237" i="3"/>
  <c r="AZ237" i="3" s="1"/>
  <c r="BA400" i="3"/>
  <c r="BA401" i="3"/>
  <c r="AZ401" i="3" s="1"/>
  <c r="BL402" i="3"/>
  <c r="AZ402" i="3" s="1"/>
  <c r="G403" i="3"/>
  <c r="BA404" i="3"/>
  <c r="AZ404" i="3" s="1"/>
  <c r="BA405" i="3"/>
  <c r="AZ405" i="3" s="1"/>
  <c r="BL406" i="3"/>
  <c r="AZ406" i="3" s="1"/>
  <c r="G407" i="3"/>
  <c r="BL407" i="3"/>
  <c r="BA414" i="3"/>
  <c r="AZ414" i="3" s="1"/>
  <c r="BA415" i="3"/>
  <c r="BA416" i="3"/>
  <c r="AZ416" i="3" s="1"/>
  <c r="BA418" i="3"/>
  <c r="BA425" i="3"/>
  <c r="BA426" i="3"/>
  <c r="BA427" i="3"/>
  <c r="AZ427" i="3" s="1"/>
  <c r="BL440" i="3"/>
  <c r="G441" i="3"/>
  <c r="BL441" i="3"/>
  <c r="AZ441" i="3" s="1"/>
  <c r="BL442" i="3"/>
  <c r="BL449" i="3"/>
  <c r="BL450" i="3"/>
  <c r="BA452" i="3"/>
  <c r="BL455" i="3"/>
  <c r="BL456" i="3"/>
  <c r="G459" i="3"/>
  <c r="BA460" i="3"/>
  <c r="AZ460" i="3" s="1"/>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AZ217" i="3"/>
  <c r="BL219" i="3"/>
  <c r="BA226" i="3"/>
  <c r="BL230" i="3"/>
  <c r="BA240" i="3"/>
  <c r="AZ240" i="3" s="1"/>
  <c r="BA242" i="3"/>
  <c r="AZ242" i="3" s="1"/>
  <c r="G253" i="3"/>
  <c r="BL262" i="3"/>
  <c r="BA270" i="3"/>
  <c r="AZ270" i="3" s="1"/>
  <c r="BA272" i="3"/>
  <c r="AZ272" i="3" s="1"/>
  <c r="BA288" i="3"/>
  <c r="BL15" i="3"/>
  <c r="AZ15" i="3" s="1"/>
  <c r="BA398" i="3"/>
  <c r="BA399" i="3"/>
  <c r="AZ399" i="3" s="1"/>
  <c r="AZ403" i="3"/>
  <c r="AZ407" i="3"/>
  <c r="BA410" i="3"/>
  <c r="BA413" i="3"/>
  <c r="AZ419" i="3"/>
  <c r="G421" i="3"/>
  <c r="BA424" i="3"/>
  <c r="BA431" i="3"/>
  <c r="BL443" i="3"/>
  <c r="AZ443" i="3" s="1"/>
  <c r="G444" i="3"/>
  <c r="BL444" i="3"/>
  <c r="G446" i="3"/>
  <c r="BA454" i="3"/>
  <c r="AZ454" i="3" s="1"/>
  <c r="BA458" i="3"/>
  <c r="AZ458" i="3" s="1"/>
  <c r="BA459" i="3"/>
  <c r="G463" i="3"/>
  <c r="G464" i="3"/>
  <c r="BL464" i="3"/>
  <c r="AZ464" i="3" s="1"/>
  <c r="AZ476" i="3"/>
  <c r="G485" i="3"/>
  <c r="BA487" i="3"/>
  <c r="AZ487" i="3" s="1"/>
  <c r="BA315" i="3"/>
  <c r="AZ315" i="3" s="1"/>
  <c r="BL340" i="3"/>
  <c r="AZ340" i="3" s="1"/>
  <c r="BL346" i="3"/>
  <c r="AZ346" i="3" s="1"/>
  <c r="G349" i="3"/>
  <c r="G380" i="3"/>
  <c r="G387" i="3"/>
  <c r="BA392" i="3"/>
  <c r="AZ392" i="3" s="1"/>
  <c r="BA395" i="3"/>
  <c r="AZ395" i="3" s="1"/>
  <c r="BA208" i="3"/>
  <c r="AZ208" i="3" s="1"/>
  <c r="BA211" i="3"/>
  <c r="AZ211" i="3" s="1"/>
  <c r="BL215" i="3"/>
  <c r="G229" i="3"/>
  <c r="BA238" i="3"/>
  <c r="AZ238" i="3" s="1"/>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O65" i="71"/>
  <c r="D66" i="71"/>
  <c r="O66" i="71"/>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AZ274" i="3" s="1"/>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D60" i="71"/>
  <c r="T60" i="71"/>
  <c r="BL398" i="3"/>
  <c r="BL403" i="3"/>
  <c r="G405" i="3"/>
  <c r="BA408" i="3"/>
  <c r="AZ408" i="3" s="1"/>
  <c r="BA409" i="3"/>
  <c r="AZ409" i="3" s="1"/>
  <c r="BA411" i="3"/>
  <c r="AZ411" i="3" s="1"/>
  <c r="BL414" i="3"/>
  <c r="BL415" i="3"/>
  <c r="BA417" i="3"/>
  <c r="AZ417" i="3" s="1"/>
  <c r="BL421" i="3"/>
  <c r="AZ421" i="3" s="1"/>
  <c r="BL422" i="3"/>
  <c r="BL425" i="3"/>
  <c r="BL426" i="3"/>
  <c r="BA428" i="3"/>
  <c r="AZ428" i="3" s="1"/>
  <c r="BA429" i="3"/>
  <c r="BA430" i="3"/>
  <c r="AZ430" i="3" s="1"/>
  <c r="BA432" i="3"/>
  <c r="AZ432" i="3" s="1"/>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AZ273" i="3" s="1"/>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AZ39" i="3" s="1"/>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BA37" i="3"/>
  <c r="G39" i="3"/>
  <c r="BL39" i="3"/>
  <c r="BA45" i="3"/>
  <c r="AZ45" i="3" s="1"/>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L59" i="15"/>
  <c r="N59" i="15"/>
  <c r="M59" i="15"/>
  <c r="F66" i="15"/>
  <c r="Q71" i="67"/>
  <c r="C27" i="67"/>
  <c r="F71" i="67"/>
  <c r="C27" i="15"/>
  <c r="F65" i="15"/>
  <c r="N59" i="67"/>
  <c r="L59" i="67"/>
  <c r="L58" i="67"/>
  <c r="M59" i="67"/>
  <c r="B13" i="70"/>
  <c r="F68" i="67"/>
  <c r="F64" i="67"/>
  <c r="F68" i="15"/>
  <c r="C36" i="68"/>
  <c r="D9" i="69"/>
  <c r="D9" i="68"/>
  <c r="F16" i="15"/>
  <c r="D3" i="73"/>
  <c r="C76" i="15"/>
  <c r="D7" i="73"/>
  <c r="M22" i="15"/>
  <c r="D4" i="73"/>
  <c r="C16" i="67"/>
  <c r="F8" i="15"/>
  <c r="F7" i="67"/>
  <c r="M24" i="15"/>
  <c r="F38" i="67"/>
  <c r="F8" i="67"/>
  <c r="D5" i="73"/>
  <c r="L48" i="15"/>
  <c r="F36" i="15"/>
  <c r="E28" i="6" l="1"/>
  <c r="K14" i="1" s="1"/>
  <c r="AZ19" i="3"/>
  <c r="AZ22" i="3"/>
  <c r="E59" i="40"/>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Q74" i="15"/>
  <c r="Q61" i="15"/>
  <c r="AE11" i="1"/>
  <c r="AE9" i="1"/>
  <c r="AE7" i="1"/>
  <c r="AE8" i="1"/>
  <c r="AE12" i="1"/>
  <c r="AE10" i="1"/>
  <c r="G1" i="73"/>
  <c r="F41" i="67"/>
  <c r="E24" i="3" l="1"/>
  <c r="D33" i="43"/>
  <c r="D1" i="43" s="1"/>
  <c r="J5" i="67"/>
  <c r="J24" i="67" s="1"/>
  <c r="F1" i="15"/>
  <c r="Q52" i="15"/>
  <c r="E131" i="3"/>
  <c r="M6" i="3"/>
  <c r="E89" i="3"/>
  <c r="E27" i="3"/>
  <c r="E302" i="3"/>
  <c r="E392" i="3"/>
  <c r="E248" i="3"/>
  <c r="E242" i="3"/>
  <c r="E201" i="3"/>
  <c r="E362" i="3"/>
  <c r="E318" i="3"/>
  <c r="E285" i="3"/>
  <c r="E104" i="3"/>
  <c r="E423" i="3"/>
  <c r="E377" i="3"/>
  <c r="E545" i="3"/>
  <c r="E229" i="3"/>
  <c r="E224" i="3"/>
  <c r="E378" i="3"/>
  <c r="AY6"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D37" i="11" s="1"/>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AE6" i="1"/>
  <c r="M27" i="67"/>
  <c r="AG6" i="1" l="1"/>
  <c r="D3" i="34"/>
  <c r="E6" i="6"/>
  <c r="D3" i="33"/>
  <c r="C17" i="4"/>
  <c r="B4" i="52" s="1"/>
  <c r="B43" i="72" s="1"/>
  <c r="D3" i="21"/>
  <c r="L18" i="9"/>
  <c r="D14" i="12"/>
  <c r="D17" i="12" s="1"/>
  <c r="C17" i="12" s="1"/>
  <c r="M18" i="9"/>
  <c r="B118" i="9" s="1"/>
  <c r="B1" i="74" s="1"/>
  <c r="D3" i="37"/>
  <c r="D19" i="11"/>
  <c r="C19" i="11" s="1"/>
  <c r="C20" i="11" s="1"/>
  <c r="E19" i="6"/>
  <c r="D19" i="6" s="1"/>
  <c r="F27" i="6"/>
  <c r="F31" i="6" s="1"/>
  <c r="H6" i="3"/>
  <c r="AC6" i="3"/>
  <c r="F24" i="67"/>
  <c r="C24" i="67" s="1"/>
  <c r="F22" i="68"/>
  <c r="C44" i="68" s="1"/>
  <c r="D41" i="68" s="1"/>
  <c r="F25" i="12"/>
  <c r="C26" i="12" s="1"/>
  <c r="D25" i="12" s="1"/>
  <c r="F24" i="15"/>
  <c r="C24" i="15" s="1"/>
  <c r="F22" i="69"/>
  <c r="F41" i="69" s="1"/>
  <c r="F22" i="11"/>
  <c r="C48" i="67"/>
  <c r="C60" i="67" s="1"/>
  <c r="E49" i="34"/>
  <c r="E54" i="34" s="1"/>
  <c r="F54" i="34" s="1"/>
  <c r="O36" i="43"/>
  <c r="Q36" i="43"/>
  <c r="N36" i="43"/>
  <c r="M36" i="43"/>
  <c r="P36" i="43"/>
  <c r="C17" i="71"/>
  <c r="D18" i="71"/>
  <c r="P37" i="43"/>
  <c r="M37" i="43"/>
  <c r="Q37" i="43"/>
  <c r="O37" i="43"/>
  <c r="N37" i="43"/>
  <c r="S11" i="1"/>
  <c r="E11" i="70" s="1"/>
  <c r="S9" i="1"/>
  <c r="S7" i="1"/>
  <c r="E7" i="70" s="1"/>
  <c r="S10" i="1"/>
  <c r="E10" i="70" s="1"/>
  <c r="S12" i="1"/>
  <c r="D10" i="11"/>
  <c r="C10" i="11" s="1"/>
  <c r="D20" i="12"/>
  <c r="C20" i="12" s="1"/>
  <c r="C18" i="12" s="1"/>
  <c r="D25" i="6"/>
  <c r="D15" i="6"/>
  <c r="D22" i="6"/>
  <c r="D21" i="6"/>
  <c r="D24" i="6"/>
  <c r="D20" i="6"/>
  <c r="M19" i="9"/>
  <c r="C118" i="9" s="1"/>
  <c r="B2" i="74" s="1"/>
  <c r="D26" i="6"/>
  <c r="D8" i="6"/>
  <c r="D14" i="6"/>
  <c r="D6" i="6"/>
  <c r="D9" i="6"/>
  <c r="D10" i="6"/>
  <c r="L19" i="9"/>
  <c r="D29" i="6"/>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D10" i="68"/>
  <c r="M27" i="15"/>
  <c r="F41" i="15"/>
  <c r="C17" i="67"/>
  <c r="C14" i="67"/>
  <c r="F69" i="15" l="1"/>
  <c r="D30" i="6"/>
  <c r="C66" i="67"/>
  <c r="C24" i="11"/>
  <c r="K6" i="1"/>
  <c r="E27" i="6"/>
  <c r="C44" i="11"/>
  <c r="D41" i="11" s="1"/>
  <c r="C26" i="68"/>
  <c r="D22" i="68" s="1"/>
  <c r="F41" i="68"/>
  <c r="C26" i="11"/>
  <c r="D22" i="11" s="1"/>
  <c r="C23" i="11"/>
  <c r="C44" i="69"/>
  <c r="D41" i="69" s="1"/>
  <c r="C26" i="69"/>
  <c r="D22" i="69" s="1"/>
  <c r="E6" i="3"/>
  <c r="C25" i="11"/>
  <c r="E53" i="34"/>
  <c r="F53" i="34" s="1"/>
  <c r="C16" i="71"/>
  <c r="D17" i="7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67"/>
  <c r="J19" i="67"/>
  <c r="F7" i="15"/>
  <c r="M29" i="15"/>
  <c r="F43" i="15"/>
  <c r="C22" i="11" l="1"/>
  <c r="M7" i="15"/>
  <c r="J6" i="15" s="1"/>
  <c r="F50" i="15"/>
  <c r="C49" i="15" s="1"/>
  <c r="C48" i="15" s="1"/>
  <c r="C6" i="15"/>
  <c r="F71" i="15"/>
  <c r="K26" i="6"/>
  <c r="M26" i="6" s="1"/>
  <c r="I26" i="6" s="1"/>
  <c r="K21" i="6"/>
  <c r="K25" i="6"/>
  <c r="M25" i="6" s="1"/>
  <c r="I25" i="6" s="1"/>
  <c r="E31" i="6"/>
  <c r="I5" i="6" s="1"/>
  <c r="K20" i="6"/>
  <c r="M20" i="6" s="1"/>
  <c r="I20" i="6" s="1"/>
  <c r="K24" i="6"/>
  <c r="M24" i="6" s="1"/>
  <c r="I24" i="6" s="1"/>
  <c r="K23" i="6"/>
  <c r="M23" i="6" s="1"/>
  <c r="I23" i="6" s="1"/>
  <c r="K22" i="6"/>
  <c r="M22" i="6" s="1"/>
  <c r="I22" i="6" s="1"/>
  <c r="K19" i="6"/>
  <c r="AP6" i="1"/>
  <c r="C36" i="69" s="1"/>
  <c r="Q16" i="1"/>
  <c r="M6" i="1"/>
  <c r="H16" i="1"/>
  <c r="G16" i="1"/>
  <c r="K16" i="1"/>
  <c r="C34" i="69"/>
  <c r="C15" i="71"/>
  <c r="T16" i="71"/>
  <c r="D16" i="71"/>
  <c r="U16" i="71" s="1"/>
  <c r="C19" i="67"/>
  <c r="C20" i="67" s="1"/>
  <c r="C26" i="67" s="1"/>
  <c r="C36" i="11"/>
  <c r="C37" i="11"/>
  <c r="C23" i="12"/>
  <c r="C14" i="12"/>
  <c r="C16" i="12" s="1"/>
  <c r="C21" i="12" s="1"/>
  <c r="C22" i="12" s="1"/>
  <c r="C19" i="68"/>
  <c r="D37" i="68"/>
  <c r="C37" i="68" s="1"/>
  <c r="C19" i="69"/>
  <c r="C24" i="69" s="1"/>
  <c r="D37" i="69"/>
  <c r="C37" i="69" s="1"/>
  <c r="I6" i="6"/>
  <c r="G3" i="43" s="1"/>
  <c r="C23" i="69"/>
  <c r="I69" i="39"/>
  <c r="J67" i="39"/>
  <c r="I63" i="40"/>
  <c r="H65" i="40"/>
  <c r="I58" i="21"/>
  <c r="J58" i="21" s="1"/>
  <c r="K58" i="21" s="1"/>
  <c r="L58" i="21" s="1"/>
  <c r="M58" i="21" s="1"/>
  <c r="N58" i="21" s="1"/>
  <c r="O58" i="21" s="1"/>
  <c r="H7" i="21" s="1"/>
  <c r="J48" i="35"/>
  <c r="C16" i="15"/>
  <c r="J26" i="43" l="1"/>
  <c r="H26" i="43"/>
  <c r="B116" i="43"/>
  <c r="N370" i="46"/>
  <c r="G26" i="43"/>
  <c r="F26" i="43"/>
  <c r="E26" i="43"/>
  <c r="Z7" i="43"/>
  <c r="N94" i="46"/>
  <c r="O6" i="1"/>
  <c r="O16" i="1" s="1"/>
  <c r="M16" i="1"/>
  <c r="S22" i="6"/>
  <c r="H22" i="6"/>
  <c r="R22" i="6" s="1"/>
  <c r="R9" i="1" s="1"/>
  <c r="F27" i="69"/>
  <c r="F27" i="11"/>
  <c r="F27" i="68"/>
  <c r="F28" i="12"/>
  <c r="C29" i="12" s="1"/>
  <c r="D28" i="12" s="1"/>
  <c r="S23" i="6"/>
  <c r="H23" i="6"/>
  <c r="R23" i="6" s="1"/>
  <c r="R10" i="1" s="1"/>
  <c r="S25" i="6"/>
  <c r="H25" i="6"/>
  <c r="R25" i="6" s="1"/>
  <c r="R12" i="1" s="1"/>
  <c r="C32" i="15"/>
  <c r="C10" i="15"/>
  <c r="C5" i="15" s="1"/>
  <c r="C38" i="15" s="1"/>
  <c r="C33" i="15"/>
  <c r="F10" i="39"/>
  <c r="J10" i="39"/>
  <c r="J10" i="40"/>
  <c r="H10" i="40"/>
  <c r="F10" i="40"/>
  <c r="H10" i="39"/>
  <c r="S24" i="6"/>
  <c r="H24" i="6"/>
  <c r="R24" i="6" s="1"/>
  <c r="R11" i="1" s="1"/>
  <c r="S8" i="1"/>
  <c r="M21" i="6"/>
  <c r="I21" i="6" s="1"/>
  <c r="C66" i="15"/>
  <c r="C60" i="15"/>
  <c r="C38" i="69"/>
  <c r="C35" i="69"/>
  <c r="S6" i="1"/>
  <c r="K27" i="6"/>
  <c r="M19" i="6"/>
  <c r="S20" i="6"/>
  <c r="H20" i="6"/>
  <c r="R20" i="6" s="1"/>
  <c r="R7" i="1" s="1"/>
  <c r="S26" i="6"/>
  <c r="H26" i="6"/>
  <c r="R26" i="6" s="1"/>
  <c r="J18" i="15"/>
  <c r="J5" i="15"/>
  <c r="J24" i="15" s="1"/>
  <c r="C14" i="71"/>
  <c r="D15" i="71"/>
  <c r="F7" i="21"/>
  <c r="S7" i="21" s="1"/>
  <c r="J7" i="21"/>
  <c r="AC7" i="21" s="1"/>
  <c r="V48" i="21" s="1"/>
  <c r="I48" i="21" s="1"/>
  <c r="C23" i="67"/>
  <c r="C29" i="67" s="1"/>
  <c r="J59" i="67" s="1"/>
  <c r="J60" i="67" s="1"/>
  <c r="Q48" i="67" s="1"/>
  <c r="C27" i="12"/>
  <c r="C25" i="12" s="1"/>
  <c r="C20" i="69"/>
  <c r="C24" i="68"/>
  <c r="J69" i="39"/>
  <c r="K67" i="39"/>
  <c r="U7" i="21"/>
  <c r="AB7" i="21"/>
  <c r="T48" i="21" s="1"/>
  <c r="G48" i="21" s="1"/>
  <c r="J63" i="40"/>
  <c r="I65" i="40"/>
  <c r="K48" i="35"/>
  <c r="L48" i="35" s="1"/>
  <c r="M48" i="35" s="1"/>
  <c r="N48" i="35" s="1"/>
  <c r="O48" i="35" s="1"/>
  <c r="H7" i="35" s="1"/>
  <c r="C17" i="15"/>
  <c r="C33" i="69" l="1"/>
  <c r="C42" i="69" s="1"/>
  <c r="C28" i="69"/>
  <c r="C27" i="69" s="1"/>
  <c r="D26" i="43"/>
  <c r="C25" i="43" s="1"/>
  <c r="C33" i="43" s="1"/>
  <c r="E8" i="70"/>
  <c r="AQ8" i="1"/>
  <c r="T8" i="1"/>
  <c r="AR8" i="1"/>
  <c r="S10" i="40"/>
  <c r="AA10" i="40"/>
  <c r="AA10" i="39"/>
  <c r="S10" i="39"/>
  <c r="AQ6" i="1"/>
  <c r="AR6" i="1"/>
  <c r="T6" i="1"/>
  <c r="S16" i="1"/>
  <c r="E6" i="70"/>
  <c r="E2" i="70" s="1"/>
  <c r="C29" i="11"/>
  <c r="D27" i="11" s="1"/>
  <c r="C47" i="11"/>
  <c r="D45" i="11" s="1"/>
  <c r="C28" i="11"/>
  <c r="C27" i="11" s="1"/>
  <c r="L16" i="1"/>
  <c r="N16" i="1"/>
  <c r="C34" i="68"/>
  <c r="C34" i="1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32" i="12" s="1"/>
  <c r="B2" i="12" s="1"/>
  <c r="B3" i="12" s="1"/>
  <c r="AB10" i="40"/>
  <c r="U10" i="40"/>
  <c r="F45" i="68"/>
  <c r="C47" i="68"/>
  <c r="D45" i="68" s="1"/>
  <c r="C29" i="68"/>
  <c r="D27" i="68" s="1"/>
  <c r="AC10" i="40"/>
  <c r="W10" i="40"/>
  <c r="M27" i="6"/>
  <c r="I19" i="6"/>
  <c r="S21" i="6"/>
  <c r="H21" i="6"/>
  <c r="R21" i="6" s="1"/>
  <c r="R8" i="1" s="1"/>
  <c r="U10" i="39"/>
  <c r="AB10" i="39"/>
  <c r="W10" i="39"/>
  <c r="AC10" i="39"/>
  <c r="C47" i="69"/>
  <c r="D45" i="69" s="1"/>
  <c r="C29" i="69"/>
  <c r="D27" i="69" s="1"/>
  <c r="F45" i="69"/>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C14" i="15"/>
  <c r="M21" i="67"/>
  <c r="F35" i="67"/>
  <c r="C31" i="11" l="1"/>
  <c r="C39" i="69"/>
  <c r="C31" i="69"/>
  <c r="C18" i="15"/>
  <c r="C15" i="15"/>
  <c r="C35" i="11"/>
  <c r="C38" i="11"/>
  <c r="I27" i="6"/>
  <c r="H19" i="6"/>
  <c r="S19" i="6"/>
  <c r="S27" i="6" s="1"/>
  <c r="C35" i="68"/>
  <c r="C38" i="68"/>
  <c r="T16" i="1"/>
  <c r="F50" i="68"/>
  <c r="F50" i="11"/>
  <c r="F50" i="69"/>
  <c r="C118" i="43"/>
  <c r="D116" i="43" s="1"/>
  <c r="E33" i="43"/>
  <c r="C30" i="43" s="1"/>
  <c r="C34" i="43"/>
  <c r="E34" i="43" s="1"/>
  <c r="C31" i="43" s="1"/>
  <c r="E48" i="21"/>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G43" i="35"/>
  <c r="H43" i="35" s="1"/>
  <c r="I53" i="21"/>
  <c r="J53" i="21" s="1"/>
  <c r="K65" i="40"/>
  <c r="L63" i="40"/>
  <c r="I42" i="35"/>
  <c r="J42" i="35" s="1"/>
  <c r="E6" i="76"/>
  <c r="C33" i="11" l="1"/>
  <c r="C39" i="11" s="1"/>
  <c r="C43" i="11" s="1"/>
  <c r="C19" i="15"/>
  <c r="C20" i="15" s="1"/>
  <c r="C26" i="15" s="1"/>
  <c r="C43" i="69"/>
  <c r="C41" i="69" s="1"/>
  <c r="C46" i="69"/>
  <c r="C45" i="69" s="1"/>
  <c r="C33" i="68"/>
  <c r="C42" i="68" s="1"/>
  <c r="E2" i="76"/>
  <c r="C42" i="11"/>
  <c r="H27" i="6"/>
  <c r="R19" i="6"/>
  <c r="B2" i="43"/>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B6" i="76"/>
  <c r="D2" i="21"/>
  <c r="C39" i="68" l="1"/>
  <c r="C43" i="68" s="1"/>
  <c r="C41" i="68" s="1"/>
  <c r="C49" i="69"/>
  <c r="C51" i="69" s="1"/>
  <c r="C23" i="15"/>
  <c r="C29" i="15" s="1"/>
  <c r="J14" i="15" s="1"/>
  <c r="C41" i="11"/>
  <c r="C46" i="11"/>
  <c r="C45" i="11" s="1"/>
  <c r="B2" i="76"/>
  <c r="B3" i="76" s="1"/>
  <c r="B3" i="43"/>
  <c r="C6" i="68"/>
  <c r="C7" i="68" s="1"/>
  <c r="C5" i="68" s="1"/>
  <c r="R6" i="1"/>
  <c r="R27" i="6"/>
  <c r="C10" i="71"/>
  <c r="D11" i="71"/>
  <c r="C80" i="67"/>
  <c r="C79" i="67" s="1"/>
  <c r="C40" i="67"/>
  <c r="C45" i="67" s="1"/>
  <c r="B2" i="21"/>
  <c r="B3" i="21" s="1"/>
  <c r="O67" i="39"/>
  <c r="O69" i="39" s="1"/>
  <c r="N69" i="39"/>
  <c r="F7" i="39"/>
  <c r="C39" i="35"/>
  <c r="C38" i="35"/>
  <c r="N63" i="40"/>
  <c r="M65" i="40"/>
  <c r="E43" i="35"/>
  <c r="F43" i="35" s="1"/>
  <c r="E42" i="35"/>
  <c r="F42" i="35" s="1"/>
  <c r="I43" i="35"/>
  <c r="J43" i="35" s="1"/>
  <c r="D2" i="33"/>
  <c r="M21" i="15"/>
  <c r="L51" i="67"/>
  <c r="F35" i="15"/>
  <c r="C36" i="15" l="1"/>
  <c r="C46" i="68"/>
  <c r="C45" i="68" s="1"/>
  <c r="C49" i="68" s="1"/>
  <c r="C51" i="68" s="1"/>
  <c r="C52" i="69"/>
  <c r="B2" i="69" s="1"/>
  <c r="B3" i="69" s="1"/>
  <c r="C13" i="15"/>
  <c r="C37" i="15" s="1"/>
  <c r="J59" i="15"/>
  <c r="J60" i="15" s="1"/>
  <c r="Q48" i="15" s="1"/>
  <c r="C57" i="15"/>
  <c r="C64" i="15" s="1"/>
  <c r="Q49" i="15"/>
  <c r="C49" i="11"/>
  <c r="C51" i="11" s="1"/>
  <c r="F63" i="15"/>
  <c r="C62" i="15" s="1"/>
  <c r="C59" i="15" s="1"/>
  <c r="C34" i="15"/>
  <c r="C31" i="15" s="1"/>
  <c r="J20" i="15"/>
  <c r="J17" i="15" s="1"/>
  <c r="C23" i="68"/>
  <c r="C20" i="68"/>
  <c r="J13" i="15"/>
  <c r="J23" i="15" s="1"/>
  <c r="J22" i="15"/>
  <c r="R16" i="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6"/>
  <c r="D2" i="34"/>
  <c r="D2" i="37"/>
  <c r="C57" i="69" l="1"/>
  <c r="C56" i="69" s="1"/>
  <c r="C56" i="15"/>
  <c r="C65" i="15" s="1"/>
  <c r="C58" i="15" s="1"/>
  <c r="C67" i="15" s="1"/>
  <c r="C68" i="15" s="1"/>
  <c r="C71" i="15" s="1"/>
  <c r="C75" i="15"/>
  <c r="Q70" i="15"/>
  <c r="C52" i="11"/>
  <c r="B2" i="11" s="1"/>
  <c r="B3" i="11" s="1"/>
  <c r="C28" i="68"/>
  <c r="C27" i="68" s="1"/>
  <c r="C25" i="68"/>
  <c r="C22" i="68" s="1"/>
  <c r="J16" i="15"/>
  <c r="J25" i="15" s="1"/>
  <c r="J26" i="15" s="1"/>
  <c r="J29" i="15" s="1"/>
  <c r="C30" i="15"/>
  <c r="C39" i="15" s="1"/>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2" i="1"/>
  <c r="AO10" i="1"/>
  <c r="AO9" i="1"/>
  <c r="L51" i="15"/>
  <c r="AO11" i="1"/>
  <c r="AO7" i="1"/>
  <c r="AO8" i="1"/>
  <c r="C31" i="68" l="1"/>
  <c r="C52" i="68" s="1"/>
  <c r="B2" i="68" s="1"/>
  <c r="C56" i="11"/>
  <c r="C57" i="11" s="1"/>
  <c r="Q67" i="15"/>
  <c r="Q69" i="15"/>
  <c r="Q68" i="15" s="1"/>
  <c r="C80" i="15"/>
  <c r="C79" i="15" s="1"/>
  <c r="C40" i="15"/>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57" i="68" l="1"/>
  <c r="C56" i="68" s="1"/>
  <c r="B2" i="15"/>
  <c r="B3" i="15" s="1"/>
  <c r="C102" i="9"/>
  <c r="C21" i="9"/>
  <c r="C46" i="15"/>
  <c r="C83" i="15"/>
  <c r="C82" i="15" s="1"/>
  <c r="C43" i="15"/>
  <c r="Q65" i="15"/>
  <c r="Q75" i="15" s="1"/>
  <c r="Q47" i="15"/>
  <c r="Q53" i="15" s="1"/>
  <c r="Q56" i="15"/>
  <c r="Q62" i="15" s="1"/>
  <c r="B3" i="68"/>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20" i="9"/>
  <c r="AO6" i="1"/>
  <c r="D19" i="9"/>
  <c r="D22" i="9" l="1"/>
  <c r="G19" i="9"/>
  <c r="D102" i="9"/>
  <c r="D21" i="9"/>
  <c r="B6" i="70"/>
  <c r="B2" i="70" s="1"/>
  <c r="B3" i="70" s="1"/>
  <c r="C103" i="9"/>
  <c r="D103" i="9"/>
  <c r="G20" i="9"/>
  <c r="C32" i="9" s="1"/>
  <c r="C35" i="9" s="1"/>
  <c r="C34" i="9" s="1"/>
  <c r="D6" i="71"/>
  <c r="C5" i="71"/>
  <c r="D5" i="71" s="1"/>
  <c r="M24" i="43" s="1"/>
  <c r="C42" i="40"/>
  <c r="C43" i="40"/>
  <c r="E47" i="40"/>
  <c r="F47" i="40" s="1"/>
  <c r="E46" i="40"/>
  <c r="F46" i="40" s="1"/>
  <c r="I47" i="40"/>
  <c r="J47" i="40" s="1"/>
  <c r="G21" i="9"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c r="D19" i="53" s="1"/>
  <c r="D126" i="9"/>
  <c r="D12" i="52" s="1"/>
  <c r="H112" i="9"/>
  <c r="C8" i="74" s="1"/>
  <c r="D20" i="53" l="1"/>
  <c r="B40" i="72" s="1"/>
  <c r="B38" i="72"/>
  <c r="D127" i="9"/>
  <c r="D13" i="52" s="1"/>
  <c r="D21" i="53"/>
  <c r="B39" i="72" s="1"/>
  <c r="M64" i="9"/>
  <c r="L64" i="9"/>
  <c r="M67" i="9"/>
  <c r="L67" i="9"/>
  <c r="C5" i="74"/>
  <c r="E81" i="9"/>
  <c r="E80" i="9"/>
  <c r="C80" i="9"/>
  <c r="M68" i="9"/>
  <c r="L68" i="9"/>
  <c r="M66" i="9"/>
  <c r="L66" i="9"/>
  <c r="D9" i="52"/>
  <c r="D123" i="9"/>
  <c r="C73" i="9"/>
  <c r="C78" i="9"/>
  <c r="B52" i="72"/>
  <c r="G4" i="52"/>
  <c r="C68" i="9"/>
  <c r="D54" i="9"/>
  <c r="D4" i="52"/>
  <c r="B47" i="72"/>
  <c r="L63" i="9"/>
  <c r="M63" i="9"/>
  <c r="M69" i="9"/>
  <c r="N69" i="9"/>
  <c r="C64" i="9"/>
  <c r="C63" i="9"/>
  <c r="C67" i="9"/>
  <c r="D59" i="9"/>
  <c r="M55" i="9"/>
  <c r="C96" i="9"/>
  <c r="E96" i="9"/>
  <c r="E97" i="9"/>
  <c r="B22" i="72"/>
  <c r="D6" i="53"/>
  <c r="H5" i="52"/>
  <c r="H119" i="9"/>
  <c r="B49" i="72"/>
  <c r="D118" i="9"/>
  <c r="D119" i="9"/>
  <c r="D5" i="52"/>
  <c r="C105" i="9"/>
  <c r="I4" i="52"/>
  <c r="D122" i="9"/>
  <c r="D8" i="52"/>
  <c r="B32" i="72"/>
  <c r="D14" i="53"/>
  <c r="C72" i="9"/>
  <c r="C79" i="9"/>
  <c r="C81" i="9"/>
  <c r="M65" i="9"/>
  <c r="L65" i="9"/>
  <c r="M48" i="9"/>
  <c r="B31" i="72"/>
  <c r="D15" i="53"/>
  <c r="C104" i="9"/>
  <c r="H4" i="52"/>
  <c r="D5" i="53"/>
  <c r="B20" i="72"/>
  <c r="H102" i="9"/>
  <c r="D7" i="53"/>
  <c r="B21" i="72"/>
  <c r="H108" i="9"/>
  <c r="C6" i="74"/>
  <c r="D13" i="53"/>
  <c r="B30" i="72"/>
  <c r="P57" i="9"/>
  <c r="D55" i="9"/>
  <c r="M53" i="9"/>
  <c r="N57" i="9"/>
  <c r="N58" i="9"/>
  <c r="C85" i="9"/>
  <c r="C95" i="9"/>
  <c r="C97" i="9"/>
  <c r="D58" i="9"/>
  <c r="D56" i="9"/>
  <c r="M54" i="9"/>
  <c r="F119" i="9"/>
  <c r="F5" i="52"/>
  <c r="B53" i="72"/>
  <c r="D53" i="9"/>
  <c r="D52" i="9"/>
  <c r="G118" i="9"/>
  <c r="F118" i="9"/>
  <c r="F4" i="52"/>
  <c r="B51" i="72"/>
  <c r="N60" i="9"/>
  <c r="H107" i="9"/>
  <c r="M49" i="9"/>
  <c r="N59" i="9"/>
  <c r="N61" i="9"/>
  <c r="E118" i="9"/>
  <c r="E4" i="52"/>
  <c r="B48"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<sst xmlns="http://schemas.openxmlformats.org/spreadsheetml/2006/main" count="7848" uniqueCount="3441">
  <si>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</si>
  <si>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</si>
  <si>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</si>
  <si>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</si>
  <si>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</si>
  <si>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</si>
  <si>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</si>
  <si>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</si>
  <si>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</si>
  <si>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</si>
  <si>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</si>
  <si>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</si>
  <si>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</si>
  <si>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</si>
  <si>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</si>
  <si>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</si>
  <si>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</si>
  <si>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</si>
  <si>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</si>
  <si>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</si>
  <si>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</si>
  <si>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</si>
  <si>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</si>
  <si>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</si>
  <si>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</si>
  <si>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</si>
  <si>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</si>
  <si>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</si>
  <si>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</si>
  <si>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</si>
  <si>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</si>
  <si>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</si>
  <si>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</si>
  <si>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</si>
  <si>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</si>
  <si>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</si>
  <si>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</si>
  <si>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</si>
  <si>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</si>
  <si>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</si>
  <si>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</si>
  <si>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</si>
  <si>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</si>
  <si>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</si>
  <si>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</si>
  <si>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</si>
  <si>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</si>
  <si>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</si>
  <si>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</si>
  <si>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</si>
  <si>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</si>
  <si>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</si>
  <si>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</si>
  <si>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</si>
  <si>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</si>
  <si>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</si>
  <si>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</si>
  <si>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</si>
  <si>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</si>
  <si>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</si>
  <si>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</si>
  <si>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</si>
  <si>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</si>
  <si>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</si>
  <si>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</si>
  <si>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</si>
  <si>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</si>
  <si>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</si>
  <si>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</si>
  <si>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</si>
  <si>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</si>
  <si>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</si>
  <si>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</si>
  <si>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</si>
  <si>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</si>
  <si>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</si>
  <si>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</si>
  <si>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</si>
  <si>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</si>
  <si>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</si>
  <si>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</si>
  <si>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</si>
  <si>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</si>
  <si>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</si>
  <si>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</si>
  <si>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</si>
  <si>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</si>
  <si>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</si>
  <si>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</si>
  <si>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</si>
  <si>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</si>
  <si>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</si>
  <si>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</si>
  <si>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</si>
  <si>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</si>
  <si>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</si>
  <si>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</si>
  <si>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</si>
  <si>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</si>
  <si>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</si>
  <si>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</si>
  <si>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</si>
  <si>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</si>
  <si>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</si>
  <si>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</si>
  <si>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</si>
  <si>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</si>
  <si>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</si>
  <si>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</si>
  <si>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</si>
  <si>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</si>
  <si>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</si>
  <si>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</si>
  <si>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</si>
  <si>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</si>
  <si>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</si>
  <si>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</si>
  <si>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</si>
  <si>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</si>
  <si>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</si>
  <si>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</si>
  <si>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</si>
  <si>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</si>
  <si>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</si>
  <si>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</si>
  <si>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</si>
  <si>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</si>
  <si>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</si>
  <si>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</si>
  <si>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</si>
  <si>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</si>
  <si>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</si>
  <si>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</si>
  <si>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</si>
  <si>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</si>
  <si>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</si>
  <si>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</si>
  <si>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</si>
  <si>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</si>
  <si>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</si>
  <si>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</si>
  <si>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</si>
  <si>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</si>
  <si>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</si>
  <si>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</si>
  <si>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</si>
  <si>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</si>
  <si>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</si>
  <si>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</si>
  <si>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</si>
  <si>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</si>
  <si>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</si>
  <si>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</si>
  <si>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</si>
  <si>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</si>
  <si>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</si>
  <si>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</si>
  <si>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</si>
  <si>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</si>
  <si>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</si>
  <si>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</si>
  <si>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</si>
  <si>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</si>
  <si>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</si>
  <si>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</si>
  <si>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</si>
  <si>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</si>
  <si>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</si>
  <si>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</si>
  <si>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</si>
  <si>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</si>
  <si>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</si>
  <si>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</si>
  <si>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</si>
  <si>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</si>
  <si>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</si>
  <si>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</si>
  <si>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</si>
  <si>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</si>
  <si>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</si>
  <si>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</si>
  <si>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</si>
  <si>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</si>
  <si>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</si>
  <si>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</si>
  <si>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</si>
  <si>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</si>
  <si>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</si>
  <si>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</si>
  <si>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</si>
  <si>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</si>
  <si>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</si>
  <si>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</si>
  <si>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</si>
  <si>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</si>
  <si>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</si>
  <si>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</si>
  <si>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</si>
  <si>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</si>
  <si>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</si>
  <si>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</si>
  <si>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</si>
  <si>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</si>
  <si>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</si>
  <si>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</si>
  <si>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</si>
  <si>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</si>
  <si>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</si>
  <si>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</si>
  <si>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</si>
  <si>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</si>
  <si>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</si>
  <si>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</si>
  <si>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</si>
  <si>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</si>
  <si>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</si>
  <si>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</si>
  <si>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</si>
  <si>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</si>
  <si>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</si>
  <si>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</si>
  <si>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</si>
  <si>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</si>
  <si>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</si>
  <si>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</si>
  <si>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</si>
  <si>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</si>
  <si>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</si>
  <si>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</si>
  <si>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</si>
  <si>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</si>
  <si>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</si>
  <si>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</si>
  <si>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</si>
  <si>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</si>
  <si>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</si>
  <si>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</si>
  <si>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</si>
  <si>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</si>
  <si>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</si>
  <si>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</si>
  <si>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</si>
  <si>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</si>
  <si>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</si>
  <si>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</si>
  <si>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</si>
  <si>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</si>
  <si>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</si>
  <si>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</si>
  <si>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</si>
  <si>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</si>
  <si>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</si>
  <si>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</si>
  <si>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</si>
  <si>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</si>
  <si>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</si>
  <si>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</si>
  <si>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</si>
  <si>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</si>
  <si>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</si>
  <si>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</si>
  <si>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</si>
  <si>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</si>
  <si>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</si>
  <si>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</si>
  <si>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</si>
  <si>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</si>
  <si>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</si>
  <si>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</si>
  <si>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</si>
  <si>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</si>
  <si>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</si>
  <si>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</si>
  <si>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</si>
  <si>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</si>
  <si>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</si>
  <si>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</si>
  <si>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</si>
  <si>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</si>
  <si>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</si>
  <si>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</si>
  <si>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</si>
  <si>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</si>
  <si>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</si>
  <si>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</si>
  <si>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</si>
  <si>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</si>
  <si>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</si>
  <si>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</si>
  <si>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</si>
  <si>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</si>
  <si>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</si>
  <si>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</si>
  <si>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</si>
  <si>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</si>
  <si>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</si>
  <si>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</si>
  <si>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</si>
  <si>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</si>
  <si>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</si>
  <si>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</si>
  <si>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</si>
  <si>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</si>
  <si>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</si>
  <si>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</si>
  <si>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</si>
  <si>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</si>
  <si>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</si>
  <si>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</si>
  <si>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</si>
  <si>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</si>
  <si>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</si>
  <si>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</si>
  <si>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</si>
  <si>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</si>
  <si>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</si>
  <si>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</si>
  <si>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</si>
  <si>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</si>
  <si>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</si>
  <si>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</si>
  <si>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</si>
  <si>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</si>
  <si>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</si>
  <si>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</si>
  <si>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</si>
  <si>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</si>
  <si>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</si>
  <si>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</si>
  <si>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</si>
  <si>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</si>
  <si>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</si>
  <si>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</si>
  <si>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</si>
  <si>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</si>
  <si>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</si>
  <si>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</si>
  <si>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</si>
  <si>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</si>
  <si>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</si>
  <si>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</si>
  <si>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</si>
  <si>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</si>
  <si>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</si>
  <si>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</si>
  <si>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</si>
  <si>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</si>
  <si>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</si>
  <si>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</si>
  <si>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</si>
  <si>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</si>
  <si>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</si>
  <si>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</si>
  <si>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</si>
  <si>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</si>
  <si>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</si>
  <si>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</si>
  <si>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</si>
  <si>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</si>
  <si>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</si>
  <si>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</si>
  <si>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</si>
  <si>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</si>
  <si>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</si>
  <si>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</si>
  <si>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</si>
  <si>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</si>
  <si>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</si>
  <si>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</si>
  <si>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</si>
  <si>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</si>
  <si>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</si>
  <si>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</si>
  <si>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</si>
  <si>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</si>
  <si>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</si>
  <si>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</si>
  <si>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</si>
  <si>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</si>
  <si>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</si>
  <si>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</si>
  <si>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</si>
  <si>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</si>
  <si>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</si>
  <si>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</si>
  <si>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</si>
  <si>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</si>
  <si>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</si>
  <si>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</si>
  <si>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</si>
  <si>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</si>
  <si>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</si>
  <si>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</si>
  <si>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</si>
  <si>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</si>
  <si>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</si>
  <si>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</si>
  <si>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</si>
  <si>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</si>
  <si>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</si>
  <si>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</si>
  <si>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</si>
  <si>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</si>
  <si>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</si>
  <si>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</si>
  <si>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</si>
  <si>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</si>
  <si>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</si>
  <si>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</si>
  <si>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</si>
  <si>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</si>
  <si>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</si>
  <si>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</si>
  <si>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</si>
  <si>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</si>
  <si>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</si>
  <si>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</si>
  <si>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</si>
  <si>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</si>
  <si>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</si>
  <si>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</si>
  <si>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</si>
  <si>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</si>
  <si>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</si>
  <si>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</si>
  <si>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</si>
  <si>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</si>
  <si>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</si>
  <si>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</si>
  <si>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</si>
  <si>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</si>
  <si>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</si>
  <si>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</si>
  <si>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</si>
  <si>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</si>
  <si>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</si>
  <si>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</si>
  <si>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</si>
  <si>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</si>
  <si>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</si>
  <si>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</si>
  <si>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</si>
  <si>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</si>
  <si>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</si>
  <si>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</si>
  <si>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</si>
  <si>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</si>
  <si>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</si>
  <si>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</si>
  <si>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</si>
  <si>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</si>
  <si>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</si>
  <si>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</si>
  <si>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</si>
  <si>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</si>
  <si>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</si>
  <si>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</si>
  <si>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</si>
  <si>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</si>
  <si>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</si>
  <si>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</si>
  <si>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</si>
  <si>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</si>
  <si>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</si>
  <si>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</si>
  <si>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</si>
  <si>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</si>
  <si>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</si>
  <si>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</si>
  <si>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</si>
  <si>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</si>
  <si>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</si>
  <si>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</si>
  <si>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</si>
  <si>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</si>
  <si>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</si>
  <si>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</si>
  <si>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</si>
  <si>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</si>
  <si>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</si>
  <si>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</si>
  <si>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</si>
  <si>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</si>
  <si>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</si>
  <si>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</si>
  <si>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</si>
  <si>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</si>
  <si>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</si>
  <si>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</si>
  <si>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</si>
  <si>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</si>
  <si>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</si>
  <si>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</si>
  <si>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</si>
  <si>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</si>
  <si>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</si>
  <si>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</si>
  <si>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</si>
  <si>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</si>
  <si>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</si>
  <si>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</si>
  <si>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</si>
  <si>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</si>
  <si>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</si>
  <si>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</si>
  <si>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</si>
  <si>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</si>
  <si>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</si>
  <si>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</si>
  <si>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</si>
  <si>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</si>
  <si>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</si>
  <si>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</si>
  <si>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</si>
  <si>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</si>
  <si>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</si>
  <si>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</si>
  <si>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</si>
  <si>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</si>
  <si>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</si>
  <si>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</si>
  <si>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</si>
  <si>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</si>
  <si>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</si>
  <si>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</si>
  <si>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</si>
  <si>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</si>
  <si>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</si>
  <si>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</si>
  <si>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</si>
  <si>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</si>
  <si>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</si>
  <si>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</si>
  <si>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</si>
  <si>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</si>
  <si>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</si>
  <si>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</si>
  <si>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</si>
  <si>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</si>
  <si>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</si>
  <si>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</si>
  <si>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</si>
  <si>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</si>
  <si>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</si>
  <si>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</si>
  <si>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</si>
  <si>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</si>
  <si>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</si>
  <si>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</si>
  <si>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</si>
  <si>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</si>
  <si>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</si>
  <si>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</si>
  <si>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</si>
  <si>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</si>
  <si>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</si>
  <si>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</si>
  <si>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</si>
  <si>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</si>
  <si>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</si>
  <si>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</si>
  <si>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</si>
  <si>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</si>
  <si>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</si>
  <si>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</si>
  <si>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</si>
  <si>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</si>
  <si>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</si>
  <si>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</si>
  <si>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</si>
  <si>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</si>
  <si>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</si>
  <si>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</si>
  <si>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</si>
  <si>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</si>
  <si>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</si>
  <si>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</si>
  <si>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</si>
  <si>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</si>
  <si>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</si>
  <si>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</si>
  <si>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</si>
  <si>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</si>
  <si>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</si>
  <si>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</si>
  <si>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</si>
  <si>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</si>
  <si>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</si>
  <si>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</si>
  <si>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</si>
  <si>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</si>
  <si>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</si>
  <si>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</si>
  <si>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</si>
  <si>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</si>
  <si>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</si>
  <si>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</si>
  <si>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</si>
  <si>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</si>
  <si>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</si>
  <si>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</si>
  <si>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</si>
  <si>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</si>
  <si>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</si>
  <si>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</si>
  <si>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</si>
  <si>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</si>
  <si>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</si>
  <si>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</si>
  <si>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</si>
  <si>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</si>
  <si>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</si>
  <si>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</si>
  <si>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</si>
  <si>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</si>
  <si>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</si>
  <si>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</si>
  <si>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</si>
  <si>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</si>
  <si>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</si>
  <si>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</si>
  <si>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</si>
  <si>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</si>
  <si>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</si>
  <si>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</si>
  <si>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</si>
  <si>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</si>
  <si>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</si>
  <si>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</si>
  <si>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</si>
  <si>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</si>
  <si>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</si>
  <si>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</si>
  <si>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</si>
  <si>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</si>
  <si>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</si>
  <si>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</si>
  <si>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</si>
  <si>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</si>
  <si>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</si>
  <si>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</si>
  <si>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</si>
  <si>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</si>
  <si>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</si>
  <si>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</si>
  <si>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</si>
  <si>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</si>
  <si>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</si>
  <si>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</si>
  <si>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</si>
  <si>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</si>
  <si>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</si>
  <si>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</si>
  <si>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</si>
  <si>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</si>
  <si>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</si>
  <si>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</si>
  <si>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</si>
  <si>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</si>
  <si>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</si>
  <si>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</si>
  <si>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</si>
  <si>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</si>
  <si>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</si>
  <si>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</si>
  <si>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</si>
  <si>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</si>
  <si>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</si>
  <si>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</si>
  <si>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</si>
  <si>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</si>
  <si>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</si>
  <si>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</si>
  <si>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</si>
  <si>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</si>
  <si>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</si>
  <si>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</si>
  <si>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</si>
  <si>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</si>
  <si>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</si>
  <si>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</si>
  <si>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</si>
  <si>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</si>
  <si>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</si>
  <si>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</si>
  <si>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</si>
  <si>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</si>
  <si>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</si>
  <si>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</si>
  <si>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</si>
  <si>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</si>
  <si>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</si>
  <si>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</si>
  <si>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</si>
  <si>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</si>
  <si>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</si>
  <si>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</si>
  <si>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</si>
  <si>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</si>
  <si>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</si>
  <si>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</si>
  <si>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</si>
  <si>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</si>
  <si>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</si>
  <si>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</si>
  <si>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</si>
  <si>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</si>
  <si>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</si>
  <si>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</si>
  <si>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</si>
  <si>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</si>
  <si>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</si>
  <si>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</si>
  <si>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</si>
  <si>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</si>
  <si>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</si>
  <si>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</si>
  <si>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</si>
  <si>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</si>
  <si>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</si>
  <si>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</si>
  <si>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</si>
  <si>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</si>
  <si>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</si>
  <si>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</si>
  <si>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</si>
  <si>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</si>
  <si>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</si>
  <si>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</si>
  <si>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</si>
  <si>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</si>
  <si>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</si>
  <si>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</si>
  <si>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</si>
  <si>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</si>
  <si>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</si>
  <si>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</si>
  <si>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</si>
  <si>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</si>
  <si>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</si>
  <si>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</si>
  <si>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</si>
  <si>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</si>
  <si>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</si>
  <si>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</si>
  <si>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</si>
  <si>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</si>
  <si>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</si>
  <si>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</si>
  <si>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</si>
  <si>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</si>
  <si>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</si>
  <si>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</si>
  <si>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</si>
  <si>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</si>
  <si>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</si>
  <si>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</si>
  <si>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</si>
  <si>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</si>
  <si>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</si>
  <si>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</si>
  <si>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</si>
  <si>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</si>
  <si>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</si>
  <si>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</si>
  <si>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</si>
  <si>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</si>
  <si>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</si>
  <si>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</si>
  <si>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</si>
  <si>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</si>
  <si>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</si>
  <si>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</si>
  <si>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</si>
  <si>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</si>
  <si>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</si>
  <si>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</si>
  <si>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</si>
  <si>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</si>
  <si>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</si>
  <si>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</si>
  <si>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</si>
  <si>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</si>
  <si>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</si>
  <si>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</si>
  <si>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</si>
  <si>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</si>
  <si>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</si>
  <si>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</si>
  <si>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</si>
  <si>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</si>
  <si>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</si>
  <si>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</si>
  <si>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</si>
  <si>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</si>
  <si>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</si>
  <si>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</si>
  <si>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</si>
  <si>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</si>
  <si>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</si>
  <si>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</si>
  <si>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</si>
  <si>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</si>
  <si>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</si>
  <si>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</si>
  <si>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</si>
  <si>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</si>
  <si>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</si>
  <si>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</si>
  <si>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</si>
  <si>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</si>
  <si>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</si>
  <si>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</si>
  <si>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</si>
  <si>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</si>
  <si>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</si>
  <si>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</si>
  <si>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</si>
  <si>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</si>
  <si>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</si>
  <si>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</si>
  <si>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</si>
  <si>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</si>
  <si>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</si>
  <si>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</si>
  <si>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</si>
  <si>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</si>
  <si>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</si>
  <si>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</si>
  <si>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</si>
  <si>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</si>
  <si>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</si>
  <si>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</si>
  <si>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</si>
  <si>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</si>
  <si>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</si>
  <si>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</si>
  <si>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</si>
  <si>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</si>
  <si>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</si>
  <si>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</si>
  <si>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</si>
  <si>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</si>
  <si>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</si>
  <si>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</si>
  <si>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</si>
  <si>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</si>
  <si>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</si>
  <si>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</si>
  <si>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</si>
  <si>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</si>
  <si>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</si>
  <si>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</si>
  <si>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</si>
  <si>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</si>
  <si>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</si>
  <si>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</si>
  <si>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</si>
  <si>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</si>
  <si>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</si>
  <si>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</si>
  <si>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</si>
  <si>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</si>
  <si>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</si>
  <si>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</si>
  <si>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</si>
  <si>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</si>
  <si>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</si>
  <si>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</si>
  <si>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</si>
  <si>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</si>
  <si>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</si>
  <si>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</si>
  <si>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</si>
  <si>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</si>
  <si>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</si>
  <si>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</si>
  <si>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</si>
  <si>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</si>
  <si>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</si>
  <si>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</si>
  <si>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</si>
  <si>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</si>
  <si>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</si>
  <si>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</si>
  <si>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</si>
  <si>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</si>
  <si>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</si>
  <si>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</si>
  <si>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</si>
  <si>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</si>
  <si>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</si>
  <si>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</si>
  <si>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</si>
  <si>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</si>
  <si>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</si>
  <si>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</si>
  <si>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</si>
  <si>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</si>
  <si>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</si>
  <si>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</si>
  <si>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</si>
  <si>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</si>
  <si>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</si>
  <si>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</si>
  <si>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</si>
  <si>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</si>
  <si>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</si>
  <si>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</si>
  <si>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</si>
  <si>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</si>
  <si>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</si>
  <si>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</si>
  <si>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</si>
  <si>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</si>
  <si>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</si>
  <si>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</si>
  <si>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</si>
  <si>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</si>
  <si>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</si>
  <si>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</si>
  <si>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</si>
  <si>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</si>
  <si>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</si>
  <si>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</si>
  <si>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</si>
  <si>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</si>
  <si>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</si>
  <si>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</si>
  <si>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</si>
  <si>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</si>
  <si>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</si>
  <si>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</si>
  <si>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</si>
  <si>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</si>
  <si>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</si>
  <si>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</si>
  <si>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</si>
  <si>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</si>
  <si>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</si>
  <si>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</si>
  <si>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</si>
  <si>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</si>
  <si>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</si>
  <si>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</si>
  <si>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</si>
  <si>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</si>
  <si>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</si>
  <si>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</si>
  <si>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</si>
  <si>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</si>
  <si>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</si>
  <si>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</si>
  <si>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</si>
  <si>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</si>
  <si>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</si>
  <si>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</si>
  <si>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</si>
  <si>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</si>
  <si>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</si>
  <si>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</si>
  <si>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</si>
  <si>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</si>
  <si>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</si>
  <si>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</si>
  <si>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</si>
  <si>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</si>
  <si>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</si>
  <si>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</si>
  <si>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</si>
  <si>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</si>
  <si>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</si>
  <si>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</si>
  <si>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</si>
  <si>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</si>
  <si>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</si>
  <si>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</si>
  <si>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</si>
  <si>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</si>
  <si>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</si>
  <si>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</si>
  <si>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</si>
  <si>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</si>
  <si>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</si>
  <si>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</si>
  <si>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</si>
  <si>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</si>
  <si>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</si>
  <si>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</si>
  <si>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</si>
  <si>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</si>
  <si>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</si>
  <si>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</si>
  <si>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</si>
  <si>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</si>
  <si>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</si>
  <si>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</si>
  <si>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</si>
  <si>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</si>
  <si>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</si>
  <si>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</si>
  <si>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</si>
  <si>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</si>
  <si>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</si>
  <si>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</si>
  <si>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</si>
  <si>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</si>
  <si>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</si>
  <si>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</si>
  <si>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</si>
  <si>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</si>
  <si>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</si>
  <si>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</si>
  <si>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</si>
  <si>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</si>
  <si>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</si>
  <si>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</si>
  <si>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</si>
  <si>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</si>
  <si>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</si>
  <si>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</si>
  <si>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</si>
  <si>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</si>
  <si>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</si>
  <si>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</si>
  <si>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</si>
  <si>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</si>
  <si>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</si>
  <si>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</si>
  <si>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</si>
  <si>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</si>
  <si>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</si>
  <si>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</si>
  <si>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</si>
  <si>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</si>
  <si>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</si>
  <si>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</si>
  <si>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</si>
  <si>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</si>
  <si>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</si>
  <si>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</si>
  <si>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</si>
  <si>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</si>
  <si>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</si>
  <si>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</si>
  <si>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</si>
  <si>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</si>
  <si>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</si>
  <si>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</si>
  <si>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</si>
  <si>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</si>
  <si>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</si>
  <si>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</si>
  <si>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</si>
  <si>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</si>
  <si>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</si>
  <si>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</si>
  <si>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</si>
  <si>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</si>
  <si>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</si>
  <si>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</si>
  <si>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</si>
  <si>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</si>
  <si>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</si>
  <si>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</si>
  <si>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</si>
  <si>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</si>
  <si>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</si>
  <si>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</si>
  <si>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</si>
  <si>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</si>
  <si>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</si>
  <si>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</si>
  <si>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</si>
  <si>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</si>
  <si>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</si>
  <si>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</si>
  <si>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</si>
  <si>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</si>
  <si>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</si>
  <si>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</si>
  <si>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</si>
  <si>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</si>
  <si>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</si>
  <si>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</si>
  <si>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</si>
  <si>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</si>
  <si>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</si>
  <si>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</si>
  <si>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</si>
  <si>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</si>
  <si>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</si>
  <si>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</si>
  <si>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</si>
  <si>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</si>
  <si>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</si>
  <si>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</si>
  <si>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</si>
  <si>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</si>
  <si>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</si>
  <si>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</si>
  <si>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</si>
  <si>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</si>
  <si>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</si>
  <si>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</si>
  <si>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</si>
  <si>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</si>
  <si>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</si>
  <si>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</si>
  <si>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</si>
  <si>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</si>
  <si>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</si>
  <si>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</si>
  <si>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</si>
  <si>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</si>
  <si>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</si>
  <si>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</si>
  <si>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</si>
  <si>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</si>
  <si>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</si>
  <si>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</si>
  <si>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</si>
  <si>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</si>
  <si>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</si>
  <si>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</si>
  <si>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</si>
  <si>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</si>
  <si>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</si>
  <si>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</si>
  <si>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</si>
  <si>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</si>
  <si>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</si>
  <si>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</si>
  <si>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</si>
  <si>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</si>
  <si>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</si>
  <si>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</si>
  <si>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</si>
  <si>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</si>
  <si>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</si>
  <si>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</si>
  <si>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</si>
  <si>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</si>
  <si>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</si>
  <si>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</si>
  <si>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</si>
  <si>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</si>
  <si>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</si>
  <si>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</si>
  <si>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</si>
  <si>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</si>
  <si>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</si>
  <si>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</si>
  <si>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</si>
  <si>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</si>
  <si>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</si>
  <si>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</si>
  <si>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</si>
  <si>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</si>
  <si>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</si>
  <si>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</si>
  <si>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</si>
  <si>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</si>
  <si>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</si>
  <si>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</si>
  <si>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</si>
  <si>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</si>
  <si>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</si>
  <si>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</si>
  <si>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</si>
  <si>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</si>
  <si>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</si>
  <si>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</si>
  <si>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</si>
  <si>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</si>
  <si>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</si>
  <si>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</si>
  <si>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</si>
  <si>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</si>
  <si>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</si>
  <si>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</si>
  <si>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</si>
  <si>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</si>
  <si>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</si>
  <si>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</si>
  <si>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</si>
  <si>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</si>
  <si>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</si>
  <si>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</si>
  <si>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</si>
  <si>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</si>
  <si>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</si>
  <si>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</si>
  <si>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</si>
  <si>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</si>
  <si>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</si>
  <si>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</si>
  <si>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</si>
  <si>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</si>
  <si>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</si>
  <si>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</si>
  <si>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</si>
  <si>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</si>
  <si>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</si>
  <si>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</si>
  <si>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</si>
  <si>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</si>
  <si>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</si>
  <si>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</si>
  <si>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</si>
  <si>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</si>
  <si>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</si>
  <si>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</si>
  <si>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</si>
  <si>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</si>
  <si>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</si>
  <si>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</si>
  <si>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</si>
  <si>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</si>
  <si>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</si>
  <si>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</si>
  <si>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</si>
  <si>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</si>
  <si>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</si>
  <si>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</si>
  <si>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</si>
  <si>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</si>
  <si>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</si>
  <si>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</si>
  <si>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</si>
  <si>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</si>
  <si>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</si>
  <si>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</si>
  <si>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</si>
  <si>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</si>
  <si>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</si>
  <si>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</si>
  <si>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</si>
  <si>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</si>
  <si>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</si>
  <si>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</si>
  <si>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</si>
  <si>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</si>
  <si>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</si>
  <si>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</si>
  <si>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</si>
  <si>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</si>
  <si>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</si>
  <si>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</si>
  <si>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</si>
  <si>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</si>
  <si>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</si>
  <si>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</si>
  <si>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</si>
  <si>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</si>
  <si>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</si>
  <si>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</si>
  <si>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</si>
  <si>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</si>
  <si>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</si>
  <si>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</si>
  <si>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</si>
  <si>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</si>
  <si>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</si>
  <si>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</si>
  <si>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</si>
  <si>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</si>
  <si>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</si>
  <si>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</si>
  <si>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</si>
  <si>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</si>
  <si>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</si>
  <si>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</si>
  <si>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</si>
  <si>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</si>
  <si>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</si>
  <si>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</si>
  <si>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</si>
  <si>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</si>
  <si>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</si>
  <si>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</si>
  <si>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</si>
  <si>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</si>
  <si>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</si>
  <si>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</si>
  <si>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</si>
  <si>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</si>
  <si>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</si>
  <si>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</si>
  <si>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</si>
  <si>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</si>
  <si>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</si>
  <si>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</si>
  <si>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</si>
  <si>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</si>
  <si>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</si>
  <si>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</si>
  <si>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</si>
  <si>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</si>
  <si>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</si>
  <si>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</si>
  <si>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</si>
  <si>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</si>
  <si>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</si>
  <si>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</si>
  <si>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</si>
  <si>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</si>
  <si>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</si>
  <si>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</si>
  <si>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</si>
  <si>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</si>
  <si>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</si>
  <si>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</si>
  <si>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</si>
  <si>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</si>
  <si>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</si>
  <si>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</si>
  <si>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</si>
  <si>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</si>
  <si>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</si>
  <si>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</si>
  <si>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</si>
  <si>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</si>
  <si>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</si>
  <si>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</si>
  <si>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</si>
  <si>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</si>
  <si>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</si>
  <si>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</si>
  <si>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</si>
  <si>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</si>
  <si>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</si>
  <si>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</si>
  <si>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</si>
  <si>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</si>
  <si>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</si>
  <si>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</si>
  <si>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</si>
  <si>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</si>
  <si>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</si>
  <si>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</si>
  <si>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</si>
  <si>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</si>
  <si>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</si>
  <si>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</si>
  <si>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</si>
  <si>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</si>
  <si>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</si>
  <si>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</si>
  <si>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</si>
  <si>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</si>
  <si>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</si>
  <si>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</si>
  <si>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</si>
  <si>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</si>
  <si>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</si>
  <si>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</si>
  <si>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</si>
  <si>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</si>
  <si>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</si>
  <si>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</si>
  <si>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</si>
  <si>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</si>
  <si>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</si>
  <si>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</si>
  <si>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</si>
  <si>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</si>
  <si>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</si>
  <si>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</si>
  <si>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</si>
  <si>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</si>
  <si>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</si>
  <si>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</si>
  <si>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</si>
  <si>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</si>
  <si>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</si>
  <si>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</si>
  <si>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</si>
  <si>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</si>
  <si>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</si>
  <si>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</si>
  <si>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</si>
  <si>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</si>
  <si>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</si>
  <si>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</si>
  <si>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</si>
  <si>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</si>
  <si>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</si>
  <si>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</si>
  <si>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</si>
  <si>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</si>
  <si>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</si>
  <si>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</si>
  <si>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</si>
  <si>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</si>
  <si>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</si>
  <si>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</si>
  <si>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</si>
  <si>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</si>
  <si>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</si>
  <si>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</si>
  <si>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</si>
  <si>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</si>
  <si>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</si>
  <si>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</si>
  <si>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</si>
  <si>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</si>
  <si>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</si>
  <si>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</si>
  <si>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</si>
  <si>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</si>
  <si>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</si>
  <si>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</si>
  <si>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</si>
  <si>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</si>
  <si>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</si>
  <si>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</si>
  <si>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</si>
  <si>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</si>
  <si>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</si>
  <si>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</si>
  <si>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</si>
  <si>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</si>
  <si>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</si>
  <si>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</si>
  <si>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</si>
  <si>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</si>
  <si>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</si>
  <si>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</si>
  <si>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</si>
  <si>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</si>
  <si>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</si>
  <si>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</si>
  <si>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</si>
  <si>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</si>
  <si>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</si>
  <si>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</si>
  <si>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</si>
  <si>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</si>
  <si>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</si>
  <si>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</si>
  <si>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</si>
  <si>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</si>
  <si>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</si>
  <si>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</si>
  <si>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</si>
  <si>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</si>
  <si>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</si>
  <si>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</si>
  <si>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</si>
  <si>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</si>
  <si>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</si>
  <si>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</si>
  <si>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</si>
  <si>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</si>
  <si>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</si>
  <si>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</si>
  <si>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</si>
  <si>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</si>
  <si>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</si>
  <si>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</si>
  <si>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</si>
  <si>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</si>
  <si>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</si>
  <si>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</si>
  <si>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</si>
  <si>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</si>
  <si>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</si>
  <si>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</si>
  <si>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</si>
  <si>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</si>
  <si>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</si>
  <si>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</si>
  <si>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</si>
  <si>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</si>
  <si>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</si>
  <si>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</si>
  <si>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</si>
  <si>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</si>
  <si>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</si>
  <si>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</si>
  <si>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</si>
  <si>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</si>
  <si>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</si>
  <si>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</si>
  <si>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</si>
  <si>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</si>
  <si>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</si>
  <si>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</si>
  <si>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</si>
  <si>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</si>
  <si>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</si>
  <si>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</si>
  <si>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</si>
  <si>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</si>
  <si>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</si>
  <si>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</si>
  <si>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</si>
  <si>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</si>
  <si>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</si>
  <si>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</si>
  <si>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</si>
  <si>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</si>
  <si>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</si>
  <si>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</si>
  <si>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</si>
  <si>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</si>
  <si>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</si>
  <si>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</si>
  <si>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</si>
  <si>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</si>
  <si>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</si>
  <si>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</si>
  <si>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</si>
  <si>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</si>
  <si>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</si>
  <si>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</si>
  <si>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</si>
  <si>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</si>
  <si>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</si>
  <si>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</si>
  <si>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</si>
  <si>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</si>
  <si>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</si>
  <si>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</si>
  <si>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</si>
  <si>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</si>
  <si>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</si>
  <si>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</si>
  <si>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</si>
  <si>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</si>
  <si>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</si>
  <si>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</si>
  <si>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</si>
  <si>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</si>
  <si>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</si>
  <si>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</si>
  <si>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</si>
  <si>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</si>
  <si>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</si>
  <si>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</si>
  <si>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</si>
  <si>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</si>
  <si>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</si>
  <si>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</si>
  <si>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</si>
  <si>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</si>
  <si>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</si>
  <si>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</si>
  <si>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</si>
  <si>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</si>
  <si>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</si>
  <si>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</si>
  <si>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</si>
  <si>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</si>
  <si>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</si>
  <si>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</si>
  <si>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</si>
  <si>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</si>
  <si>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</si>
  <si>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</si>
  <si>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</si>
  <si>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</si>
  <si>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</si>
  <si>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</si>
  <si>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</si>
  <si>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</si>
  <si>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</si>
  <si>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</si>
  <si>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</si>
  <si>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</si>
  <si>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</si>
  <si>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</si>
  <si>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</si>
  <si>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</si>
  <si>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</si>
  <si>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</si>
  <si>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</si>
  <si>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</si>
  <si>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</si>
  <si>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</si>
  <si>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</si>
  <si>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</si>
  <si>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</si>
  <si>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</si>
  <si>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</si>
  <si>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</si>
  <si>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</si>
  <si>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</si>
  <si>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</si>
  <si>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</si>
  <si>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</si>
  <si>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</si>
  <si>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</si>
  <si>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</si>
  <si>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</si>
  <si>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</si>
  <si>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</si>
  <si>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</si>
  <si>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</si>
  <si>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</si>
  <si>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</si>
  <si>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</si>
  <si>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</si>
  <si>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</si>
  <si>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</si>
  <si>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</si>
  <si>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</si>
  <si>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</si>
  <si>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</si>
  <si>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</si>
  <si>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</si>
  <si>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</si>
  <si>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</si>
  <si>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</si>
  <si>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</si>
  <si>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</si>
  <si>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</si>
  <si>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</si>
  <si>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</si>
  <si>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</si>
  <si>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</si>
  <si>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</si>
  <si>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</si>
  <si>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</si>
  <si>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</si>
  <si>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</si>
  <si>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</si>
  <si>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</si>
  <si>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</si>
  <si>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</si>
  <si>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</si>
  <si>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</si>
  <si>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</si>
  <si>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</si>
  <si>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</si>
  <si>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</si>
  <si>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</si>
  <si>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</si>
  <si>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</si>
  <si>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</si>
  <si>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</si>
  <si>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</si>
  <si>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</si>
  <si>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</si>
  <si>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</si>
  <si>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</si>
  <si>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</si>
  <si>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</si>
  <si>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</si>
  <si>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</si>
  <si>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</si>
  <si>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</si>
  <si>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</si>
  <si>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</si>
  <si>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</si>
  <si>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</si>
  <si>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</si>
  <si>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</si>
  <si>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</si>
  <si>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</si>
  <si>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</si>
  <si>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</si>
  <si>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</si>
  <si>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</si>
  <si>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</si>
  <si>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</si>
  <si>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</si>
  <si>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</si>
  <si>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</si>
  <si>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</si>
  <si>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</si>
  <si>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</si>
  <si>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</si>
  <si>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</si>
  <si>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</si>
  <si>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</si>
  <si>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</si>
  <si>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</si>
  <si>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</si>
  <si>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</si>
  <si>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</si>
  <si>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</si>
  <si>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</si>
  <si>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</si>
  <si>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</si>
  <si>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</si>
  <si>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</si>
  <si>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</si>
  <si>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</si>
  <si>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</si>
  <si>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</si>
  <si>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</si>
  <si>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</si>
  <si>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</si>
  <si>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</si>
  <si>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</si>
  <si>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</si>
  <si>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</si>
  <si>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</si>
  <si>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</si>
  <si>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</si>
  <si>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</si>
  <si>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</si>
  <si>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</si>
  <si>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</si>
  <si>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</si>
  <si>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</si>
  <si>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</si>
  <si>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</si>
  <si>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</si>
  <si>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</si>
  <si>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</si>
  <si>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</si>
  <si>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</si>
  <si>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</si>
  <si>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</si>
  <si>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</si>
  <si>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</si>
  <si>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</si>
  <si>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</si>
  <si>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</si>
  <si>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</si>
  <si>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</si>
  <si>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</si>
  <si>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</si>
  <si>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</si>
  <si>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</si>
  <si>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</si>
  <si>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</si>
  <si>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</si>
  <si>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</si>
  <si>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</si>
  <si>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</si>
  <si>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</si>
  <si>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</si>
  <si>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</si>
  <si>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</si>
  <si>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</si>
  <si>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</si>
  <si>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</si>
  <si>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</si>
  <si>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</si>
  <si>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</si>
  <si>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</si>
  <si>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</si>
  <si>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</si>
  <si>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</si>
  <si>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</si>
  <si>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</si>
  <si>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</si>
  <si>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</si>
  <si>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</si>
  <si>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</si>
  <si>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</si>
  <si>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</si>
  <si>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</si>
  <si>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</si>
  <si>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</si>
  <si>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</si>
  <si>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</si>
  <si>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</si>
  <si>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</si>
  <si>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</si>
  <si>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</si>
  <si>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</si>
  <si>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</si>
  <si>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</si>
  <si>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</si>
  <si>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</si>
  <si>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</si>
  <si>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</si>
  <si>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</si>
  <si>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</si>
  <si>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</si>
  <si>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</si>
  <si>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</si>
  <si>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</si>
  <si>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</si>
  <si>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</si>
  <si>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</si>
  <si>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</si>
  <si>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</si>
  <si>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</si>
  <si>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</si>
  <si>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</si>
  <si>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</si>
  <si>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</si>
  <si>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</si>
  <si>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</si>
  <si>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</si>
  <si>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</si>
  <si>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</si>
  <si>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</si>
  <si>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</si>
  <si>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</si>
  <si>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</si>
  <si>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</si>
  <si>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</si>
  <si>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</si>
  <si>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</si>
  <si>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</si>
  <si>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</si>
  <si>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</si>
  <si>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</si>
  <si>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</si>
  <si>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</si>
  <si>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</si>
  <si>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</si>
  <si>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</si>
  <si>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</si>
  <si>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</si>
  <si>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</si>
  <si>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</si>
  <si>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</si>
  <si>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</si>
  <si>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</si>
  <si>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</si>
  <si>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</si>
  <si>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</si>
  <si>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</si>
  <si>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</si>
  <si>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</si>
  <si>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</si>
  <si>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</si>
  <si>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</si>
  <si>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</si>
  <si>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</si>
  <si>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</si>
  <si>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</si>
  <si>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</si>
  <si>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</si>
  <si>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</si>
  <si>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</si>
  <si>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</si>
  <si>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</si>
  <si>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</si>
  <si>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</si>
  <si>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</si>
  <si>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</si>
  <si>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</si>
  <si>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</si>
  <si>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</si>
  <si>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</si>
  <si>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</si>
  <si>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</si>
  <si>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</si>
  <si>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</si>
  <si>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</si>
  <si>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</si>
  <si>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</si>
  <si>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</si>
  <si>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</si>
  <si>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</si>
  <si>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</si>
  <si>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</si>
  <si>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</si>
  <si>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</si>
  <si>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</si>
  <si>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</si>
  <si>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</si>
  <si>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</si>
  <si>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</si>
  <si>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</si>
  <si>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</si>
  <si>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</si>
  <si>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</si>
  <si>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</si>
  <si>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</si>
  <si>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</si>
  <si>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</si>
  <si>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</si>
  <si>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</si>
  <si>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</si>
  <si>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</si>
  <si>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</si>
  <si>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</si>
  <si>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</si>
  <si>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</si>
  <si>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</si>
  <si>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</si>
  <si>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</si>
  <si>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</si>
  <si>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</si>
  <si>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</si>
  <si>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</si>
  <si>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</si>
  <si>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</si>
  <si>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</si>
  <si>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</si>
  <si>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</si>
  <si>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</si>
  <si>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</si>
  <si>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</si>
  <si>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</si>
  <si>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</si>
  <si>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</si>
  <si>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</si>
  <si>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</si>
  <si>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</si>
  <si>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</si>
  <si>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</si>
  <si>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</si>
  <si>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</si>
  <si>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</si>
  <si>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</si>
  <si>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</si>
  <si>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</si>
  <si>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</si>
  <si>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</si>
  <si>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</si>
  <si>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</si>
  <si>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</si>
  <si>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</si>
  <si>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</si>
  <si>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</si>
  <si>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</si>
  <si>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</si>
  <si>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</si>
  <si>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</si>
  <si>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</si>
  <si>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</si>
  <si>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</si>
  <si>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</si>
  <si>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</si>
  <si>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</si>
  <si>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</si>
  <si>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</si>
  <si>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</si>
  <si>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</si>
  <si>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</si>
  <si>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</si>
  <si>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</si>
  <si>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</si>
  <si>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</si>
  <si>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</si>
  <si>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</si>
  <si>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</si>
  <si>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</si>
  <si>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</si>
  <si>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</si>
  <si>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</si>
  <si>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</si>
  <si>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</si>
  <si>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</si>
  <si>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</si>
  <si>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</si>
  <si>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</si>
  <si>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</si>
  <si>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</si>
  <si>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</si>
  <si>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</si>
  <si>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</si>
  <si>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</si>
  <si>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</si>
  <si>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</si>
  <si>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</si>
  <si>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</si>
  <si>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</si>
  <si>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</si>
  <si>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</si>
  <si>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</si>
  <si>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</si>
  <si>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</si>
  <si>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</si>
  <si>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</si>
  <si>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</si>
  <si>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</si>
  <si>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</si>
  <si>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</si>
  <si>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</si>
  <si>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</si>
  <si>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</si>
  <si>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</si>
  <si>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</si>
  <si>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</si>
  <si>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</si>
  <si>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</si>
  <si>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</si>
  <si>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</si>
  <si>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</si>
  <si>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</si>
  <si>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</si>
  <si>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</si>
  <si>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</si>
  <si>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</si>
  <si>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</si>
  <si>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</si>
  <si>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</si>
  <si>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</si>
  <si>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</si>
  <si>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</si>
  <si>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</si>
  <si>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</si>
  <si>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</si>
  <si>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</si>
  <si>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</si>
  <si>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</si>
  <si>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</si>
  <si>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</si>
  <si>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</si>
  <si>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</si>
  <si>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</si>
  <si>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</si>
  <si>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</si>
  <si>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</si>
  <si>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</si>
  <si>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</si>
  <si>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</si>
  <si>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</si>
  <si>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</si>
  <si>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</si>
  <si>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</si>
  <si>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</si>
  <si>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</si>
  <si>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</si>
  <si>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</si>
  <si>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</si>
  <si>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</si>
  <si>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</si>
  <si>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</si>
  <si>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</si>
  <si>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</si>
  <si>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</si>
  <si>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</si>
  <si>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</si>
  <si>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</si>
  <si>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</si>
  <si>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</si>
  <si>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</si>
  <si>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</si>
  <si>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</si>
  <si>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</si>
  <si>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</si>
  <si>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</si>
  <si>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</si>
  <si>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</si>
  <si>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</si>
  <si>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</si>
  <si>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</si>
  <si>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</si>
  <si>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</si>
  <si>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</si>
  <si>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</si>
  <si>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</si>
  <si>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</si>
  <si>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</si>
  <si>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</si>
  <si>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</si>
  <si>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</si>
  <si>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</si>
  <si>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</si>
  <si>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</si>
  <si>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</si>
  <si>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</si>
  <si>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</si>
  <si>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</si>
  <si>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</si>
  <si>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</si>
  <si>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</si>
  <si>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</si>
  <si>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</si>
  <si>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</si>
  <si>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</si>
  <si>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</si>
  <si>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</si>
  <si>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</si>
  <si>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</si>
  <si>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</si>
  <si>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</si>
  <si>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</si>
  <si>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</si>
  <si>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</si>
  <si>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</si>
  <si>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</si>
  <si>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</si>
  <si>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</si>
  <si>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</si>
  <si>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</si>
  <si>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</si>
  <si>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</si>
  <si>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</si>
  <si>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</si>
  <si>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</si>
  <si>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</si>
  <si>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</si>
  <si>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</si>
  <si>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</si>
  <si>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</si>
  <si>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</si>
  <si>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</si>
  <si>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</si>
  <si>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</si>
  <si>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</si>
  <si>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</si>
  <si>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</si>
  <si>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</si>
  <si>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</si>
  <si>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</si>
  <si>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</si>
  <si>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</si>
  <si>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</si>
  <si>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</si>
  <si>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</si>
  <si>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</si>
  <si>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</si>
  <si>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</si>
  <si>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</si>
  <si>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</si>
  <si>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</si>
  <si>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</si>
  <si>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</si>
  <si>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</si>
  <si>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</si>
  <si>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</si>
  <si>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</si>
  <si>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</si>
  <si>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</si>
  <si>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</si>
  <si>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</si>
  <si>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</si>
  <si>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</si>
  <si>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</si>
  <si>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</si>
  <si>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</si>
  <si>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</si>
  <si>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</si>
  <si>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</si>
  <si>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</si>
  <si>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</si>
  <si>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</si>
  <si>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</si>
  <si>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</si>
  <si>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</si>
  <si>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</si>
  <si>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</si>
  <si>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</si>
  <si>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</si>
  <si>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</si>
  <si>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</si>
  <si>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</si>
  <si>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</si>
  <si>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</si>
  <si>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</si>
  <si>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</si>
  <si>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</si>
  <si>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</si>
  <si>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</si>
  <si>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</si>
  <si>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</si>
  <si>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</si>
  <si>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</si>
  <si>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</si>
  <si>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</si>
  <si>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</si>
  <si>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</si>
  <si>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</si>
  <si>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</si>
  <si>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</si>
  <si>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</si>
  <si>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</si>
  <si>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</si>
  <si>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</si>
  <si>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</si>
  <si>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</si>
  <si>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</si>
  <si>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</si>
  <si>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</si>
  <si>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</si>
  <si>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</si>
  <si>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</si>
  <si>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</si>
  <si>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</si>
  <si>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</si>
  <si>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</si>
  <si>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</si>
  <si>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</si>
  <si>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</si>
  <si>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</si>
  <si>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</si>
  <si>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</si>
  <si>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</si>
  <si>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</si>
  <si>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</si>
  <si>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</si>
  <si>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</si>
  <si>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</si>
  <si>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</si>
  <si>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</si>
  <si>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</si>
  <si>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</si>
  <si>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</si>
  <si>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</si>
  <si>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</si>
  <si>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</si>
  <si>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</si>
  <si>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</si>
  <si>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</si>
  <si>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</si>
  <si>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</si>
  <si>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</si>
  <si>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</si>
  <si>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</si>
  <si>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</si>
  <si>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</si>
  <si>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</si>
  <si>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</si>
  <si>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</si>
  <si>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</si>
  <si>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</si>
  <si>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</si>
  <si>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</si>
  <si>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</si>
  <si>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</si>
  <si>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</si>
  <si>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</si>
  <si>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</si>
  <si>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</si>
  <si>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</si>
  <si>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</si>
  <si>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</si>
  <si>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</si>
  <si>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</si>
  <si>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</si>
  <si>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</si>
  <si>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</si>
  <si>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</si>
  <si>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</si>
  <si>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</si>
  <si>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</si>
  <si>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</si>
  <si>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</si>
  <si>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</si>
  <si>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</si>
  <si>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</si>
  <si>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</si>
  <si>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</si>
  <si>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</si>
  <si>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</si>
  <si>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</si>
  <si>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</si>
  <si>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</si>
  <si>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</si>
  <si>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</si>
  <si>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</si>
  <si>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</si>
  <si>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</si>
  <si>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</si>
  <si>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</si>
  <si>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</si>
  <si>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</si>
  <si>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</si>
  <si>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</si>
  <si>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</si>
  <si>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</si>
  <si>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</si>
  <si>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</si>
  <si>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</si>
  <si>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</si>
  <si>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</si>
  <si>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</si>
  <si>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</si>
  <si>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</si>
  <si>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</si>
  <si>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</si>
  <si>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</si>
  <si>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</si>
  <si>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</si>
  <si>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</si>
  <si>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</si>
  <si>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</si>
  <si>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</si>
  <si>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</si>
  <si>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</si>
  <si>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</si>
  <si>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</si>
  <si>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</si>
  <si>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</si>
  <si>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</si>
  <si>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</si>
  <si>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</si>
  <si>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</si>
  <si>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</si>
  <si>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</si>
  <si>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</si>
  <si>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</si>
  <si>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</si>
  <si>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</si>
  <si>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</si>
  <si>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</si>
  <si>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</si>
  <si>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</si>
  <si>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</si>
  <si>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</si>
  <si>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</si>
  <si>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</si>
  <si>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</si>
  <si>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</si>
  <si>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</si>
  <si>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</si>
  <si>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</si>
  <si>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</si>
  <si>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</si>
  <si>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</si>
  <si>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</si>
  <si>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</si>
  <si>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</si>
  <si>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</si>
  <si>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</si>
  <si>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</si>
  <si>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</si>
  <si>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</si>
  <si>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</si>
  <si>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</si>
  <si>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</si>
  <si>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</si>
  <si>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</si>
  <si>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</si>
  <si>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</si>
  <si>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</si>
  <si>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</si>
  <si>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</si>
  <si>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</si>
  <si>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</si>
  <si>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</si>
  <si>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</si>
  <si>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</si>
  <si>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</si>
  <si>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</si>
  <si>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</si>
  <si>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</si>
  <si>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</si>
  <si>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</si>
  <si>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</si>
  <si>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</si>
  <si>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</si>
  <si>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</si>
  <si>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</si>
  <si>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</si>
  <si>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</si>
  <si>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</si>
  <si>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</si>
  <si>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</si>
  <si>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</si>
  <si>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</si>
  <si>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</si>
  <si>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</si>
  <si>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</si>
  <si>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</si>
  <si>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</si>
  <si>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</si>
  <si>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</si>
  <si>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</si>
  <si>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</si>
  <si>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</si>
  <si>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</si>
  <si>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</si>
  <si>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</si>
  <si>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</si>
  <si>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</si>
  <si>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</si>
  <si>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</si>
  <si>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</si>
  <si>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</si>
  <si>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</si>
  <si>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</si>
  <si>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</si>
  <si>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</si>
  <si>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</si>
  <si>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</si>
  <si>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</si>
  <si>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</si>
  <si>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</si>
  <si>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</si>
  <si>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</si>
  <si>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</si>
  <si>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</si>
  <si>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</si>
  <si>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</si>
  <si>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</si>
  <si>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</si>
  <si>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</si>
  <si>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</si>
  <si>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</si>
  <si>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</si>
  <si>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</si>
  <si>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</si>
  <si>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</si>
  <si>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</si>
  <si>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</si>
  <si>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</si>
  <si>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</si>
  <si>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</si>
  <si>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</si>
  <si>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</si>
  <si>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</si>
  <si>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</si>
  <si>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</si>
  <si>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</si>
  <si>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</si>
  <si>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</si>
  <si>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</si>
  <si>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</si>
  <si>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</si>
  <si>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</si>
  <si>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</si>
  <si>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</si>
  <si>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</si>
  <si>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</si>
  <si>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</si>
  <si>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</si>
  <si>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</si>
  <si>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</si>
  <si>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</si>
  <si>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</si>
  <si>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</si>
  <si>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</si>
  <si>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</si>
  <si>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</si>
  <si>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</si>
  <si>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</si>
  <si>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</si>
  <si>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</si>
  <si>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</si>
  <si>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</si>
  <si>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</si>
  <si>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</si>
  <si>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</si>
  <si>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</si>
  <si>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</si>
  <si>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</si>
  <si>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</si>
  <si>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</si>
  <si>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</si>
  <si>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</si>
  <si>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</si>
  <si>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</si>
  <si>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</si>
  <si>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</si>
  <si>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</si>
  <si>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</si>
  <si>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</si>
  <si>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</si>
  <si>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</si>
  <si>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</si>
  <si>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</si>
  <si>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</si>
  <si>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</si>
  <si>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</si>
  <si>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</si>
  <si>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</si>
  <si>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</si>
  <si>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</si>
  <si>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</si>
  <si>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</si>
  <si>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</si>
  <si>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</si>
  <si>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</si>
  <si>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</si>
  <si>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</si>
  <si>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</si>
  <si>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</si>
  <si>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</si>
  <si>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</si>
  <si>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</si>
  <si>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</si>
  <si>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</si>
  <si>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</si>
  <si>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</si>
  <si>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</si>
  <si>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</si>
  <si>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</si>
  <si>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</si>
  <si>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</si>
  <si>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</si>
  <si>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</si>
  <si>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</si>
  <si>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</si>
  <si>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</si>
  <si>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</si>
  <si>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</si>
  <si>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</si>
  <si>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</si>
  <si>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</si>
  <si>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</si>
  <si>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</si>
  <si>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</si>
  <si>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</si>
  <si>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</si>
  <si>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</si>
  <si>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</si>
  <si>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</si>
  <si>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</si>
  <si>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</si>
  <si>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</si>
  <si>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</si>
  <si>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</si>
  <si>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</si>
  <si>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</si>
  <si>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</si>
  <si>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</si>
  <si>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</si>
  <si>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</si>
  <si>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</si>
  <si>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</si>
  <si>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</si>
  <si>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</si>
  <si>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</si>
  <si>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</si>
  <si>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</si>
  <si>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</si>
  <si>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</si>
  <si>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</si>
  <si>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</si>
  <si>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</si>
  <si>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</si>
  <si>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</si>
  <si>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</si>
  <si>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</si>
  <si>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</si>
  <si>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</si>
  <si>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</si>
  <si>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</si>
  <si>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</si>
  <si>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</si>
  <si>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</si>
  <si>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</si>
  <si>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</si>
  <si>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</si>
  <si>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</si>
  <si>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</si>
  <si>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</si>
  <si>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</si>
  <si>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</si>
  <si>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</si>
  <si>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</si>
  <si>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</si>
  <si>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</si>
  <si>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</si>
  <si>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</si>
  <si>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</si>
  <si>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</si>
  <si>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</si>
  <si>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</si>
  <si>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</si>
  <si>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</si>
  <si>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</si>
  <si>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</si>
  <si>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</si>
  <si>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</si>
  <si>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</si>
  <si>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</si>
  <si>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</si>
  <si>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</si>
  <si>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</si>
  <si>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</si>
  <si>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</si>
  <si>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</si>
  <si>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</si>
  <si>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</si>
  <si>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</si>
  <si>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</si>
  <si>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</si>
  <si>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</si>
  <si>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</si>
  <si>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</si>
  <si>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</si>
  <si>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</si>
  <si>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</si>
  <si>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</si>
  <si>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</si>
  <si>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</si>
  <si>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</si>
  <si>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</si>
  <si>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</si>
  <si>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</si>
  <si>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</si>
  <si>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</si>
  <si>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</si>
  <si>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</si>
  <si>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</si>
  <si>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</si>
  <si>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</si>
  <si>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</si>
  <si>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</si>
  <si>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</si>
  <si>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</si>
  <si>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</si>
  <si>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</si>
  <si>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</si>
  <si>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</si>
  <si>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</si>
  <si>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</si>
  <si>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</si>
  <si>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</si>
  <si>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</si>
  <si>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</si>
  <si>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</si>
  <si>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</si>
  <si>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</si>
  <si>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</si>
  <si>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</si>
  <si>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</si>
  <si>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</si>
  <si>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</si>
  <si>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</si>
  <si>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</si>
  <si>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</si>
  <si>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</si>
  <si>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</si>
  <si>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</si>
  <si>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</si>
  <si>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</si>
  <si>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</si>
  <si>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</si>
  <si>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</si>
  <si>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</si>
  <si>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</si>
  <si>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</si>
  <si>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</si>
  <si>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</si>
  <si>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</si>
  <si>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</si>
  <si>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</si>
  <si>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</si>
  <si>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</si>
  <si>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</si>
  <si>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</si>
  <si>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</si>
  <si>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</si>
  <si>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</si>
  <si>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</si>
  <si>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</si>
  <si>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</si>
  <si>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</si>
  <si>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</si>
  <si>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</si>
  <si>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</si>
  <si>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</si>
  <si>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</si>
  <si>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</si>
  <si>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</si>
  <si>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</si>
  <si>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</si>
  <si>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</si>
  <si>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</si>
  <si>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</si>
  <si>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</si>
  <si>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</si>
  <si>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</si>
  <si>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</si>
  <si>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</si>
  <si>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</si>
  <si>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</si>
  <si>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</si>
  <si>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</si>
  <si>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</si>
  <si>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</si>
  <si>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</si>
  <si>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</si>
  <si>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</si>
  <si>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</si>
  <si>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</si>
  <si>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</si>
  <si>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</si>
  <si>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</si>
  <si>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</si>
  <si>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</si>
  <si>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</si>
  <si>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</si>
  <si>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</si>
  <si>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</si>
  <si>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</si>
  <si>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</si>
  <si>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</si>
  <si>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</si>
  <si>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</si>
  <si>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</si>
  <si>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</si>
  <si>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</si>
  <si>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</si>
  <si>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</si>
  <si>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</si>
  <si>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</si>
  <si>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</si>
  <si>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</si>
  <si>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</si>
  <si>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</si>
  <si>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</si>
  <si>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</si>
  <si>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</si>
  <si>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</si>
  <si>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</si>
  <si>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</si>
  <si>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</si>
  <si>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</si>
  <si>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</si>
  <si>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</si>
  <si>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</si>
  <si>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</si>
  <si>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</si>
  <si>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</si>
  <si>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</si>
  <si>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</si>
  <si>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</si>
  <si>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</si>
  <si>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</si>
  <si>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</si>
  <si>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</si>
  <si>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</si>
  <si>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</si>
  <si>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</si>
  <si>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</si>
  <si>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</si>
  <si>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</si>
  <si>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</si>
  <si>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</si>
  <si>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</si>
  <si>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</si>
  <si>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</si>
  <si>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</si>
  <si>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</si>
  <si>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</si>
  <si>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</si>
  <si>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</si>
  <si>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</si>
  <si>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</si>
  <si>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</si>
  <si>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</si>
  <si>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</si>
  <si>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</si>
  <si>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</si>
  <si>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</si>
  <si>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</si>
  <si>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</si>
  <si>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</si>
  <si>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</si>
  <si>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</si>
  <si>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</si>
  <si>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</si>
  <si>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</si>
  <si>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</si>
  <si>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</si>
  <si>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</si>
  <si>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</si>
  <si>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</si>
  <si>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</si>
  <si>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</si>
  <si>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</si>
  <si>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</si>
  <si>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</si>
  <si>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</si>
  <si>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</si>
  <si>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</si>
  <si>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</si>
  <si>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</si>
  <si>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</si>
  <si>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</si>
  <si>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</si>
  <si>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</si>
  <si>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</si>
  <si>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</si>
  <si>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</si>
  <si>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</si>
  <si>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</si>
  <si>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</si>
  <si>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</si>
  <si>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</si>
  <si>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</si>
  <si>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</si>
  <si>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</si>
  <si>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</si>
  <si>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</si>
  <si>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</si>
  <si>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</si>
  <si>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</si>
  <si>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</si>
  <si>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</si>
  <si>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</si>
  <si>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</si>
  <si>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</si>
  <si>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</si>
  <si>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</si>
  <si>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</si>
  <si>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</si>
  <si>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</si>
  <si>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</si>
  <si>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</si>
  <si>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</si>
  <si>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</si>
  <si>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</si>
  <si>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</si>
  <si>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</si>
  <si>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</si>
  <si>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</si>
  <si>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</si>
  <si>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</si>
  <si>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</si>
  <si>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</si>
  <si>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</si>
  <si>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</si>
  <si>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</si>
  <si>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</si>
  <si>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</si>
  <si>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</si>
  <si>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</si>
  <si>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</si>
  <si>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</si>
  <si>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</si>
  <si>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</si>
  <si>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</si>
  <si>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</si>
  <si>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</si>
  <si>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</si>
  <si>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</si>
  <si>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</si>
  <si>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</si>
  <si>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</si>
  <si>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</si>
  <si>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</si>
  <si>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</si>
  <si>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</si>
  <si>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</si>
  <si>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</si>
  <si>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</si>
  <si>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</si>
  <si>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</si>
  <si>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</si>
  <si>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</si>
  <si>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</si>
  <si>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</si>
  <si>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</si>
  <si>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</si>
  <si>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</si>
  <si>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</si>
  <si>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</si>
  <si>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</si>
  <si>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</si>
  <si>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</si>
  <si>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</si>
  <si>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</si>
  <si>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</si>
  <si>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</si>
  <si>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</si>
  <si>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</si>
  <si>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</si>
  <si>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</si>
  <si>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</si>
  <si>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</si>
  <si>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</si>
  <si>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</si>
  <si>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</si>
  <si>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</si>
  <si>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</si>
  <si>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</si>
  <si>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</si>
  <si>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</si>
  <si>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</si>
  <si>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</si>
  <si>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</si>
  <si>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</si>
  <si>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</si>
  <si>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</si>
  <si>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</si>
  <si>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</si>
  <si>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</si>
  <si>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</si>
  <si>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</si>
  <si>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</si>
  <si>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</si>
  <si>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</si>
  <si>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</si>
  <si>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</si>
  <si>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</si>
  <si>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</si>
  <si>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</si>
  <si>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</si>
  <si>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</si>
  <si>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</si>
  <si>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</si>
  <si>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</si>
  <si>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</si>
  <si>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</si>
  <si>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</si>
  <si>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</si>
  <si>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</si>
  <si>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</si>
  <si>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</si>
  <si>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</si>
  <si>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</si>
  <si>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</si>
  <si>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</si>
  <si>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</si>
  <si>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</si>
  <si>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</si>
  <si>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</si>
  <si>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</si>
  <si>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</si>
  <si>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</si>
  <si>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</si>
  <si>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</si>
  <si>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</si>
  <si>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</si>
  <si>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</si>
  <si>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</si>
  <si>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</si>
  <si>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</si>
  <si>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</si>
  <si>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</si>
  <si>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</si>
  <si>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</si>
  <si>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</si>
  <si>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</si>
  <si>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</si>
  <si>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</si>
  <si>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</si>
  <si>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</si>
  <si>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</si>
  <si>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</si>
  <si>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</si>
  <si>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</si>
  <si>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</si>
  <si>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</si>
  <si>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</si>
  <si>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</si>
  <si>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</si>
  <si>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</si>
  <si>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</si>
  <si>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</si>
  <si>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</si>
  <si>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</si>
  <si>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</si>
  <si>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</si>
  <si>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</si>
  <si>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</si>
  <si>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</si>
  <si>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</si>
  <si>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</si>
  <si>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</si>
  <si>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</si>
  <si>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</si>
  <si>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</si>
  <si>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</si>
  <si>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</si>
  <si>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</si>
  <si>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</si>
  <si>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</si>
  <si>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</si>
  <si>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</si>
  <si>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</si>
  <si>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</si>
  <si>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</si>
  <si>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</si>
  <si>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</si>
  <si>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</si>
  <si>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</si>
  <si>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</si>
  <si>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</si>
  <si>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</si>
  <si>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</si>
  <si>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</si>
  <si>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</si>
  <si>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</si>
  <si>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</si>
  <si>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</si>
  <si>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</si>
  <si>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</si>
  <si>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</si>
  <si>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</si>
  <si>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</si>
  <si>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</si>
  <si>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</si>
  <si>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</si>
  <si>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</si>
  <si>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</si>
  <si>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</si>
  <si>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</si>
  <si>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</si>
  <si>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</si>
  <si>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</si>
  <si>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</si>
  <si>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</si>
  <si>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</si>
  <si>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</si>
  <si>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</si>
  <si>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</si>
  <si>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</si>
  <si>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</si>
  <si>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</si>
  <si>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</si>
  <si>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</si>
  <si>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</si>
  <si>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</si>
  <si>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</si>
  <si>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</si>
  <si>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</si>
  <si>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</si>
  <si>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</si>
  <si>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</si>
  <si>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</si>
  <si>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</si>
  <si>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</si>
  <si>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</si>
  <si>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</si>
  <si>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</si>
  <si>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</si>
  <si>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</si>
  <si>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</si>
  <si>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</si>
  <si>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</si>
  <si>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</si>
  <si>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</si>
  <si>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</si>
  <si>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</si>
  <si>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</si>
  <si>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</si>
  <si>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</si>
  <si>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</si>
  <si>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</si>
  <si>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</si>
  <si>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</si>
  <si>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</si>
  <si>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</si>
  <si>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</si>
  <si>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</si>
  <si>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</si>
  <si>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</si>
  <si>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</si>
  <si>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</si>
  <si>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</si>
  <si>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</si>
  <si>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</si>
  <si>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</si>
  <si>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</si>
  <si>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</si>
  <si>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</si>
  <si>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</si>
  <si>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</si>
  <si>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</si>
  <si>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</si>
  <si>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</si>
  <si>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</si>
  <si>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</si>
  <si>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</si>
  <si>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</si>
  <si>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</si>
  <si>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</si>
  <si>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</si>
  <si>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</si>
  <si>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</si>
  <si>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</si>
  <si>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</si>
  <si>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</si>
  <si>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</si>
  <si>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</si>
  <si>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</si>
  <si>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</si>
  <si>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</si>
  <si>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</si>
  <si>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</si>
  <si>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</si>
  <si>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</si>
  <si>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</si>
  <si>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</si>
  <si>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</si>
  <si>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</si>
  <si>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</si>
  <si>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</si>
  <si>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</si>
  <si>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</si>
  <si>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</si>
  <si>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</si>
  <si>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</si>
  <si>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</si>
  <si>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</si>
  <si>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</si>
  <si>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</si>
  <si>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</si>
  <si>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</si>
  <si>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</si>
  <si>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</si>
  <si>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</si>
  <si>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</si>
  <si>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</si>
  <si>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</si>
  <si>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</si>
  <si>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</si>
  <si>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</si>
  <si>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</si>
  <si>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</si>
  <si>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</si>
  <si>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</si>
  <si>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</si>
  <si>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</si>
  <si>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</si>
  <si>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</si>
  <si>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</si>
  <si>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</si>
  <si>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</si>
  <si>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</si>
  <si>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</si>
  <si>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</si>
  <si>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</si>
  <si>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</si>
  <si>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</si>
  <si>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</si>
  <si>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</si>
  <si>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</si>
  <si>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</si>
  <si>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</si>
  <si>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</si>
  <si>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</si>
  <si>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</si>
  <si>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</si>
  <si>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</si>
  <si>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</si>
  <si>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</si>
  <si>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</si>
  <si>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</si>
  <si>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</si>
  <si>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</si>
  <si>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</si>
  <si>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</si>
  <si>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</si>
  <si>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</si>
  <si>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</si>
  <si>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</si>
  <si>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</si>
  <si>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</si>
  <si>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</si>
  <si>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</si>
  <si>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</si>
  <si>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</si>
  <si>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</si>
  <si>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</si>
  <si>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</si>
  <si>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</si>
  <si>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</si>
  <si>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</si>
  <si>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</si>
  <si>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</si>
  <si>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</si>
  <si>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</si>
  <si>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</si>
  <si>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</si>
  <si>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</si>
  <si>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</si>
  <si>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</si>
  <si>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</si>
  <si>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</si>
  <si>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</si>
  <si>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</si>
  <si>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</si>
  <si>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</si>
  <si>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</si>
  <si>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</si>
  <si>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</si>
  <si>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</si>
  <si>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</si>
  <si>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</si>
  <si>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</si>
  <si>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</si>
  <si>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</si>
  <si>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</si>
  <si>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</si>
  <si>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</si>
  <si>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</si>
  <si>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</si>
  <si>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</si>
  <si>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</si>
  <si>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</si>
  <si>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</si>
  <si>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</si>
  <si>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</si>
  <si>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</si>
  <si>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</si>
  <si>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</si>
  <si>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</si>
  <si>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</si>
  <si>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</si>
  <si>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</si>
  <si>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</si>
  <si>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</si>
  <si>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</si>
  <si>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</si>
  <si>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</si>
  <si>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</si>
  <si>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</si>
  <si>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</si>
  <si>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</si>
  <si>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</si>
  <si>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</si>
  <si>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</si>
  <si>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</si>
  <si>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</si>
  <si>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</si>
  <si>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</si>
  <si>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</si>
  <si>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</si>
  <si>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</si>
  <si>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</si>
  <si>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</si>
  <si>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</si>
  <si>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</si>
  <si>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</si>
  <si>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</si>
  <si>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</si>
  <si>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</si>
  <si>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</si>
  <si>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</si>
  <si>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</si>
  <si>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</si>
  <si>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</si>
  <si>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</si>
  <si>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</si>
  <si>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</si>
  <si>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</si>
  <si>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</si>
  <si>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</si>
  <si>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</si>
  <si>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</si>
  <si>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</si>
  <si>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</si>
  <si>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</si>
  <si>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</si>
  <si>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</si>
  <si>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</si>
  <si>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</si>
  <si>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</si>
  <si>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</si>
  <si>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</si>
  <si>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</si>
  <si>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</si>
  <si>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</si>
  <si>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</si>
  <si>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</si>
  <si>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</si>
  <si>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</si>
  <si>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</si>
  <si>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</si>
  <si>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</si>
  <si>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</si>
  <si>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</si>
  <si>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</si>
  <si>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</si>
  <si>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</si>
  <si>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</si>
  <si>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</si>
  <si>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</si>
  <si>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</si>
  <si>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</si>
  <si>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</si>
  <si>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</si>
  <si>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</si>
  <si>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</si>
  <si>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</si>
  <si>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</si>
  <si>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</si>
  <si>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</si>
  <si>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</si>
  <si>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</si>
  <si>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</si>
  <si>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</si>
  <si>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</si>
  <si>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</si>
  <si>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</si>
  <si>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</si>
  <si>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</si>
  <si>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</si>
  <si>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</si>
  <si>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</si>
  <si>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</si>
  <si>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</si>
  <si>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</si>
  <si>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</si>
  <si>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</si>
  <si>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</si>
  <si>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</si>
  <si>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</si>
  <si>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</si>
  <si>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</si>
  <si>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</si>
  <si>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</si>
  <si>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</si>
  <si>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</si>
  <si>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</si>
  <si>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</si>
  <si>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</si>
  <si>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</si>
  <si>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</si>
  <si>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</si>
  <si>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</si>
  <si>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</si>
  <si>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</si>
  <si>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</si>
  <si>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</si>
  <si>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</si>
  <si>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</si>
  <si>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</si>
  <si>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</si>
  <si>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</si>
  <si>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</si>
  <si>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</si>
  <si>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</si>
  <si>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</si>
  <si>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</si>
  <si>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</si>
  <si>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</si>
  <si>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</si>
  <si>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</si>
  <si>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</si>
  <si>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</si>
  <si>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</si>
  <si>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</si>
  <si>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</si>
  <si>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</si>
  <si>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</si>
  <si>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</si>
  <si>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</si>
  <si>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</si>
  <si>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</si>
  <si>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</si>
  <si>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</si>
  <si>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</si>
  <si>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</si>
  <si>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</si>
  <si>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</si>
  <si>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</si>
  <si>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</si>
  <si>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</si>
  <si>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</si>
  <si>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</si>
  <si>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</si>
  <si>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</si>
  <si>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</si>
  <si>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</si>
  <si>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</si>
  <si>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</si>
  <si>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</si>
  <si>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</si>
  <si>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</si>
  <si>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</si>
  <si>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</si>
  <si>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</si>
  <si>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</si>
  <si>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</si>
  <si>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</si>
  <si>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</si>
  <si>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</si>
  <si>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</si>
  <si>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</si>
  <si>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</si>
  <si>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</si>
  <si>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</si>
  <si>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</si>
  <si>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</si>
  <si>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</si>
  <si>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</si>
  <si>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</si>
  <si>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</si>
  <si>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</si>
  <si>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</si>
  <si>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</si>
  <si>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</si>
  <si>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</si>
  <si>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</si>
  <si>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</si>
  <si>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</si>
  <si>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</si>
  <si>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</si>
  <si>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</si>
  <si>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</si>
  <si>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</si>
  <si>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</si>
  <si>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</si>
  <si>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</si>
  <si>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</si>
  <si>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</si>
  <si>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</si>
  <si>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</si>
  <si>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</si>
  <si>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</si>
  <si>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</si>
  <si>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</si>
  <si>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</si>
  <si>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</si>
  <si>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</si>
  <si>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</si>
  <si>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</si>
  <si>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</si>
  <si>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</si>
  <si>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</si>
  <si>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</si>
  <si>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</si>
  <si>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</si>
  <si>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</si>
  <si>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</si>
  <si>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</si>
  <si>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</si>
  <si>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</si>
  <si>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</si>
  <si>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</si>
  <si>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</si>
  <si>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</si>
  <si>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</si>
  <si>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</si>
  <si>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</si>
  <si>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</si>
  <si>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</si>
  <si>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</si>
  <si>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</si>
  <si>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工业</t>
    <phoneticPr fontId="7" type="noConversion"/>
  </si>
  <si>
    <t>成新度</t>
  </si>
  <si>
    <t>收益法</t>
  </si>
  <si>
    <t>与级别开发程度一致</t>
  </si>
  <si>
    <t>较好</t>
  </si>
  <si>
    <t>一般</t>
  </si>
  <si>
    <t>估价对象容积率</t>
  </si>
  <si>
    <t>未包含在土地购买价格中</t>
  </si>
  <si>
    <t>全部缴纳</t>
  </si>
  <si>
    <t>已包含在土地取得成本中</t>
  </si>
  <si>
    <t>成本法</t>
  </si>
  <si>
    <t>押一</t>
  </si>
  <si>
    <t>钢</t>
  </si>
  <si>
    <t>生产用房</t>
  </si>
  <si>
    <t>否</t>
  </si>
  <si>
    <t>1幢</t>
    <phoneticPr fontId="134" type="noConversion"/>
  </si>
  <si>
    <t>2幢</t>
    <phoneticPr fontId="134" type="noConversion"/>
  </si>
  <si>
    <t>3幢</t>
  </si>
  <si>
    <t>4幢</t>
  </si>
  <si>
    <t>5幢</t>
  </si>
  <si>
    <t>6幢</t>
  </si>
  <si>
    <t>7幢</t>
  </si>
  <si>
    <t>8幢</t>
  </si>
  <si>
    <t>9幢</t>
  </si>
  <si>
    <t>10幢</t>
  </si>
  <si>
    <t>11幢</t>
  </si>
  <si>
    <t>12幢</t>
  </si>
  <si>
    <t>地上面积</t>
    <phoneticPr fontId="134" type="noConversion"/>
  </si>
  <si>
    <t>地下面积</t>
    <phoneticPr fontId="134"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</si>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</sst>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389790</xdr:colOff>
      <xdr:row>34</xdr:row>
      <xdr:rowOff>151652</xdr:rowOff>
    </xdr:to>
    <xdr:pic>
      <xdr:nvPicPr>
        <xdr:cNvPr id="3" name="图片 2">
          <a:extLst>
            <a:ext uri="{FF2B5EF4-FFF2-40B4-BE49-F238E27FC236}">
              <a16:creationId xmlns:a16="http://schemas.microsoft.com/office/drawing/2014/main" id="{1A0CAF2F-E1E1-08D6-6A89-847DBAB1FDB5}"/>
            </a:ext>
          </a:extLst>
        </xdr:cNvPr>
        <xdr:cNvPicPr>
          <a:picLocks noChangeAspect="1"/>
        </xdr:cNvPicPr>
      </xdr:nvPicPr>
      <xdr:blipFill>
        <a:blip xmlns:r="http://schemas.openxmlformats.org/officeDocument/2006/relationships" r:embed="rId1"/>
        <a:stretch>
          <a:fillRect/>
        </a:stretch>
      </xdr:blipFill>
      <xdr:spPr>
        <a:xfrm>
          <a:off x="0" y="0"/>
          <a:ext cx="5876190" cy="5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估价对象为北京市房地产，为所有。根据《国有土地使用证》[]，估价对象（分摊）出让国有建设用地使用权面积为120628.8平方米，建筑面积为66988.94平方米。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估价对象为北京市房地产,属开发建设的，该项目尚在开发建设中。根据《国有土地使用证》[]，估价对象（分摊）出让国有建设用地使用权面积为120628.8平方米，规划建筑面积为66988.94平方米。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2025年1月15日（评估专业人员实地查勘之日）</v>
      </c>
    </row>
    <row r="13" spans="1:2">
      <c r="A13" s="1119" t="s">
        <v>529</v>
      </c>
      <c r="B13" s="1120"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66988.94</v>
      </c>
    </row>
    <row r="44" spans="1:2">
      <c r="A44" s="1119" t="s">
        <v>575</v>
      </c>
      <c r="B44" s="1120" t="str">
        <f>'预评函-3'!C2</f>
        <v>(分摊)土地面积</v>
      </c>
    </row>
    <row r="45" spans="1:2">
      <c r="A45" s="1119" t="s">
        <v>547</v>
      </c>
      <c r="B45" s="1120">
        <f>'预评函-3'!C4</f>
        <v>120628.8</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45672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1.92</v>
      </c>
      <c r="D5" s="2768">
        <f>IF(ISERROR(ROUND(POWER(1+E5,A5-C5)*(POWER(1+E5,C5)-1)/(POWER(1+E5,A5)-1),3)),0,ROUND(POWER(1+E5,A5-C5)*(POWER(1+E5,C5)-1)/(POWER(1+E5,A5)-1),4))</f>
        <v>9.1600000000000001E-2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11.93</v>
      </c>
      <c r="D6" s="2768">
        <f>IF(ISERROR(ROUND(POWER(1+E6,A6-C6)*(POWER(1+E6,C6)-1)/(POWER(1+E6,A6)-1),3)),0,ROUND(POWER(1+E6,A6-C6)*(POWER(1+E6,C6)-1)/(POWER(1+E6,A6)-1),4))</f>
        <v>0.43490000000000001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31.94</v>
      </c>
      <c r="D7" s="2768">
        <f>IF(ISERROR(ROUND(POWER(1+E7,A7-C7)*(POWER(1+E7,C7)-1)/(POWER(1+E7,A7)-1),3)),0,ROUND(POWER(1+E7,A7-C7)*(POWER(1+E7,C7)-1)/(POWER(1+E7,A7)-1),4))</f>
        <v>0.76329999999999998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3390</v>
      </c>
    </row>
    <row r="50" spans="1:4">
      <c r="A50" s="3145" t="s">
        <v>3391</v>
      </c>
      <c r="B50" s="3145" t="s">
        <v>3392</v>
      </c>
      <c r="C50" s="3145" t="s">
        <v>3393</v>
      </c>
      <c r="D50" s="3145" t="s">
        <v>3394</v>
      </c>
    </row>
    <row r="51" spans="1:4">
      <c r="A51" s="3145" t="s">
        <v>3395</v>
      </c>
      <c r="B51" s="2765">
        <f>B52+B53</f>
        <v>15000</v>
      </c>
      <c r="C51" s="3146">
        <f>D51/B51</f>
        <v>2666.6666666666665</v>
      </c>
      <c r="D51" s="2765">
        <f>D52+D53</f>
        <v>40000000</v>
      </c>
    </row>
    <row r="52" spans="1:4">
      <c r="A52" s="3147" t="s">
        <v>3396</v>
      </c>
      <c r="B52" s="3148">
        <v>10000</v>
      </c>
      <c r="C52" s="3148">
        <v>1500</v>
      </c>
      <c r="D52" s="3149">
        <f>C52*B52</f>
        <v>15000000</v>
      </c>
    </row>
    <row r="53" spans="1:4">
      <c r="A53" s="3147" t="s">
        <v>3397</v>
      </c>
      <c r="B53" s="3148">
        <v>5000</v>
      </c>
      <c r="C53" s="3148">
        <v>5000</v>
      </c>
      <c r="D53" s="3149">
        <f>C53*B53</f>
        <v>25000000</v>
      </c>
    </row>
    <row r="54" spans="1:4">
      <c r="A54" s="3145" t="s">
        <v>3398</v>
      </c>
      <c r="B54" s="2765">
        <f>B51</f>
        <v>15000</v>
      </c>
      <c r="C54" s="2771">
        <v>700</v>
      </c>
      <c r="D54" s="2765">
        <f t="shared" ref="D54:D55" si="5">C54*B54</f>
        <v>10500000</v>
      </c>
    </row>
    <row r="55" spans="1:4">
      <c r="A55" s="3145" t="s">
        <v>3399</v>
      </c>
      <c r="B55" s="2765">
        <f>B51</f>
        <v>15000</v>
      </c>
      <c r="C55" s="2771">
        <v>1500</v>
      </c>
      <c r="D55" s="2765">
        <f t="shared" si="5"/>
        <v>22500000</v>
      </c>
    </row>
    <row r="56" spans="1:4">
      <c r="A56" s="3145" t="s">
        <v>3400</v>
      </c>
      <c r="B56" s="2765">
        <f>B51</f>
        <v>15000</v>
      </c>
      <c r="C56" s="3150">
        <f>C51+C54+C55</f>
        <v>4866.6666666666661</v>
      </c>
      <c r="D56" s="2765">
        <f>D51+D54+D55</f>
        <v>73000000</v>
      </c>
    </row>
    <row r="58" spans="1:4">
      <c r="A58" s="3145" t="s">
        <v>3401</v>
      </c>
      <c r="B58" s="3151">
        <v>0.05</v>
      </c>
      <c r="C58" s="2765">
        <f>C56*(1+B58)</f>
        <v>5110</v>
      </c>
      <c r="D58" s="2765">
        <f>D56*B58</f>
        <v>3650000</v>
      </c>
    </row>
    <row r="60" spans="1:4">
      <c r="A60" s="3145" t="s">
        <v>3402</v>
      </c>
      <c r="B60" s="2771">
        <v>3500</v>
      </c>
      <c r="C60" s="2771">
        <f>C53</f>
        <v>5000</v>
      </c>
      <c r="D60" s="2765">
        <f>C60*B60</f>
        <v>17500000</v>
      </c>
    </row>
    <row r="62" spans="1:4">
      <c r="A62" s="3145" t="s">
        <v>3403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E3D83-5695-43E6-BD3B-B32C7993B0B3}">
  <sheetPr>
    <tabColor rgb="FFFFFF00"/>
  </sheetPr>
  <dimension ref="K5:M21"/>
  <sheetViews>
    <sheetView topLeftCell="A4" workbookViewId="0">
      <selection activeCell="L7" sqref="L7"/>
    </sheetView>
  </sheetViews>
  <sheetFormatPr defaultRowHeight="13.5"/>
  <sheetData>
    <row r="5" spans="11:13">
      <c r="K5" s="2814"/>
      <c r="L5" s="2814"/>
      <c r="M5" s="2814"/>
    </row>
    <row r="6" spans="11:13">
      <c r="K6" s="2814"/>
      <c r="L6" s="1421" t="s">
        <v>3438</v>
      </c>
      <c r="M6" s="1421" t="s">
        <v>3439</v>
      </c>
    </row>
    <row r="7" spans="11:13">
      <c r="K7" s="1421" t="s">
        <v>3426</v>
      </c>
      <c r="L7" s="2814">
        <v>4084.11</v>
      </c>
      <c r="M7" s="2814"/>
    </row>
    <row r="8" spans="11:13">
      <c r="K8" s="1421" t="s">
        <v>3427</v>
      </c>
      <c r="L8" s="2814">
        <v>12.2</v>
      </c>
      <c r="M8" s="2814"/>
    </row>
    <row r="9" spans="11:13">
      <c r="K9" s="1421" t="s">
        <v>3428</v>
      </c>
      <c r="L9" s="2814">
        <v>279.3</v>
      </c>
      <c r="M9" s="2814"/>
    </row>
    <row r="10" spans="11:13">
      <c r="K10" s="1421" t="s">
        <v>3429</v>
      </c>
      <c r="L10" s="2814">
        <v>30049.22</v>
      </c>
      <c r="M10" s="2814"/>
    </row>
    <row r="11" spans="11:13">
      <c r="K11" s="1421" t="s">
        <v>3430</v>
      </c>
      <c r="L11" s="2814">
        <v>199.29</v>
      </c>
      <c r="M11" s="2814"/>
    </row>
    <row r="12" spans="11:13">
      <c r="K12" s="1421" t="s">
        <v>3431</v>
      </c>
      <c r="L12" s="2814">
        <v>64.44</v>
      </c>
      <c r="M12" s="2814"/>
    </row>
    <row r="13" spans="11:13">
      <c r="K13" s="1421" t="s">
        <v>3432</v>
      </c>
      <c r="L13" s="2814">
        <v>250.39</v>
      </c>
      <c r="M13" s="2814"/>
    </row>
    <row r="14" spans="11:13">
      <c r="K14" s="1421" t="s">
        <v>3433</v>
      </c>
      <c r="L14" s="2814">
        <v>4941.49</v>
      </c>
      <c r="M14" s="2814"/>
    </row>
    <row r="15" spans="11:13">
      <c r="K15" s="1421" t="s">
        <v>3434</v>
      </c>
      <c r="L15" s="2814">
        <v>510.64</v>
      </c>
      <c r="M15" s="2814"/>
    </row>
    <row r="16" spans="11:13">
      <c r="K16" s="1421" t="s">
        <v>3435</v>
      </c>
      <c r="L16" s="2814">
        <v>466.18</v>
      </c>
      <c r="M16" s="2814"/>
    </row>
    <row r="17" spans="11:13">
      <c r="K17" s="1421" t="s">
        <v>3436</v>
      </c>
      <c r="L17" s="2814">
        <v>126.07</v>
      </c>
      <c r="M17" s="2814"/>
    </row>
    <row r="18" spans="11:13">
      <c r="K18" s="1421" t="s">
        <v>3437</v>
      </c>
      <c r="L18" s="2814">
        <v>26005.61</v>
      </c>
      <c r="M18" s="2814"/>
    </row>
    <row r="19" spans="11:13">
      <c r="K19" s="1421"/>
      <c r="L19" s="2814">
        <f>SUM(L7:L18)</f>
        <v>66988.94</v>
      </c>
    </row>
    <row r="20" spans="11:13">
      <c r="K20" s="1421"/>
      <c r="L20" s="2814"/>
    </row>
    <row r="21" spans="11:13">
      <c r="K21" s="2814"/>
      <c r="L21" s="2814"/>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45672</v>
      </c>
      <c r="C3" s="2186" t="s">
        <v>2171</v>
      </c>
      <c r="D3" s="2185">
        <f>B3</f>
        <v>45672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3405</v>
      </c>
      <c r="C8" s="2201"/>
      <c r="D8" s="3206" t="s">
        <v>2177</v>
      </c>
      <c r="E8" s="2202" t="s">
        <v>3406</v>
      </c>
      <c r="F8" s="2203"/>
      <c r="G8" s="2442"/>
      <c r="H8" s="2442"/>
      <c r="I8" s="2442"/>
      <c r="J8" s="2245"/>
      <c r="K8" s="2400"/>
      <c r="L8" s="2399"/>
      <c r="M8" s="2399"/>
      <c r="N8" s="2245"/>
      <c r="O8" s="1670"/>
      <c r="P8" s="2245"/>
      <c r="Q8" s="2245"/>
      <c r="R8" s="2245"/>
    </row>
    <row r="9" spans="1:30" ht="13.5" thickBot="1">
      <c r="A9" s="2204" t="s">
        <v>2178</v>
      </c>
      <c r="B9" s="2205" t="s">
        <v>3406</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3407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56071</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28.49</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66988.94</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120628.8</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242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2.37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120628.8</v>
      </c>
      <c r="B3" s="11">
        <f>IF(C3="否",G5-AT5,G5)</f>
        <v>66988.94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66988.94</v>
      </c>
      <c r="H5" s="13">
        <f t="shared" ref="H5:AT5" si="0">SUM(H13:H656)</f>
        <v>66988.94</v>
      </c>
      <c r="I5" s="13">
        <f t="shared" si="0"/>
        <v>66308.255000000005</v>
      </c>
      <c r="J5" s="13">
        <f t="shared" si="0"/>
        <v>0</v>
      </c>
      <c r="K5" s="13">
        <f t="shared" si="0"/>
        <v>680.68500000000006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66988.94</v>
      </c>
      <c r="BA5" s="15">
        <f t="shared" si="1"/>
        <v>66988.94</v>
      </c>
      <c r="BB5" s="15">
        <f t="shared" si="1"/>
        <v>66308.255000000005</v>
      </c>
      <c r="BC5" s="15">
        <f t="shared" si="1"/>
        <v>680.68500000000006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120628.8</v>
      </c>
      <c r="F6" s="13" t="s">
        <v>0</v>
      </c>
      <c r="G6" s="13" t="s">
        <v>1</v>
      </c>
      <c r="H6" s="17">
        <f>SUMIF(I$12:AB$12,"总值",I6:AB6)</f>
        <v>120628.8</v>
      </c>
      <c r="I6" s="13">
        <f t="shared" ref="I6:AB6" si="2">ROUND($A$3*I5/$B$3,2)</f>
        <v>119403.07</v>
      </c>
      <c r="J6" s="13">
        <f t="shared" si="2"/>
        <v>0</v>
      </c>
      <c r="K6" s="13">
        <f t="shared" si="2"/>
        <v>1225.73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120628.8</v>
      </c>
      <c r="AZ6" s="13" t="s">
        <v>2</v>
      </c>
      <c r="BA6" s="13">
        <f>ROUND($AY$6*BA5/$AZ$5,2)</f>
        <v>120628.8</v>
      </c>
      <c r="BB6" s="13">
        <f>ROUND($AY$6*BB5/$AZ$5,2)</f>
        <v>119403.07</v>
      </c>
      <c r="BC6" s="13">
        <f t="shared" ref="BC6:BH6" si="4">ROUND($AY$6*BC5/$AZ$5,2)</f>
        <v>1225.73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3410</v>
      </c>
      <c r="J9" s="761"/>
      <c r="K9" s="1491" t="s">
        <v>3440</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Sheet1!K7</f>
        <v>1幢</v>
      </c>
      <c r="D13" s="1513" t="s">
        <v>3409</v>
      </c>
      <c r="E13" s="13">
        <f>IF($C$3="是",ROUND($A$3*G13/$B$3,2),ROUND($A$3*(G13-AT13)/$B$3,2))</f>
        <v>7354.37</v>
      </c>
      <c r="F13" s="29"/>
      <c r="G13" s="30">
        <f>H13+AC13+AT13</f>
        <v>4084.11</v>
      </c>
      <c r="H13" s="17">
        <f>SUMIF(I$12:AB$12,"总值",I13:AB13)</f>
        <v>4084.11</v>
      </c>
      <c r="I13" s="1514">
        <f>Sheet1!L7/3*2.5</f>
        <v>3403.4250000000002</v>
      </c>
      <c r="J13" s="1514"/>
      <c r="K13" s="1514">
        <f>Sheet1!L7/3*0.5</f>
        <v>680.68500000000006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7354.37</v>
      </c>
      <c r="AZ13" s="13">
        <f>BA13+BL13</f>
        <v>4084.11</v>
      </c>
      <c r="BA13" s="13">
        <f>SUM(BB13:BK13)</f>
        <v>4084.11</v>
      </c>
      <c r="BB13" s="13">
        <f>IF($D13="是",I13-J13,0)</f>
        <v>3403.4250000000002</v>
      </c>
      <c r="BC13" s="13">
        <f>IF($D13="是",K13-L13,0)</f>
        <v>680.68500000000006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Sheet1!K8</f>
        <v>2幢</v>
      </c>
      <c r="D14" s="1513" t="s">
        <v>3409</v>
      </c>
      <c r="E14" s="13">
        <f>IF($C$3="是",ROUND($A$3*G14/$B$3,2),ROUND($A$3*(G14-AT14)/$B$3,2))</f>
        <v>21.97</v>
      </c>
      <c r="F14" s="29"/>
      <c r="G14" s="30">
        <f>H14+AC14+AT14</f>
        <v>12.2</v>
      </c>
      <c r="H14" s="17">
        <f>SUMIF(I$12:AB$12,"总值",I14:AB14)</f>
        <v>12.2</v>
      </c>
      <c r="I14" s="1514">
        <f>Sheet1!L8</f>
        <v>12.2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21.97</v>
      </c>
      <c r="AZ14" s="13">
        <f>BA14+BL14</f>
        <v>12.2</v>
      </c>
      <c r="BA14" s="13">
        <f>SUM(BB14:BK14)</f>
        <v>12.2</v>
      </c>
      <c r="BB14" s="13">
        <f>IF($D14="是",I14-J14,0)</f>
        <v>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Sheet1!K9</f>
        <v>3幢</v>
      </c>
      <c r="D15" s="1513" t="s">
        <v>3409</v>
      </c>
      <c r="E15" s="13">
        <f>IF($C$3="是",ROUND($A$3*G15/$B$3,2),ROUND($A$3*(G15-AT15)/$B$3,2))</f>
        <v>502.94</v>
      </c>
      <c r="F15" s="29"/>
      <c r="G15" s="30">
        <f>H15+AC15+AT15</f>
        <v>279.3</v>
      </c>
      <c r="H15" s="17">
        <f>SUMIF(I$12:AB$12,"总值",I15:AB15)</f>
        <v>279.3</v>
      </c>
      <c r="I15" s="1514">
        <f>Sheet1!L9</f>
        <v>279.3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502.94</v>
      </c>
      <c r="AZ15" s="13">
        <f>BA15+BL15</f>
        <v>279.3</v>
      </c>
      <c r="BA15" s="13">
        <f>SUM(BB15:BK15)</f>
        <v>279.3</v>
      </c>
      <c r="BB15" s="13">
        <f>IF($D15="是",I15-J15,0)</f>
        <v>279.3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Sheet1!K10</f>
        <v>4幢</v>
      </c>
      <c r="D16" s="1513" t="s">
        <v>3409</v>
      </c>
      <c r="E16" s="13">
        <f>IF($C$3="是",ROUND($A$3*G16/$B$3,2),ROUND($A$3*(G16-AT16)/$B$3,2))</f>
        <v>54110.44</v>
      </c>
      <c r="F16" s="29"/>
      <c r="G16" s="30">
        <f>H16+AC16+AT16</f>
        <v>30049.22</v>
      </c>
      <c r="H16" s="17">
        <f>SUMIF(I$12:AB$12,"总值",I16:AB16)</f>
        <v>30049.22</v>
      </c>
      <c r="I16" s="1514">
        <f>Sheet1!L10</f>
        <v>30049.22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54110.44</v>
      </c>
      <c r="AZ16" s="13">
        <f>BA16+BL16</f>
        <v>30049.22</v>
      </c>
      <c r="BA16" s="13">
        <f>SUM(BB16:BK16)</f>
        <v>30049.22</v>
      </c>
      <c r="BB16" s="13">
        <f>IF($D16="是",I16-J16,0)</f>
        <v>30049.22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Sheet1!K11</f>
        <v>5幢</v>
      </c>
      <c r="D17" s="1513" t="s">
        <v>3409</v>
      </c>
      <c r="E17" s="13">
        <f>IF($C$3="是",ROUND($A$3*G17/$B$3,2),ROUND($A$3*(G17-AT17)/$B$3,2))</f>
        <v>358.87</v>
      </c>
      <c r="F17" s="29"/>
      <c r="G17" s="30">
        <f>H17+AC17+AT17</f>
        <v>199.29</v>
      </c>
      <c r="H17" s="17">
        <f>SUMIF(I$12:AB$12,"总值",I17:AB17)</f>
        <v>199.29</v>
      </c>
      <c r="I17" s="1514">
        <f>Sheet1!L11</f>
        <v>199.29</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358.87</v>
      </c>
      <c r="AZ17" s="13">
        <f>BA17+BL17</f>
        <v>199.29</v>
      </c>
      <c r="BA17" s="13">
        <f>SUM(BB17:BK17)</f>
        <v>199.29</v>
      </c>
      <c r="BB17" s="13">
        <f>IF($D17="是",I17-J17,0)</f>
        <v>199.29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Sheet1!K12</f>
        <v>6幢</v>
      </c>
      <c r="D18" s="1513" t="s">
        <v>3409</v>
      </c>
      <c r="E18" s="32">
        <f t="shared" ref="E18:E112" si="7">IF($C$3="是",ROUND($A$3*G18/$B$3,2),ROUND($A$3*(G18-AT18)/$B$3,2))</f>
        <v>116.04</v>
      </c>
      <c r="F18" s="33"/>
      <c r="G18" s="34">
        <f t="shared" ref="G18:G109" si="8">H18+AC18+AT18</f>
        <v>64.44</v>
      </c>
      <c r="H18" s="35">
        <f t="shared" ref="H18:H109" si="9">SUMIF(I$12:AB$12,"总值",I18:AB18)</f>
        <v>64.44</v>
      </c>
      <c r="I18" s="1514">
        <f>Sheet1!L12</f>
        <v>64.44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116.04</v>
      </c>
      <c r="AZ18" s="32">
        <f t="shared" ref="AZ18:AZ109" si="15">BA18+BL18</f>
        <v>64.44</v>
      </c>
      <c r="BA18" s="32">
        <f t="shared" ref="BA18:BA109" si="16">SUM(BB18:BK18)</f>
        <v>64.44</v>
      </c>
      <c r="BB18" s="32">
        <f t="shared" ref="BB18:BB109" si="17">IF($D18="是",I18-J18,0)</f>
        <v>64.44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Sheet1!K13</f>
        <v>7幢</v>
      </c>
      <c r="D19" s="1513" t="s">
        <v>3409</v>
      </c>
      <c r="E19" s="32">
        <f t="shared" si="7"/>
        <v>450.88</v>
      </c>
      <c r="F19" s="33"/>
      <c r="G19" s="34">
        <f t="shared" si="8"/>
        <v>250.39</v>
      </c>
      <c r="H19" s="35">
        <f t="shared" si="9"/>
        <v>250.39</v>
      </c>
      <c r="I19" s="1514">
        <f>Sheet1!L13</f>
        <v>250.39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450.88</v>
      </c>
      <c r="AZ19" s="32">
        <f t="shared" si="15"/>
        <v>250.39</v>
      </c>
      <c r="BA19" s="32">
        <f t="shared" si="16"/>
        <v>250.39</v>
      </c>
      <c r="BB19" s="32">
        <f t="shared" si="17"/>
        <v>250.39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Sheet1!K14</f>
        <v>8幢</v>
      </c>
      <c r="D20" s="1513" t="s">
        <v>3409</v>
      </c>
      <c r="E20" s="32">
        <f t="shared" si="7"/>
        <v>8898.27</v>
      </c>
      <c r="F20" s="33"/>
      <c r="G20" s="34">
        <f t="shared" si="8"/>
        <v>4941.49</v>
      </c>
      <c r="H20" s="35">
        <f t="shared" si="9"/>
        <v>4941.49</v>
      </c>
      <c r="I20" s="1514">
        <f>Sheet1!L14</f>
        <v>4941.49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8898.27</v>
      </c>
      <c r="AZ20" s="32">
        <f t="shared" si="15"/>
        <v>4941.49</v>
      </c>
      <c r="BA20" s="32">
        <f t="shared" si="16"/>
        <v>4941.49</v>
      </c>
      <c r="BB20" s="32">
        <f t="shared" si="17"/>
        <v>4941.49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Sheet1!K15</f>
        <v>9幢</v>
      </c>
      <c r="D21" s="1513" t="s">
        <v>3409</v>
      </c>
      <c r="E21" s="32">
        <f t="shared" si="7"/>
        <v>919.52</v>
      </c>
      <c r="F21" s="33"/>
      <c r="G21" s="34">
        <f t="shared" si="8"/>
        <v>510.64</v>
      </c>
      <c r="H21" s="35">
        <f t="shared" si="9"/>
        <v>510.64</v>
      </c>
      <c r="I21" s="1514">
        <f>Sheet1!L15</f>
        <v>510.64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919.52</v>
      </c>
      <c r="AZ21" s="32">
        <f t="shared" si="15"/>
        <v>510.64</v>
      </c>
      <c r="BA21" s="32">
        <f t="shared" si="16"/>
        <v>510.64</v>
      </c>
      <c r="BB21" s="32">
        <f t="shared" si="17"/>
        <v>510.64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Sheet1!K16</f>
        <v>10幢</v>
      </c>
      <c r="D22" s="1513" t="s">
        <v>3409</v>
      </c>
      <c r="E22" s="32">
        <f t="shared" si="7"/>
        <v>839.46</v>
      </c>
      <c r="F22" s="33"/>
      <c r="G22" s="34">
        <f t="shared" si="8"/>
        <v>466.18</v>
      </c>
      <c r="H22" s="35">
        <f t="shared" si="9"/>
        <v>466.18</v>
      </c>
      <c r="I22" s="1514">
        <f>Sheet1!L16</f>
        <v>466.18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10幢</v>
      </c>
      <c r="AY22" s="38">
        <f t="shared" si="14"/>
        <v>839.46</v>
      </c>
      <c r="AZ22" s="32">
        <f t="shared" si="15"/>
        <v>466.18</v>
      </c>
      <c r="BA22" s="32">
        <f t="shared" si="16"/>
        <v>466.18</v>
      </c>
      <c r="BB22" s="32">
        <f t="shared" si="17"/>
        <v>466.18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Sheet1!K17</f>
        <v>11幢</v>
      </c>
      <c r="D23" s="1513" t="s">
        <v>3409</v>
      </c>
      <c r="E23" s="32">
        <f t="shared" si="7"/>
        <v>227.02</v>
      </c>
      <c r="F23" s="33"/>
      <c r="G23" s="34">
        <f t="shared" si="8"/>
        <v>126.07</v>
      </c>
      <c r="H23" s="35">
        <f t="shared" si="9"/>
        <v>126.07</v>
      </c>
      <c r="I23" s="1514">
        <f>Sheet1!L17</f>
        <v>126.07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11幢</v>
      </c>
      <c r="AY23" s="38">
        <f t="shared" si="14"/>
        <v>227.02</v>
      </c>
      <c r="AZ23" s="32">
        <f t="shared" si="15"/>
        <v>126.07</v>
      </c>
      <c r="BA23" s="32">
        <f t="shared" si="16"/>
        <v>126.07</v>
      </c>
      <c r="BB23" s="32">
        <f t="shared" si="17"/>
        <v>126.07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t="str">
        <f>Sheet1!K18</f>
        <v>12幢</v>
      </c>
      <c r="D24" s="1513" t="s">
        <v>3409</v>
      </c>
      <c r="E24" s="32">
        <f t="shared" si="7"/>
        <v>46829.01</v>
      </c>
      <c r="F24" s="33"/>
      <c r="G24" s="34">
        <f t="shared" si="8"/>
        <v>26005.61</v>
      </c>
      <c r="H24" s="35">
        <f t="shared" si="9"/>
        <v>26005.61</v>
      </c>
      <c r="I24" s="1514">
        <f>Sheet1!L18</f>
        <v>26005.61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12幢</v>
      </c>
      <c r="AY24" s="38">
        <f t="shared" si="14"/>
        <v>46829.01</v>
      </c>
      <c r="AZ24" s="32">
        <f t="shared" si="15"/>
        <v>26005.61</v>
      </c>
      <c r="BA24" s="32">
        <f t="shared" si="16"/>
        <v>26005.61</v>
      </c>
      <c r="BB24" s="32">
        <f t="shared" si="17"/>
        <v>26005.61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120628.8</v>
      </c>
      <c r="E3" s="41">
        <f>'数据-基础表'!AZ5</f>
        <v>66988.94</v>
      </c>
      <c r="F3" s="2439"/>
      <c r="G3" s="42"/>
      <c r="H3" s="43" t="s">
        <v>1106</v>
      </c>
      <c r="I3" s="802">
        <f>ROUND('数据-基础表'!B3/'数据-基础表'!A3,2)</f>
        <v>0.56000000000000005</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0.55000000000000004</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0.56000000000000005</v>
      </c>
      <c r="J5" s="2439"/>
      <c r="K5" s="2439"/>
      <c r="L5" s="2439"/>
      <c r="M5" s="2439"/>
      <c r="N5" s="2439"/>
      <c r="O5" s="2439"/>
      <c r="P5" s="2439"/>
    </row>
    <row r="6" spans="1:16" ht="15" thickBot="1">
      <c r="A6" s="1527"/>
      <c r="B6" s="3239" t="s">
        <v>1111</v>
      </c>
      <c r="C6" s="3239"/>
      <c r="D6" s="43">
        <f>ROUND($D$3*E6/$E$3,2)</f>
        <v>120628.8</v>
      </c>
      <c r="E6" s="44">
        <f>E3-E5</f>
        <v>66988.94</v>
      </c>
      <c r="F6" s="2439"/>
      <c r="G6" s="1529" t="s">
        <v>1112</v>
      </c>
      <c r="H6" s="45" t="s">
        <v>1113</v>
      </c>
      <c r="I6" s="2435">
        <f>ROUND(F31/D31,2)</f>
        <v>0.55000000000000004</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119403.07</v>
      </c>
      <c r="E8" s="46">
        <f>SUMIF('数据-基础表'!BB10:BK10,"地上",'数据-基础表'!BB5:BK5)</f>
        <v>66308.255000000005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119403.07</v>
      </c>
      <c r="E16" s="48">
        <f>SUM(E8:E15)</f>
        <v>66308.255000000005</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3411</v>
      </c>
      <c r="D19" s="43">
        <f>ROUND($D$3*E19/$E$3,2)</f>
        <v>120628.8</v>
      </c>
      <c r="E19" s="51">
        <f t="shared" ref="E19:E26" si="1">SUM(F19:G19)</f>
        <v>66988.94</v>
      </c>
      <c r="F19" s="2558">
        <f>'数据-基础表'!I5</f>
        <v>66308.255000000005</v>
      </c>
      <c r="G19" s="1243">
        <f>'数据-基础表'!K13</f>
        <v>680.68500000000006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120628.8</v>
      </c>
      <c r="S19" s="51">
        <f t="shared" si="5"/>
        <v>66988.94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120628.8</v>
      </c>
      <c r="E27" s="1073">
        <f>IF(SUM(E19:E26)='数据-基础表'!BA5,SUM(E19:E26),IF(F27="地上面积有误","面积有误","地下面积有误"))</f>
        <v>66988.94</v>
      </c>
      <c r="F27" s="1072">
        <f>IF(SUM(F19:F26)=E8,SUM(F19:F26),"地上面积有误")</f>
        <v>66308.255000000005</v>
      </c>
      <c r="G27" s="1074">
        <f>SUM(G19:G26)</f>
        <v>680.68500000000006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120628.8</v>
      </c>
      <c r="S27" s="43">
        <f>IF(SUM(S19:S26)=$E$3,SUM(S19:S26),SUM(S19:S26)&amp;"误差"&amp;ROUND(SUM(S19:S26)-E3,2))</f>
        <v>66988.94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120628.8</v>
      </c>
      <c r="E31" s="643">
        <f>E27+E30</f>
        <v>66988.94</v>
      </c>
      <c r="F31" s="644">
        <f>F27+F30</f>
        <v>66308.255000000005</v>
      </c>
      <c r="G31" s="645">
        <f>G27+G30</f>
        <v>680.68500000000006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56071</v>
      </c>
      <c r="F6" s="61">
        <f>SUMIF(项目基本情况!C$12:I$12,C6,项目基本情况!C$15:I$15)</f>
        <v>28.49</v>
      </c>
      <c r="G6" s="62">
        <f>IF(ISERROR(ROUND(POWER(1+H6,D6-F6)*(POWER(1+H6,F6)-1)/(POWER(1+H6,D6)-1),3)),0,ROUND(POWER(1+H6,D6-F6)*(POWER(1+H6,F6)-1)/(POWER(1+H6,D6)-1),3))</f>
        <v>0.80400000000000005</v>
      </c>
      <c r="H6" s="691">
        <v>4.4999999999999998E-2</v>
      </c>
      <c r="I6" s="691">
        <v>0.06</v>
      </c>
      <c r="J6" s="63">
        <v>7.4999999999999997E-2</v>
      </c>
      <c r="K6" s="970">
        <f>SUMIF('数据-汇总表'!C$19:C$33,A6,'数据-汇总表'!E$19:E$33)</f>
        <v>66988.94</v>
      </c>
      <c r="L6" s="692">
        <v>2800</v>
      </c>
      <c r="M6" s="64">
        <f t="shared" ref="M6:M14" si="0">ROUND(K6*L6/10000,0)</f>
        <v>18757</v>
      </c>
      <c r="N6" s="690">
        <f>ROUND(1-(2025-2006)/60,2)</f>
        <v>0.68</v>
      </c>
      <c r="O6" s="64" t="str">
        <f>IF($N$5="成新度","——",ROUND(M6*N6,0))</f>
        <v>——</v>
      </c>
      <c r="P6" s="65" t="str">
        <f>IF($N$5="成新度","——",M6-O6)</f>
        <v>——</v>
      </c>
      <c r="Q6" s="693">
        <v>0.1</v>
      </c>
      <c r="R6" s="66">
        <f ca="1">SUMIF('数据-汇总表'!C$19:C$33,A6,'数据-汇总表'!R$19:R$27)</f>
        <v>120628.8</v>
      </c>
      <c r="S6" s="49">
        <f>IF('数据-汇总表'!$I$17="按面积比例",SUMIF('数据-汇总表'!C$19:C$33,A6,'数据-汇总表'!K$19:K$33),SUMIF('数据-汇总表'!C$19:C$33,A6,'数据-汇总表'!N$19:N$33))</f>
        <v>0</v>
      </c>
      <c r="T6" s="1092">
        <f>ROUND($L$14*S6/10000,0)</f>
        <v>0</v>
      </c>
      <c r="U6" s="3127">
        <v>1.3</v>
      </c>
      <c r="V6" s="67">
        <v>0.02</v>
      </c>
      <c r="W6" s="67">
        <v>0.1</v>
      </c>
      <c r="X6" s="979"/>
      <c r="Y6" s="68">
        <f>N6</f>
        <v>0.68</v>
      </c>
      <c r="Z6" s="69"/>
      <c r="AA6" s="63">
        <f>V6</f>
        <v>0.02</v>
      </c>
      <c r="AB6" s="63">
        <f>W6</f>
        <v>0.1</v>
      </c>
      <c r="AC6" s="979"/>
      <c r="AD6" s="70"/>
      <c r="AE6" s="980">
        <f ca="1">IF(AN6="",0,SUMIF(INDIRECT("'"&amp;AN6&amp;"'"&amp;"!E:E"),$AE$5,INDIRECT("'"&amp;AN6&amp;"'"&amp;"!F:F")))</f>
        <v>28.49</v>
      </c>
      <c r="AF6" s="74"/>
      <c r="AG6" s="130">
        <f>IF(AF6="",0,AE6-AF6)</f>
        <v>0</v>
      </c>
      <c r="AH6" s="71"/>
      <c r="AI6" s="73">
        <v>365</v>
      </c>
      <c r="AJ6" s="74"/>
      <c r="AK6" s="75">
        <v>2E-3</v>
      </c>
      <c r="AL6" s="76">
        <v>1E-3</v>
      </c>
      <c r="AM6" s="77">
        <v>0.01</v>
      </c>
      <c r="AN6" s="1589" t="s">
        <v>3413</v>
      </c>
      <c r="AO6" s="50">
        <f ca="1">SUMIF(INDIRECT("'"&amp;AN6&amp;"'"&amp;"!A:A"),"总价",INDIRECT("'"&amp;AN6&amp;"'"&amp;"!B:B"))</f>
        <v>39274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0.80400000000000005</v>
      </c>
      <c r="H16" s="84">
        <f>ROUND(SUMPRODUCT(H6:H13,K6:K13)/SUMPRODUCT((H6:H13&gt;0)*(K6:K13)),3)</f>
        <v>4.4999999999999998E-2</v>
      </c>
      <c r="I16" s="85"/>
      <c r="J16" s="85"/>
      <c r="K16" s="86">
        <f>SUM(K6:K15)</f>
        <v>66988.94</v>
      </c>
      <c r="L16" s="87">
        <f>ROUND(M16*10000/SUM(K6:K14),0)</f>
        <v>2800</v>
      </c>
      <c r="M16" s="87">
        <f>SUM(M6:M14)</f>
        <v>18757</v>
      </c>
      <c r="N16" s="88">
        <f>ROUND(SUMPRODUCT(M6:M14,N6:N14)/M16,3)</f>
        <v>0.68</v>
      </c>
      <c r="O16" s="87">
        <f>SUM(O6:O14)</f>
        <v>0</v>
      </c>
      <c r="P16" s="87">
        <f>SUM(P6:P14)</f>
        <v>0</v>
      </c>
      <c r="Q16" s="89">
        <f>ROUND(SUMPRODUCT(Q6:Q13,K6:K13)/SUMPRODUCT((Q6:Q13&gt;0)*(K6:K13)),2)</f>
        <v>0.1</v>
      </c>
      <c r="R16" s="974">
        <f ca="1">SUM(R6:R13)</f>
        <v>120628.8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45672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13" sqref="G1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3421</v>
      </c>
      <c r="D4" s="1626" t="s">
        <v>3413</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5</v>
      </c>
      <c r="D14" s="3279">
        <v>5</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6" t="s">
        <v>2131</v>
      </c>
      <c r="F18" s="3267"/>
      <c r="G18" s="3267"/>
      <c r="H18" s="3267"/>
      <c r="I18" s="3267"/>
      <c r="K18" s="294" t="s">
        <v>1289</v>
      </c>
      <c r="L18" s="294">
        <f>IF(C1="",'数据-汇总表'!E3,SUMIF(项目类型,C1,'数据-汇总表'!E17:E26)+SUMIF(项目类型,C1,'数据-汇总表'!I17:I26))</f>
        <v>66988.94</v>
      </c>
      <c r="M18" s="294">
        <f>IF(C1="",'数据-汇总表'!E3,SUMIF(项目类型,C1,'数据-汇总表'!E17:E26))</f>
        <v>66988.94</v>
      </c>
    </row>
    <row r="19" spans="1:36" ht="15">
      <c r="A19" s="1630" t="s">
        <v>1290</v>
      </c>
      <c r="B19" s="1631" t="s">
        <v>1291</v>
      </c>
      <c r="C19" s="126">
        <f ca="1">SUMIF(INDIRECT("'"&amp;C4&amp;"'"&amp;"!A:A"),结果表!B19,INDIRECT("'"&amp;C4&amp;"'"&amp;"!B:B"))</f>
        <v>18157</v>
      </c>
      <c r="D19" s="127">
        <f ca="1">SUMIF(INDIRECT("'"&amp;D4&amp;"'"&amp;"!A:A"),结果表!B19,INDIRECT("'"&amp;D4&amp;"'"&amp;"!B:B"))</f>
        <v>39274</v>
      </c>
      <c r="E19" s="1630" t="s">
        <v>1292</v>
      </c>
      <c r="F19" s="1631" t="s">
        <v>1291</v>
      </c>
      <c r="G19" s="128">
        <f ca="1">ROUND(C19*$C$18+D19*$D$18,0)</f>
        <v>28716</v>
      </c>
      <c r="H19" s="1632" t="s">
        <v>1293</v>
      </c>
      <c r="I19" s="121"/>
      <c r="K19" s="294" t="s">
        <v>1294</v>
      </c>
      <c r="L19" s="294">
        <f>IF(C1="",'数据-汇总表'!D3,SUMIF(项目类型,C1,'数据-汇总表'!D17:D26)+SUMIF(项目类型,C1,'数据-汇总表'!H17:H27))</f>
        <v>120628.8</v>
      </c>
      <c r="M19" s="294">
        <f>IF(C1="",'数据-汇总表'!D3,SUMIF(项目类型,C1,'数据-汇总表'!D17:D26))</f>
        <v>120628.8</v>
      </c>
    </row>
    <row r="20" spans="1:36" ht="15">
      <c r="A20" s="1633"/>
      <c r="B20" s="43" t="s">
        <v>1295</v>
      </c>
      <c r="C20" s="129">
        <f ca="1">SUMIF(INDIRECT("'"&amp;C4&amp;"'"&amp;"!A:A"),结果表!B20,INDIRECT("'"&amp;C4&amp;"'"&amp;"!B:B"))</f>
        <v>2710</v>
      </c>
      <c r="D20" s="130">
        <f ca="1">SUMIF(INDIRECT("'"&amp;D4&amp;"'"&amp;"!A:A"),结果表!B20,INDIRECT("'"&amp;D4&amp;"'"&amp;"!B:B"))</f>
        <v>5863</v>
      </c>
      <c r="E20" s="1633"/>
      <c r="F20" s="43" t="s">
        <v>1295</v>
      </c>
      <c r="G20" s="131">
        <f ca="1">ROUND(C20*$C$18+D20*$D$18,0)</f>
        <v>4287</v>
      </c>
      <c r="H20" s="760" t="s">
        <v>1296</v>
      </c>
      <c r="I20" s="121"/>
    </row>
    <row r="21" spans="1:36" ht="15" customHeight="1" thickBot="1">
      <c r="A21" s="449"/>
      <c r="B21" s="93" t="s">
        <v>1297</v>
      </c>
      <c r="C21" s="678">
        <f ca="1">ROUND(C19*10000/L19,0)</f>
        <v>1505</v>
      </c>
      <c r="D21" s="679">
        <f ca="1">ROUND(D19*10000/L19,0)</f>
        <v>3256</v>
      </c>
      <c r="E21" s="449"/>
      <c r="F21" s="93" t="s">
        <v>1297</v>
      </c>
      <c r="G21" s="132">
        <f ca="1">ROUND(G19*10000/L19,0)</f>
        <v>2381</v>
      </c>
      <c r="H21" s="1634" t="s">
        <v>1296</v>
      </c>
      <c r="I21" s="121"/>
    </row>
    <row r="22" spans="1:36" ht="15" thickBot="1">
      <c r="A22" s="1564" t="s">
        <v>1298</v>
      </c>
      <c r="B22" s="1635"/>
      <c r="C22" s="1636"/>
      <c r="D22" s="680">
        <f ca="1">IF(C19&lt;D19,D19/C19-1,C19/D19-1)</f>
        <v>1.1630225257476456</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4287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t="e">
        <f ca="1">ROUND(H101*F45,0)</f>
        <v>#REF!</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45672</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6" t="s">
        <v>1340</v>
      </c>
      <c r="L48" s="3306"/>
      <c r="M48" s="3328" t="e">
        <f ca="1">H101</f>
        <v>#REF!</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t="str">
        <f ca="1">IF(项目基本情况!E8="房地产抵押价值",H107,H109)</f>
        <v>——</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t="e">
        <f ca="1">ROUND(D45*'数据-取费表'!B41/(1+'数据-取费表'!C42),0)</f>
        <v>#REF!</v>
      </c>
      <c r="E52" s="1256" t="s">
        <v>1354</v>
      </c>
      <c r="F52" s="2340">
        <f>'数据-取费表'!B41</f>
        <v>5.5000000000000007E-2</v>
      </c>
      <c r="G52" s="2341"/>
      <c r="H52" s="2331"/>
      <c r="I52" s="1669"/>
      <c r="J52" s="2310">
        <v>1</v>
      </c>
      <c r="K52" s="3307" t="s">
        <v>1355</v>
      </c>
      <c r="L52" s="3307"/>
      <c r="M52" s="2312" t="b">
        <f>D48</f>
        <v>0</v>
      </c>
      <c r="N52" s="2310" t="str">
        <f>E48</f>
        <v>销售额×税（费）率</v>
      </c>
      <c r="O52" s="2313">
        <f>F48</f>
        <v>5.5000000000000007E-2</v>
      </c>
    </row>
    <row r="53" spans="1:35" ht="12" customHeight="1">
      <c r="A53" s="2153" t="s">
        <v>1356</v>
      </c>
      <c r="B53" s="3268" t="s">
        <v>2291</v>
      </c>
      <c r="C53" s="3269"/>
      <c r="D53" s="1024" t="e">
        <f ca="1">ROUND(D45*'数据-取费表'!B41/(1+'数据-取费表'!C42),0)</f>
        <v>#REF!</v>
      </c>
      <c r="E53" s="1256" t="s">
        <v>1354</v>
      </c>
      <c r="F53" s="2340">
        <f>'数据-取费表'!B41</f>
        <v>5.5000000000000007E-2</v>
      </c>
      <c r="G53" s="2341"/>
      <c r="H53" s="2331"/>
      <c r="I53" s="1669"/>
      <c r="J53" s="2310">
        <v>2</v>
      </c>
      <c r="K53" s="3307" t="s">
        <v>1357</v>
      </c>
      <c r="L53" s="3307"/>
      <c r="M53" s="2312" t="e">
        <f t="shared" ref="M53:O54" ca="1" si="0">D55</f>
        <v>#REF!</v>
      </c>
      <c r="N53" s="2310" t="str">
        <f t="shared" si="0"/>
        <v>销售额×税（费）率</v>
      </c>
      <c r="O53" s="2313" t="str">
        <f t="shared" si="0"/>
        <v>免征</v>
      </c>
    </row>
    <row r="54" spans="1:35" ht="12" customHeight="1">
      <c r="A54" s="2153" t="s">
        <v>1358</v>
      </c>
      <c r="B54" s="3268" t="s">
        <v>2292</v>
      </c>
      <c r="C54" s="3269"/>
      <c r="D54" s="1024" t="e">
        <f ca="1">C68</f>
        <v>#REF!</v>
      </c>
      <c r="E54" s="319" t="s">
        <v>1359</v>
      </c>
      <c r="F54" s="2340">
        <f>'数据-取费表'!B41</f>
        <v>5.5000000000000007E-2</v>
      </c>
      <c r="G54" s="2341"/>
      <c r="H54" s="2342"/>
      <c r="I54" s="1669"/>
      <c r="J54" s="2310">
        <v>3</v>
      </c>
      <c r="K54" s="3307" t="s">
        <v>1360</v>
      </c>
      <c r="L54" s="3307"/>
      <c r="M54" s="2312" t="e">
        <f t="shared" ca="1" si="0"/>
        <v>#REF!</v>
      </c>
      <c r="N54" s="2310" t="str">
        <f t="shared" si="0"/>
        <v>增值额×税（费）率</v>
      </c>
      <c r="O54" s="2314" t="str">
        <f t="shared" si="0"/>
        <v>免征</v>
      </c>
    </row>
    <row r="55" spans="1:35" ht="24" customHeight="1">
      <c r="A55" s="3257" t="s">
        <v>1361</v>
      </c>
      <c r="B55" s="3258"/>
      <c r="C55" s="3258"/>
      <c r="D55" s="12" t="e">
        <f ca="1">IF(H55="个人住宅",0,ROUND(D45*I55,0))</f>
        <v>#REF!</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t="e">
        <f ca="1">D59</f>
        <v>#REF!</v>
      </c>
      <c r="N55" s="1883" t="str">
        <f>E59</f>
        <v>差额计税</v>
      </c>
      <c r="O55" s="2316">
        <f>F59</f>
        <v>0.01</v>
      </c>
    </row>
    <row r="56" spans="1:35" ht="24.75">
      <c r="A56" s="3257" t="s">
        <v>1363</v>
      </c>
      <c r="B56" s="3258"/>
      <c r="C56" s="3258"/>
      <c r="D56" s="12" t="e">
        <f ca="1">IF(H56="个人住宅",D57,D58)</f>
        <v>#REF!</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0</v>
      </c>
      <c r="O57" s="2320"/>
      <c r="P57" s="2465" t="e">
        <f ca="1">N57/M49</f>
        <v>#VALUE!</v>
      </c>
    </row>
    <row r="58" spans="1:35" ht="24.75">
      <c r="A58" s="2153" t="s">
        <v>1352</v>
      </c>
      <c r="B58" s="3268" t="s">
        <v>1369</v>
      </c>
      <c r="C58" s="3242"/>
      <c r="D58" s="12" t="e">
        <f ca="1">IF(H58="转让取得",C81,C97)</f>
        <v>#REF!</v>
      </c>
      <c r="E58" s="1256" t="s">
        <v>1364</v>
      </c>
      <c r="F58" s="294" t="s">
        <v>28</v>
      </c>
      <c r="G58" s="2341"/>
      <c r="H58" s="2344"/>
      <c r="I58" s="1670"/>
      <c r="J58" s="3307"/>
      <c r="K58" s="3307"/>
      <c r="L58" s="2317" t="s">
        <v>1370</v>
      </c>
      <c r="M58" s="2321"/>
      <c r="N58" s="2322" t="str">
        <f ca="1">NUMBERSTRING(INT(N57*10000),2)&amp;"元整"</f>
        <v>零元整</v>
      </c>
      <c r="O58" s="2323"/>
    </row>
    <row r="59" spans="1:35" ht="24.75" thickBot="1">
      <c r="A59" s="3310" t="s">
        <v>1371</v>
      </c>
      <c r="B59" s="3311"/>
      <c r="C59" s="331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t="e">
        <f ca="1">M49-N57</f>
        <v>#VALUE!</v>
      </c>
      <c r="O59" s="2326"/>
    </row>
    <row r="60" spans="1:35" ht="12" customHeight="1">
      <c r="A60" s="1671"/>
      <c r="B60" s="646"/>
      <c r="C60" s="646"/>
      <c r="D60" s="646"/>
      <c r="E60" s="1466"/>
      <c r="F60" s="1670"/>
      <c r="G60" s="1670"/>
      <c r="H60" s="151"/>
      <c r="I60" s="121"/>
      <c r="J60" s="3309"/>
      <c r="K60" s="3307"/>
      <c r="L60" s="2317" t="s">
        <v>1370</v>
      </c>
      <c r="M60" s="2321"/>
      <c r="N60" s="2322" t="e">
        <f ca="1">NUMBERSTRING(INT(N59*10000),2)&amp;"元整"</f>
        <v>#VALUE!</v>
      </c>
      <c r="O60" s="2323"/>
    </row>
    <row r="61" spans="1:35" ht="13.5" thickBot="1">
      <c r="A61" s="3255" t="s">
        <v>1373</v>
      </c>
      <c r="B61" s="3255"/>
      <c r="C61" s="3255"/>
      <c r="D61" s="3255"/>
      <c r="E61" s="3255"/>
      <c r="F61" s="1670"/>
      <c r="G61" s="1670"/>
      <c r="H61" s="151"/>
      <c r="I61" s="121"/>
      <c r="J61" s="2310">
        <f>J59+1</f>
        <v>7</v>
      </c>
      <c r="K61" s="3307" t="s">
        <v>1374</v>
      </c>
      <c r="L61" s="3307"/>
      <c r="M61" s="2327"/>
      <c r="N61" s="2328" t="e">
        <f ca="1">ROUND(N59*10000/'数据-汇总表'!E3,0)</f>
        <v>#VALUE!</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3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3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32"/>
      <c r="K69" s="1245" t="s">
        <v>1393</v>
      </c>
      <c r="L69" s="1245"/>
      <c r="M69" s="294" t="e">
        <f ca="1">ROUND(SUM(M63:M68),0)</f>
        <v>#VALUE!</v>
      </c>
      <c r="N69" s="2332" t="e">
        <f ca="1">M69/M49</f>
        <v>#VALUE!</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v>
      </c>
      <c r="E101" s="3329" t="s">
        <v>1431</v>
      </c>
      <c r="F101" s="3286"/>
      <c r="G101" s="1687" t="s">
        <v>1432</v>
      </c>
      <c r="H101" s="2381" t="e">
        <f ca="1">H118</f>
        <v>#REF!</v>
      </c>
      <c r="I101" s="121"/>
    </row>
    <row r="102" spans="1:35" ht="18.75" customHeight="1">
      <c r="A102" s="3288" t="s">
        <v>1433</v>
      </c>
      <c r="B102" s="2370" t="s">
        <v>1432</v>
      </c>
      <c r="C102" s="2371">
        <f ca="1">IF(D32="楼面单价",ROUND(C19,0),C19)</f>
        <v>18157</v>
      </c>
      <c r="D102" s="2372">
        <f ca="1">IF(D32="楼面单价",ROUND(D19,0),D19)</f>
        <v>39274</v>
      </c>
      <c r="E102" s="3329"/>
      <c r="F102" s="3286"/>
      <c r="G102" s="1687" t="s">
        <v>1434</v>
      </c>
      <c r="H102" s="2341" t="e">
        <f ca="1">I118</f>
        <v>#REF!</v>
      </c>
      <c r="I102" s="121"/>
    </row>
    <row r="103" spans="1:35" ht="42.75" customHeight="1">
      <c r="A103" s="3288"/>
      <c r="B103" s="2370" t="s">
        <v>1434</v>
      </c>
      <c r="C103" s="2373">
        <f ca="1">C20</f>
        <v>2710</v>
      </c>
      <c r="D103" s="2374">
        <f ca="1">D20</f>
        <v>5863</v>
      </c>
      <c r="E103" s="3323" t="s">
        <v>1435</v>
      </c>
      <c r="F103" s="3324"/>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t="e">
        <f ca="1">IF(E107="——","——",H101-H103)</f>
        <v>#REF!</v>
      </c>
      <c r="I107" s="121"/>
    </row>
    <row r="108" spans="1:35" ht="18.75" customHeight="1">
      <c r="A108" s="121"/>
      <c r="B108" s="121"/>
      <c r="C108" s="121"/>
      <c r="D108" s="121"/>
      <c r="E108" s="3285"/>
      <c r="F108" s="3286"/>
      <c r="G108" s="1687" t="s">
        <v>1434</v>
      </c>
      <c r="H108" s="2341">
        <f ca="1">IF(H107=H101,H102,ROUND(H107*10000/'数据-汇总表'!E3,0))</f>
        <v>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66988.94</v>
      </c>
      <c r="C118" s="2150">
        <f>M19</f>
        <v>120628.8</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6" t="s">
        <v>1452</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84"/>
    </row>
    <row r="123" spans="1:27" ht="18.75" customHeight="1">
      <c r="A123" s="3256" t="s">
        <v>1452</v>
      </c>
      <c r="B123" s="3256"/>
      <c r="C123" s="3256"/>
      <c r="D123" s="3296" t="e">
        <f ca="1">NUMBERSTRING(INT(D122*10000),2)&amp;"元整"</f>
        <v>#REF!</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26" sqref="K2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18157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f>基准地价修正!B2</f>
        <v>0</v>
      </c>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3418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3419</v>
      </c>
      <c r="H9" s="1070"/>
      <c r="I9" s="1716" t="s">
        <v>1479</v>
      </c>
    </row>
    <row r="10" spans="1:9" s="206" customFormat="1" ht="13.5" customHeight="1">
      <c r="A10" s="733" t="s">
        <v>356</v>
      </c>
      <c r="B10" s="216" t="s">
        <v>1480</v>
      </c>
      <c r="C10" s="217">
        <f ca="1">ROUND(D10*E10/10000,0)</f>
        <v>1340</v>
      </c>
      <c r="D10" s="795">
        <f ca="1">IF(B1="",'数据-汇总表'!E6,IF(INDIRECT("'数据-取费表'!c"&amp;$G$1)="住宅",INDIRECT("'数据-取费表'!s"&amp;$G$1),INDIRECT("'数据-取费表'!k"&amp;$G$1)+INDIRECT("'数据-取费表'!s"&amp;$G$1)))</f>
        <v>66988.94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66988.94</v>
      </c>
      <c r="E19" s="203">
        <f>'数据-取费表'!B31</f>
        <v>200</v>
      </c>
      <c r="F19" s="223"/>
      <c r="G19" s="1714" t="s">
        <v>3420</v>
      </c>
    </row>
    <row r="20" spans="1:7" s="206" customFormat="1" ht="13.5" customHeight="1">
      <c r="A20" s="247" t="s">
        <v>1493</v>
      </c>
      <c r="B20" s="202" t="s">
        <v>1494</v>
      </c>
      <c r="C20" s="224">
        <f>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21410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18757</v>
      </c>
      <c r="D34" s="209"/>
      <c r="E34" s="212"/>
      <c r="F34" s="249">
        <f ca="1">IF('数据-取费表'!B24=0,1,IF(B1="",'数据-取费表'!N16,INDIRECT("'数据-取费表'!n"&amp;$G$1)))</f>
        <v>1</v>
      </c>
      <c r="G34" s="211" t="s">
        <v>1526</v>
      </c>
    </row>
    <row r="35" spans="1:7" ht="13.5" customHeight="1">
      <c r="A35" s="734" t="s">
        <v>351</v>
      </c>
      <c r="B35" s="207" t="s">
        <v>1527</v>
      </c>
      <c r="C35" s="212">
        <f ca="1">ROUND(C34*F35,0)</f>
        <v>938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1340</v>
      </c>
      <c r="D37" s="209">
        <f ca="1">D19</f>
        <v>66988.94</v>
      </c>
      <c r="E37" s="241">
        <f>'数据-取费表'!B35</f>
        <v>200</v>
      </c>
      <c r="F37" s="251"/>
      <c r="G37" s="253" t="s">
        <v>1532</v>
      </c>
    </row>
    <row r="38" spans="1:7" ht="13.5" customHeight="1">
      <c r="A38" s="734" t="s">
        <v>354</v>
      </c>
      <c r="B38" s="207" t="s">
        <v>1533</v>
      </c>
      <c r="C38" s="212">
        <f ca="1">ROUND(C34*F38,0)</f>
        <v>375</v>
      </c>
      <c r="D38" s="212"/>
      <c r="E38" s="212"/>
      <c r="F38" s="251">
        <f>'数据-取费表'!B36</f>
        <v>0.02</v>
      </c>
      <c r="G38" s="211" t="s">
        <v>1528</v>
      </c>
    </row>
    <row r="39" spans="1:7" s="206" customFormat="1" ht="13.5" customHeight="1">
      <c r="A39" s="247" t="s">
        <v>1534</v>
      </c>
      <c r="B39" s="202" t="s">
        <v>1535</v>
      </c>
      <c r="C39" s="224">
        <f ca="1">ROUND(C33*F20,0)</f>
        <v>428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664</v>
      </c>
      <c r="D42" s="230"/>
      <c r="E42" s="230"/>
      <c r="F42" s="231"/>
      <c r="G42" s="3336" t="s">
        <v>1544</v>
      </c>
    </row>
    <row r="43" spans="1:7" ht="13.5" customHeight="1">
      <c r="A43" s="734" t="s">
        <v>347</v>
      </c>
      <c r="B43" s="207" t="s">
        <v>1545</v>
      </c>
      <c r="C43" s="230">
        <f ca="1">ROUND(IF('数据-取费表'!B22&lt;=1,C39*F22*'数据-取费表'!B21/2,C39*(POWER((1+F22),'数据-取费表'!B21/2)-1)),0)</f>
        <v>13</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2184</v>
      </c>
      <c r="D45" s="227">
        <f ca="1">C47</f>
        <v>2E-3</v>
      </c>
      <c r="E45" s="228" t="s">
        <v>1539</v>
      </c>
      <c r="F45" s="238">
        <f ca="1">F27</f>
        <v>0.1</v>
      </c>
      <c r="G45" s="239" t="s">
        <v>1548</v>
      </c>
    </row>
    <row r="46" spans="1:7" s="206" customFormat="1" ht="13.5" customHeight="1">
      <c r="A46" s="734" t="s">
        <v>346</v>
      </c>
      <c r="B46" s="240" t="s">
        <v>1549</v>
      </c>
      <c r="C46" s="241">
        <f ca="1">ROUND((C33+C39)*F27,0)</f>
        <v>2184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26702</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18157</v>
      </c>
      <c r="D51" s="224"/>
      <c r="E51" s="224"/>
      <c r="F51" s="256"/>
      <c r="G51" s="226" t="s">
        <v>1560</v>
      </c>
    </row>
    <row r="52" spans="1:7" s="200" customFormat="1" ht="16.5" thickBot="1">
      <c r="A52" s="257" t="s">
        <v>1561</v>
      </c>
      <c r="B52" s="258"/>
      <c r="C52" s="259">
        <f ca="1">C31+C51</f>
        <v>18157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21591.2356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3223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13397788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13397788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13397788</v>
      </c>
      <c r="D10" s="795">
        <f ca="1">IF(B1="",'数据-汇总表'!E6,IF(INDIRECT("'数据-取费表'!c"&amp;$G$1)="住宅",INDIRECT("'数据-取费表'!s"&amp;$G$1),INDIRECT("'数据-取费表'!k"&amp;$G$1)+INDIRECT("'数据-取费表'!s"&amp;$G$1)))</f>
        <v>66988.94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13397788</v>
      </c>
      <c r="D19" s="204">
        <f ca="1">D9+D10</f>
        <v>66988.94</v>
      </c>
      <c r="E19" s="203">
        <f>'数据-取费表'!B31</f>
        <v>200</v>
      </c>
      <c r="F19" s="223"/>
      <c r="G19" s="1714"/>
    </row>
    <row r="20" spans="1:7" s="206" customFormat="1" ht="13.5" customHeight="1">
      <c r="A20" s="247" t="s">
        <v>1574</v>
      </c>
      <c r="B20" s="202" t="s">
        <v>1575</v>
      </c>
      <c r="C20" s="224">
        <f ca="1">ROUND((C5+C19)*F20,0)</f>
        <v>535912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1703689</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843538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843538</v>
      </c>
      <c r="D24" s="230"/>
      <c r="E24" s="230"/>
      <c r="F24" s="231"/>
      <c r="G24" s="232" t="s">
        <v>1586</v>
      </c>
    </row>
    <row r="25" spans="1:7" s="206" customFormat="1" ht="24">
      <c r="A25" s="734" t="s">
        <v>1476</v>
      </c>
      <c r="B25" s="207" t="s">
        <v>1587</v>
      </c>
      <c r="C25" s="230">
        <f ca="1">ROUND(IF('数据-取费表'!B22&lt;=1,C20*F22*'数据-取费表'!B22/2,C20*(POWER((1+F22),'数据-取费表'!B22/2)-1)),0)</f>
        <v>16613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2733149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2733149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34344136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214096653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187569032</v>
      </c>
      <c r="D34" s="209"/>
      <c r="E34" s="212"/>
      <c r="F34" s="249"/>
      <c r="G34" s="211"/>
    </row>
    <row r="35" spans="1:7" ht="13.5" customHeight="1">
      <c r="A35" s="734" t="s">
        <v>351</v>
      </c>
      <c r="B35" s="207" t="s">
        <v>1527</v>
      </c>
      <c r="C35" s="212">
        <f ca="1">ROUND(C34*F35,0)</f>
        <v>9378452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13397788</v>
      </c>
      <c r="D37" s="209">
        <f ca="1">D19</f>
        <v>66988.94</v>
      </c>
      <c r="E37" s="241">
        <f>'数据-取费表'!B35</f>
        <v>200</v>
      </c>
      <c r="F37" s="251"/>
      <c r="G37" s="253"/>
    </row>
    <row r="38" spans="1:7" ht="13.5" customHeight="1">
      <c r="A38" s="734" t="s">
        <v>354</v>
      </c>
      <c r="B38" s="207" t="s">
        <v>1533</v>
      </c>
      <c r="C38" s="212">
        <f ca="1">ROUND(C34*F38,0)</f>
        <v>3751381</v>
      </c>
      <c r="D38" s="212"/>
      <c r="E38" s="212"/>
      <c r="F38" s="251">
        <f>'数据-取费表'!B36</f>
        <v>0.02</v>
      </c>
      <c r="G38" s="211" t="s">
        <v>1528</v>
      </c>
    </row>
    <row r="39" spans="1:7" s="206" customFormat="1" ht="13.5" customHeight="1">
      <c r="A39" s="247" t="s">
        <v>1534</v>
      </c>
      <c r="B39" s="202" t="s">
        <v>1535</v>
      </c>
      <c r="C39" s="224">
        <f ca="1">ROUND(C33*F20,0)</f>
        <v>4281933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6769736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6636996</v>
      </c>
      <c r="D42" s="230"/>
      <c r="E42" s="230"/>
      <c r="F42" s="231"/>
      <c r="G42" s="3336" t="s">
        <v>1591</v>
      </c>
    </row>
    <row r="43" spans="1:7" ht="13.5" customHeight="1">
      <c r="A43" s="734" t="s">
        <v>347</v>
      </c>
      <c r="B43" s="207" t="s">
        <v>1545</v>
      </c>
      <c r="C43" s="230">
        <f ca="1">ROUND(IF('数据-取费表'!B22&lt;=1,C39*F22*'数据-取费表'!B20/2,C39*(POWER((1+F22),'数据-取费表'!B20/2)-1)),0)</f>
        <v>132740</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21837859</v>
      </c>
      <c r="D45" s="227">
        <f ca="1">C47</f>
        <v>2E-3</v>
      </c>
      <c r="E45" s="228" t="s">
        <v>1539</v>
      </c>
      <c r="F45" s="238">
        <f ca="1">F27</f>
        <v>0.1</v>
      </c>
      <c r="G45" s="239" t="s">
        <v>1548</v>
      </c>
    </row>
    <row r="46" spans="1:7" s="206" customFormat="1" ht="13.5" customHeight="1">
      <c r="A46" s="734" t="s">
        <v>346</v>
      </c>
      <c r="B46" s="240" t="s">
        <v>1549</v>
      </c>
      <c r="C46" s="241">
        <f ca="1">ROUND((C33+C39)*F27,0)</f>
        <v>21837859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267012088</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181568220</v>
      </c>
      <c r="D51" s="224"/>
      <c r="E51" s="224"/>
      <c r="F51" s="256"/>
      <c r="G51" s="226" t="s">
        <v>1560</v>
      </c>
    </row>
    <row r="52" spans="1:7" s="200" customFormat="1" ht="16.5" thickBot="1">
      <c r="A52" s="257" t="s">
        <v>1561</v>
      </c>
      <c r="B52" s="258"/>
      <c r="C52" s="259">
        <f ca="1">C31+C51</f>
        <v>215912356</v>
      </c>
      <c r="D52" s="258"/>
      <c r="E52" s="258"/>
      <c r="F52" s="258"/>
      <c r="G52" s="260"/>
    </row>
    <row r="55" spans="1:7" ht="15">
      <c r="B55" s="262" t="s">
        <v>1562</v>
      </c>
      <c r="C55" s="263"/>
    </row>
    <row r="56" spans="1:7">
      <c r="B56" s="265" t="s">
        <v>802</v>
      </c>
      <c r="C56" s="267">
        <f ca="1">1-C57</f>
        <v>0.15900000000000003</v>
      </c>
    </row>
    <row r="57" spans="1:7">
      <c r="B57" s="265" t="s">
        <v>803</v>
      </c>
      <c r="C57" s="266">
        <f ca="1">ROUND(C51/C52,3)</f>
        <v>0.84099999999999997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-1462</v>
      </c>
      <c r="C2" s="268" t="s">
        <v>1595</v>
      </c>
      <c r="D2" s="268"/>
      <c r="E2" s="2568"/>
      <c r="F2" s="2568"/>
      <c r="G2" s="2568"/>
      <c r="H2" s="2568"/>
      <c r="I2" s="2568"/>
      <c r="J2" s="2568"/>
      <c r="K2" s="2568"/>
    </row>
    <row r="3" spans="1:33" ht="18" customHeight="1" thickBot="1">
      <c r="A3" s="195" t="s">
        <v>1464</v>
      </c>
      <c r="B3" s="196">
        <f ca="1">ROUND(B2*10000/IF(C1="",'数据-汇总表'!E3,INDIRECT("'数据-取费表'!K"&amp;$K$1)),0)</f>
        <v>-218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66988.94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66988.94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1340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1340</v>
      </c>
      <c r="D20" s="796">
        <f ca="1">IF(C1="",'数据-汇总表'!E6,IF(INDIRECT("'数据-取费表'!c"&amp;$K$1)="住宅",INDIRECT("'数据-取费表'!s"&amp;$K$1),INDIRECT("'数据-取费表'!k"&amp;$K$1)+INDIRECT("'数据-取费表'!s"&amp;$K$1)))</f>
        <v>66988.94</v>
      </c>
      <c r="E20" s="21">
        <f>'数据-取费表'!B28</f>
        <v>200</v>
      </c>
      <c r="F20" s="756"/>
      <c r="G20" s="12"/>
      <c r="H20" s="761"/>
      <c r="I20" s="761"/>
      <c r="J20" s="761"/>
      <c r="K20" s="762"/>
    </row>
    <row r="21" spans="1:33" s="755" customFormat="1" ht="13.5" customHeight="1">
      <c r="A21" s="744" t="s">
        <v>357</v>
      </c>
      <c r="B21" s="765" t="s">
        <v>1628</v>
      </c>
      <c r="C21" s="766">
        <f ca="1">C16+C17+C18</f>
        <v>1340</v>
      </c>
      <c r="D21" s="767"/>
      <c r="E21" s="273"/>
      <c r="F21" s="273"/>
      <c r="G21" s="123" t="s">
        <v>1629</v>
      </c>
      <c r="H21" s="759"/>
      <c r="I21" s="759"/>
      <c r="J21" s="759"/>
      <c r="K21" s="760"/>
    </row>
    <row r="22" spans="1:33" s="755" customFormat="1" ht="13.5" customHeight="1">
      <c r="A22" s="744" t="s">
        <v>1601</v>
      </c>
      <c r="B22" s="765" t="s">
        <v>1630</v>
      </c>
      <c r="C22" s="766">
        <f ca="1">ROUND(C21*F22,0)</f>
        <v>27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137</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137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-1462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43" sqref="A43:I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28.49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39274</v>
      </c>
      <c r="C2" s="1289" t="s">
        <v>805</v>
      </c>
      <c r="D2" s="1289"/>
      <c r="E2" s="1295"/>
      <c r="F2" s="1296"/>
      <c r="G2" s="2479"/>
      <c r="H2" s="2469"/>
      <c r="I2" s="2469"/>
      <c r="J2" s="2469"/>
      <c r="K2" s="2470"/>
      <c r="L2" s="2469"/>
      <c r="M2" s="2469"/>
    </row>
    <row r="3" spans="1:37" ht="18" customHeight="1" thickBot="1">
      <c r="A3" s="1297" t="s">
        <v>806</v>
      </c>
      <c r="B3" s="1298">
        <f ca="1">IF(ISERROR(B2*10000/F43),0,ROUND(B2*10000/F43,0))</f>
        <v>5863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2865</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2861</v>
      </c>
      <c r="D6" s="147" t="s">
        <v>2109</v>
      </c>
      <c r="E6" s="294" t="s">
        <v>696</v>
      </c>
      <c r="F6" s="295">
        <f ca="1">INDIRECT("'数据-取费表'!u"&amp;$G$1)</f>
        <v>1.3</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66988.94</v>
      </c>
      <c r="G7" s="1292"/>
      <c r="H7" s="296"/>
      <c r="I7" s="3342"/>
      <c r="J7" s="298"/>
      <c r="K7" s="299"/>
      <c r="L7" s="294" t="s">
        <v>697</v>
      </c>
      <c r="M7" s="295">
        <f ca="1">F7</f>
        <v>66988.94</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0.1</v>
      </c>
    </row>
    <row r="10" spans="1:37" ht="18" customHeight="1">
      <c r="A10" s="1006" t="s">
        <v>402</v>
      </c>
      <c r="B10" s="1274" t="s">
        <v>700</v>
      </c>
      <c r="C10" s="308">
        <f ca="1">ROUND(IF(F10="押一",C6/12*F11,IF(F10="押二",C6/12*2*F11,IF(F10="押三",C6/12*3*F11,C11*F11))),0)</f>
        <v>4</v>
      </c>
      <c r="D10" s="150" t="s">
        <v>2117</v>
      </c>
      <c r="E10" s="305" t="s">
        <v>701</v>
      </c>
      <c r="F10" s="1053" t="s">
        <v>3422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18157</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18757</v>
      </c>
      <c r="D14" s="1257" t="s">
        <v>708</v>
      </c>
      <c r="E14" s="1255"/>
      <c r="F14" s="311"/>
      <c r="G14" s="1292"/>
      <c r="H14" s="928" t="s">
        <v>398</v>
      </c>
      <c r="I14" s="294" t="s">
        <v>709</v>
      </c>
      <c r="J14" s="21">
        <f ca="1">C29</f>
        <v>26702</v>
      </c>
      <c r="K14" s="12"/>
      <c r="L14" s="759"/>
      <c r="M14" s="760"/>
    </row>
    <row r="15" spans="1:37" s="1304" customFormat="1" ht="18" customHeight="1" thickBot="1">
      <c r="A15" s="928" t="s">
        <v>399</v>
      </c>
      <c r="B15" s="294" t="s">
        <v>710</v>
      </c>
      <c r="C15" s="21">
        <f ca="1">ROUND(C14*F15,0)</f>
        <v>938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53</v>
      </c>
      <c r="K16" s="1024" t="s">
        <v>715</v>
      </c>
      <c r="L16" s="1025"/>
      <c r="M16" s="1009"/>
    </row>
    <row r="17" spans="1:37" s="1304" customFormat="1" ht="18" customHeight="1">
      <c r="A17" s="928" t="s">
        <v>681</v>
      </c>
      <c r="B17" s="294" t="s">
        <v>716</v>
      </c>
      <c r="C17" s="21">
        <f ca="1">ROUND(F17*(F43+INDIRECT("'数据-取费表'!S"&amp;$G$1))/10000,0)</f>
        <v>1340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21410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428</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120628.8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53.4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-53</v>
      </c>
      <c r="K25" s="1032" t="s">
        <v>753</v>
      </c>
      <c r="L25" s="1033"/>
      <c r="M25" s="1034"/>
    </row>
    <row r="26" spans="1:37">
      <c r="A26" s="928" t="s">
        <v>397</v>
      </c>
      <c r="B26" s="294" t="s">
        <v>754</v>
      </c>
      <c r="C26" s="21">
        <f ca="1">ROUND((C19+C20)*F26,0)</f>
        <v>2184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26702</v>
      </c>
      <c r="D29" s="1029"/>
      <c r="E29" s="1027"/>
      <c r="F29" s="1030"/>
      <c r="G29" s="1303"/>
      <c r="H29" s="325" t="s">
        <v>396</v>
      </c>
      <c r="I29" s="326" t="s">
        <v>768</v>
      </c>
      <c r="J29" s="327">
        <f ca="1">ROUND(J26/(1+F40)^F41,0)</f>
        <v>0</v>
      </c>
      <c r="K29" s="328" t="s">
        <v>769</v>
      </c>
      <c r="L29" s="329"/>
      <c r="M29" s="330">
        <f ca="1">INDIRECT("'数据-取费表'!k"&amp;$G$1)</f>
        <v>66988.94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476.83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149.86000000000001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326.97000000000003</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120628.8</v>
      </c>
      <c r="G35" s="1292"/>
      <c r="H35" s="2471"/>
      <c r="I35" s="1305"/>
      <c r="J35" s="1306"/>
      <c r="K35" s="2475"/>
      <c r="L35" s="2474"/>
      <c r="M35" s="2474"/>
    </row>
    <row r="36" spans="1:18" ht="18" customHeight="1">
      <c r="A36" s="1039" t="s">
        <v>402</v>
      </c>
      <c r="B36" s="294" t="s">
        <v>738</v>
      </c>
      <c r="C36" s="21">
        <f ca="1">ROUND(C29*F36,2)</f>
        <v>53.4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18.16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28.65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2288</v>
      </c>
      <c r="D39" s="1032" t="s">
        <v>773</v>
      </c>
      <c r="E39" s="1033"/>
      <c r="F39" s="1034"/>
      <c r="G39" s="1292"/>
      <c r="H39" s="2474"/>
      <c r="I39" s="1305"/>
      <c r="J39" s="1306"/>
      <c r="K39" s="2472"/>
      <c r="L39" s="2474"/>
      <c r="M39" s="2474"/>
    </row>
    <row r="40" spans="1:18" ht="18" customHeight="1">
      <c r="A40" s="291" t="s">
        <v>395</v>
      </c>
      <c r="B40" s="292" t="s">
        <v>774</v>
      </c>
      <c r="C40" s="293">
        <f ca="1">ROUND(C39*(1-((1+F42)/(1+F40))^F41)/(F40-F42),0)</f>
        <v>38082</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28.49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5685</v>
      </c>
      <c r="D43" s="328" t="s">
        <v>777</v>
      </c>
      <c r="E43" s="329" t="s">
        <v>778</v>
      </c>
      <c r="F43" s="330">
        <f ca="1">INDIRECT("'数据-取费表'!k"&amp;$G$1)</f>
        <v>66988.94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-39054</v>
      </c>
      <c r="D46" s="1313" t="str">
        <f>C2</f>
        <v>万元</v>
      </c>
      <c r="E46" s="1307"/>
      <c r="F46" s="1307"/>
      <c r="I46" s="1314" t="s">
        <v>810</v>
      </c>
      <c r="J46" s="1315"/>
      <c r="K46" s="1316"/>
      <c r="L46" s="1317">
        <f ca="1">IF(M47="住宅",0,IF(L48&gt;J51,L60,J60))</f>
        <v>1192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3423</v>
      </c>
      <c r="K47" s="1323" t="s">
        <v>816</v>
      </c>
      <c r="L47" s="1324">
        <f ca="1">INDIRECT("'数据-取费表'!d"&amp;$G$1)</f>
        <v>50</v>
      </c>
      <c r="M47" s="1288" t="str">
        <f>IF(ISNUMBER(FIND("住宅",C1)),"住宅","非住宅")</f>
        <v>非住宅</v>
      </c>
      <c r="O47" s="1325" t="s">
        <v>403</v>
      </c>
      <c r="P47" s="1326" t="s">
        <v>817</v>
      </c>
      <c r="Q47" s="1327">
        <f ca="1">C40+J29</f>
        <v>38082</v>
      </c>
      <c r="R47" s="1327" t="s">
        <v>818</v>
      </c>
    </row>
    <row r="48" spans="1:18" s="1292" customFormat="1" ht="28.5" thickBot="1">
      <c r="A48" s="1047" t="s">
        <v>438</v>
      </c>
      <c r="B48" s="292" t="s">
        <v>692</v>
      </c>
      <c r="C48" s="1268">
        <f ca="1">C49+C53+C55</f>
        <v>0</v>
      </c>
      <c r="D48" s="1049"/>
      <c r="E48" s="1050"/>
      <c r="F48" s="908"/>
      <c r="G48" s="681"/>
      <c r="H48" s="682"/>
      <c r="I48" s="1328" t="s">
        <v>819</v>
      </c>
      <c r="J48" s="1329" t="s">
        <v>3424</v>
      </c>
      <c r="K48" s="1330" t="s">
        <v>820</v>
      </c>
      <c r="L48" s="1331">
        <f ca="1">INDIRECT("'数据-取费表'!f"&amp;$G$1)</f>
        <v>28.49</v>
      </c>
      <c r="O48" s="1325" t="s">
        <v>404</v>
      </c>
      <c r="P48" s="1326" t="s">
        <v>821</v>
      </c>
      <c r="Q48" s="1327">
        <f ca="1">J60</f>
        <v>1192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2006</v>
      </c>
      <c r="K49" s="1330" t="s">
        <v>824</v>
      </c>
      <c r="L49" s="1333"/>
      <c r="O49" s="1334" t="s">
        <v>405</v>
      </c>
      <c r="P49" s="1326" t="s">
        <v>825</v>
      </c>
      <c r="Q49" s="1327">
        <f ca="1">C29</f>
        <v>26702</v>
      </c>
      <c r="R49" s="1327" t="s">
        <v>818</v>
      </c>
    </row>
    <row r="50" spans="1:18" s="1292" customFormat="1" ht="13.5" thickBot="1">
      <c r="A50" s="922"/>
      <c r="B50" s="925"/>
      <c r="C50" s="1055"/>
      <c r="D50" s="899"/>
      <c r="E50" s="993" t="s">
        <v>697</v>
      </c>
      <c r="F50" s="994">
        <f ca="1">F7</f>
        <v>66988.94</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18402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28.49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28.49</v>
      </c>
      <c r="K53" s="3339" t="s">
        <v>837</v>
      </c>
      <c r="L53" s="3340"/>
      <c r="O53" s="1325" t="s">
        <v>409</v>
      </c>
      <c r="P53" s="1326" t="s">
        <v>838</v>
      </c>
      <c r="Q53" s="1327">
        <f ca="1">Q47+Q48</f>
        <v>39274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0.33500000000000002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18157</v>
      </c>
      <c r="D56" s="1352"/>
      <c r="E56" s="1353"/>
      <c r="F56" s="1345"/>
      <c r="I56" s="1354" t="s">
        <v>842</v>
      </c>
      <c r="J56" s="1355" t="s">
        <v>3425</v>
      </c>
      <c r="K56" s="1328" t="s">
        <v>843</v>
      </c>
      <c r="L56" s="1331" t="str">
        <f ca="1">IF(L48&lt;J51,"——",L48-J53)</f>
        <v>——</v>
      </c>
      <c r="O56" s="1325" t="s">
        <v>403</v>
      </c>
      <c r="P56" s="1326" t="s">
        <v>817</v>
      </c>
      <c r="Q56" s="1327">
        <f ca="1">C40+J29</f>
        <v>38082</v>
      </c>
      <c r="R56" s="1327" t="s">
        <v>818</v>
      </c>
    </row>
    <row r="57" spans="1:18" s="1292" customFormat="1" ht="24.75" thickBot="1">
      <c r="A57" s="1356"/>
      <c r="B57" s="896" t="s">
        <v>767</v>
      </c>
      <c r="C57" s="230">
        <f ca="1">C29</f>
        <v>26702</v>
      </c>
      <c r="D57" s="1357"/>
      <c r="E57" s="1358"/>
      <c r="F57" s="1359"/>
      <c r="I57" s="1360" t="s">
        <v>844</v>
      </c>
      <c r="J57" s="1361">
        <f ca="1">IF(OR(M47="住宅",J51&lt;L48,J56="是"),"——",J51-L48)</f>
        <v>22.51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10681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1192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38082</v>
      </c>
      <c r="R62" s="1327" t="s">
        <v>410</v>
      </c>
    </row>
    <row r="63" spans="1:18" s="1292" customFormat="1" ht="13.5" thickBot="1">
      <c r="A63" s="318"/>
      <c r="B63" s="902"/>
      <c r="C63" s="26"/>
      <c r="D63" s="912"/>
      <c r="E63" s="896" t="s">
        <v>788</v>
      </c>
      <c r="F63" s="295">
        <f t="shared" ca="1" si="0"/>
        <v>120628.8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53.4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18.16</v>
      </c>
      <c r="D65" s="910" t="s">
        <v>743</v>
      </c>
      <c r="E65" s="896" t="s">
        <v>744</v>
      </c>
      <c r="F65" s="321">
        <f t="shared" ca="1" si="0"/>
        <v>1E-3</v>
      </c>
      <c r="I65" s="1367" t="s">
        <v>867</v>
      </c>
      <c r="J65" s="610">
        <v>40</v>
      </c>
      <c r="K65" s="610">
        <v>30</v>
      </c>
      <c r="L65" s="610">
        <v>50</v>
      </c>
      <c r="M65" s="1369">
        <v>0.02</v>
      </c>
      <c r="O65" s="1325" t="s">
        <v>403</v>
      </c>
      <c r="P65" s="1326" t="s">
        <v>868</v>
      </c>
      <c r="Q65" s="1327">
        <f ca="1">C40+J29</f>
        <v>38082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-72</v>
      </c>
      <c r="D67" s="909" t="s">
        <v>753</v>
      </c>
      <c r="E67" s="914"/>
      <c r="F67" s="915"/>
      <c r="O67" s="1334" t="s">
        <v>405</v>
      </c>
      <c r="P67" s="1326" t="s">
        <v>850</v>
      </c>
      <c r="Q67" s="1370">
        <f ca="1">L51</f>
        <v>18402</v>
      </c>
      <c r="R67" s="1327" t="s">
        <v>870</v>
      </c>
    </row>
    <row r="68" spans="1:18" s="1292" customFormat="1" ht="16.5" thickBot="1">
      <c r="A68" s="893" t="s">
        <v>395</v>
      </c>
      <c r="B68" s="894" t="s">
        <v>774</v>
      </c>
      <c r="C68" s="293">
        <f ca="1">ROUND(C67*(1-((1+F70)/(1+F68))^F69)/(F68-F70),0)</f>
        <v>-972</v>
      </c>
      <c r="D68" s="911" t="s">
        <v>758</v>
      </c>
      <c r="E68" s="896" t="s">
        <v>759</v>
      </c>
      <c r="F68" s="304">
        <f ca="1">F40</f>
        <v>0.06</v>
      </c>
      <c r="O68" s="1334" t="s">
        <v>406</v>
      </c>
      <c r="P68" s="1371" t="s">
        <v>871</v>
      </c>
      <c r="Q68" s="1327">
        <f ca="1">ROUND(Q69-Q70*Q71,0)</f>
        <v>926</v>
      </c>
      <c r="R68" s="1327" t="s">
        <v>414</v>
      </c>
    </row>
    <row r="69" spans="1:18" s="1292" customFormat="1" ht="13.5" thickBot="1">
      <c r="A69" s="897"/>
      <c r="B69" s="898"/>
      <c r="C69" s="298"/>
      <c r="D69" s="916" t="s">
        <v>762</v>
      </c>
      <c r="E69" s="896" t="s">
        <v>763</v>
      </c>
      <c r="F69" s="324">
        <f ca="1">F41</f>
        <v>28.49</v>
      </c>
      <c r="O69" s="1334" t="s">
        <v>411</v>
      </c>
      <c r="P69" s="1371" t="s">
        <v>872</v>
      </c>
      <c r="Q69" s="1327">
        <f ca="1">C39</f>
        <v>2288</v>
      </c>
      <c r="R69" s="1327" t="s">
        <v>818</v>
      </c>
    </row>
    <row r="70" spans="1:18" s="1292" customFormat="1" ht="13.5" thickBot="1">
      <c r="A70" s="900"/>
      <c r="B70" s="901"/>
      <c r="C70" s="302"/>
      <c r="D70" s="912"/>
      <c r="E70" s="896" t="s">
        <v>766</v>
      </c>
      <c r="F70" s="991"/>
      <c r="O70" s="1334" t="s">
        <v>412</v>
      </c>
      <c r="P70" s="1371" t="s">
        <v>873</v>
      </c>
      <c r="Q70" s="1327">
        <f ca="1">C13</f>
        <v>18157</v>
      </c>
      <c r="R70" s="1327" t="s">
        <v>818</v>
      </c>
    </row>
    <row r="71" spans="1:18" s="1292" customFormat="1" ht="13.5" thickBot="1">
      <c r="A71" s="917" t="s">
        <v>396</v>
      </c>
      <c r="B71" s="918" t="s">
        <v>776</v>
      </c>
      <c r="C71" s="327">
        <f ca="1">ROUND(C68*10000/F71,0)</f>
        <v>-145</v>
      </c>
      <c r="D71" s="919" t="s">
        <v>777</v>
      </c>
      <c r="E71" s="920" t="s">
        <v>778</v>
      </c>
      <c r="F71" s="330">
        <f ca="1">F43</f>
        <v>66988.94</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1362</v>
      </c>
      <c r="D75" s="1292"/>
      <c r="E75" s="1292"/>
      <c r="F75" s="1292"/>
      <c r="K75" s="1309"/>
      <c r="L75" s="1292"/>
      <c r="O75" s="1325" t="s">
        <v>409</v>
      </c>
      <c r="P75" s="1326" t="s">
        <v>838</v>
      </c>
      <c r="Q75" s="1327">
        <f ca="1">Q65+Q66</f>
        <v>38082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0.40500000000000003</v>
      </c>
    </row>
    <row r="80" spans="1:18">
      <c r="B80" s="331" t="s">
        <v>800</v>
      </c>
      <c r="C80" s="266">
        <f ca="1">ROUND(C75/C39,3)</f>
        <v>0.59499999999999997</v>
      </c>
    </row>
    <row r="81" spans="2:3">
      <c r="B81" s="262" t="s">
        <v>801</v>
      </c>
      <c r="C81" s="230"/>
    </row>
    <row r="82" spans="2:3">
      <c r="B82" s="265" t="s">
        <v>802</v>
      </c>
      <c r="C82" s="267">
        <f ca="1">1-C83</f>
        <v>0.52300000000000002</v>
      </c>
    </row>
    <row r="83" spans="2:3">
      <c r="B83" s="265" t="s">
        <v>803</v>
      </c>
      <c r="C83" s="266">
        <f ca="1">ROUND(C13/C40,3)</f>
        <v>0.47699999999999998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39274</v>
      </c>
      <c r="C2" s="1729" t="s">
        <v>1651</v>
      </c>
      <c r="D2" s="1730" t="s">
        <v>1652</v>
      </c>
      <c r="E2" s="2393">
        <f>SUM(E6:E13)</f>
        <v>66988.94</v>
      </c>
      <c r="F2" s="2480"/>
      <c r="G2" s="459"/>
      <c r="H2" s="459"/>
      <c r="I2" s="459"/>
      <c r="J2" s="459"/>
      <c r="K2" s="459"/>
      <c r="L2" s="459"/>
      <c r="M2" s="459"/>
      <c r="N2" s="459"/>
      <c r="O2" s="459"/>
      <c r="P2" s="459"/>
      <c r="Q2" s="459"/>
      <c r="R2" s="459"/>
      <c r="S2" s="459"/>
    </row>
    <row r="3" spans="1:22" ht="15.75">
      <c r="A3" s="1728" t="s">
        <v>686</v>
      </c>
      <c r="B3" s="2387">
        <f ca="1">ROUND(B2*10000/E2,0)</f>
        <v>5863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39274</v>
      </c>
      <c r="C6" s="1729" t="s">
        <v>1651</v>
      </c>
      <c r="D6" s="2480"/>
      <c r="E6" s="2392">
        <f>IF(OR(A6=0,F6="否"),0,'数据-取费表'!K6+'数据-取费表'!S6)</f>
        <v>66988.94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66988.94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66988.94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45672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66988.94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45672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2025年1月15日（评估专业人员实地查勘之日）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66988.94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368"/>
      <c r="Q10" s="530" t="str">
        <f t="shared" si="6"/>
        <v>土地使用年限（年）</v>
      </c>
      <c r="R10" s="664" t="s">
        <v>14</v>
      </c>
      <c r="S10" s="665">
        <f t="shared" si="0"/>
        <v>124</v>
      </c>
      <c r="T10" s="664" t="s">
        <v>14</v>
      </c>
      <c r="U10" s="665">
        <f t="shared" si="1"/>
        <v>124</v>
      </c>
      <c r="V10" s="664" t="s">
        <v>14</v>
      </c>
      <c r="W10" s="665">
        <f t="shared" si="2"/>
        <v>124</v>
      </c>
      <c r="X10" s="666"/>
      <c r="Y10" s="324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66308.255000000005</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66308.255000000005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45672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368"/>
      <c r="Q10" s="530" t="str">
        <f t="shared" si="6"/>
        <v>土地使用年限（年）</v>
      </c>
      <c r="R10" s="664" t="s">
        <v>14</v>
      </c>
      <c r="S10" s="665">
        <f t="shared" si="0"/>
        <v>124</v>
      </c>
      <c r="T10" s="664" t="s">
        <v>14</v>
      </c>
      <c r="U10" s="665">
        <f t="shared" si="1"/>
        <v>124</v>
      </c>
      <c r="V10" s="664" t="s">
        <v>14</v>
      </c>
      <c r="W10" s="665">
        <f t="shared" si="2"/>
        <v>124</v>
      </c>
      <c r="X10" s="666"/>
      <c r="Y10" s="324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66308.255000000005</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120628.8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66988.94</v>
      </c>
      <c r="F2" s="2545"/>
      <c r="G2" s="2545"/>
      <c r="H2" s="2545"/>
      <c r="I2" s="2545"/>
      <c r="J2" s="2545"/>
      <c r="K2" s="2545"/>
      <c r="L2" s="2545"/>
      <c r="M2" s="2545"/>
      <c r="N2" s="2545"/>
      <c r="O2" s="2545"/>
      <c r="P2" s="2545"/>
    </row>
    <row r="3" spans="1:16" ht="15.75">
      <c r="A3" s="1984" t="s">
        <v>2076</v>
      </c>
      <c r="B3" s="2388">
        <f ca="1">ROUND(B2*10000/E2,0)</f>
        <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66988.94</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29" sqref="H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66988.94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1368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9" t="s">
        <v>2479</v>
      </c>
      <c r="F3" s="1848" t="s">
        <v>3417</v>
      </c>
      <c r="G3" s="708">
        <f>IF(F3="宗地容积率",'数据-汇总表'!I4,IF(F3="估价对象容积率",'数据-汇总表'!I6,'数据-汇总表'!I7))</f>
        <v>0.55000000000000004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1054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860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960</v>
      </c>
      <c r="D5" s="1252">
        <f>ROUND(C6*C17+C20,0)</f>
        <v>960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730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665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0.55000000000000004</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960</v>
      </c>
      <c r="N9" s="813">
        <f>SUMPRODUCT((因素修正幅度!B277:B326=I2)*(因素修正幅度!C3:G3=E2)*(因素修正幅度!C277:G326))</f>
        <v>0.127</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3414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45672</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0.82269999999999999</v>
      </c>
      <c r="D24" s="1902" t="s">
        <v>2007</v>
      </c>
      <c r="E24" s="1248">
        <f>存贷款利率!E27/100</f>
        <v>4.3499999999999997E-2</v>
      </c>
      <c r="F24" s="1902" t="s">
        <v>1999</v>
      </c>
      <c r="G24" s="724">
        <f>SUMIF(M30:Q30,E2,M33:Q33)</f>
        <v>0.05</v>
      </c>
      <c r="H24" s="1902" t="s">
        <v>2008</v>
      </c>
      <c r="I24" s="725">
        <f>SUMIF('数据-取费表'!C6:C15,E2,'数据-取费表'!F6:F15)/COUNTIF('数据-取费表'!C6:C15,E2)</f>
        <v>28.49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1.0373000000000001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'数据-基础表'!B3</f>
        <v>66988.94</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444</v>
      </c>
      <c r="D37" s="1940"/>
      <c r="E37" s="163">
        <f>ROUND(C37*D37/10000,0)</f>
        <v>0</v>
      </c>
      <c r="F37" s="163">
        <f>SUMIF(修正!A57:A68,G2,修正!B57:B68)</f>
        <v>0.5</v>
      </c>
      <c r="G37" s="163">
        <f>ROUND(IF(E2="工业",C37*$M$42,C37*$M$41),0)</f>
        <v>67</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177</v>
      </c>
      <c r="D38" s="1940"/>
      <c r="E38" s="163">
        <f t="shared" ref="E38:E42" si="4">ROUND(C38*D38/10000,0)</f>
        <v>0</v>
      </c>
      <c r="F38" s="163">
        <f>SUMIF(修正!A57:A68,G2,修正!C57:C68)</f>
        <v>0.2</v>
      </c>
      <c r="G38" s="163">
        <f>ROUND(IF(E2="工业",C38*$M$42,C38*$M$41),0)</f>
        <v>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177</v>
      </c>
      <c r="D39" s="1940"/>
      <c r="E39" s="163">
        <f t="shared" si="4"/>
        <v>0</v>
      </c>
      <c r="F39" s="163">
        <f>SUMIF(修正!A57:A68,G2,修正!D57:D68)</f>
        <v>0.2</v>
      </c>
      <c r="G39" s="163">
        <f>ROUND(IF(E2="工业",C39*$M$42,C39*$M$41),0)</f>
        <v>27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177</v>
      </c>
      <c r="D40" s="1940"/>
      <c r="E40" s="163">
        <f t="shared" si="4"/>
        <v>0</v>
      </c>
      <c r="F40" s="167">
        <f>SUMIF(修正!A57:A68,G2,修正!E57:E68)</f>
        <v>0.2</v>
      </c>
      <c r="G40" s="163">
        <f>ROUND(IF(E2="工业",C40*$M$42,C40*$M$41),0)</f>
        <v>27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177</v>
      </c>
      <c r="D41" s="1940"/>
      <c r="E41" s="163">
        <f t="shared" si="4"/>
        <v>0</v>
      </c>
      <c r="F41" s="167">
        <f>SUMIF(修正!A57:A68,G2,修正!F57:F68)</f>
        <v>0.2</v>
      </c>
      <c r="G41" s="163">
        <f>ROUND(IF(E2="工业",C41*$M$42,C41*$M$41),0)</f>
        <v>27</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89</v>
      </c>
      <c r="D42" s="1945"/>
      <c r="E42" s="179">
        <f t="shared" si="4"/>
        <v>0</v>
      </c>
      <c r="F42" s="723">
        <f>SUMIF(修正!A57:A68,G2,修正!G57:G68)</f>
        <v>0.1</v>
      </c>
      <c r="G42" s="179">
        <f>ROUND(IF(E2="工业",C42*$M$42,C42*$M$41),0)</f>
        <v>13</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0.82269999999999999</v>
      </c>
      <c r="D44" s="163" t="s">
        <v>1999</v>
      </c>
      <c r="E44" s="1991">
        <f>G24</f>
        <v>0.05</v>
      </c>
      <c r="F44" s="163" t="s">
        <v>2008</v>
      </c>
      <c r="G44" s="175">
        <f>项目基本情况!H15</f>
        <v>28.49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1.0373000000000001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3415</v>
      </c>
      <c r="D83" s="1002">
        <f t="shared" ref="D83:D90" si="22">SUMIF($J$82:$N$82,C83,J83:N83)</f>
        <v>1.6500000000000001E-2</v>
      </c>
      <c r="E83" s="702">
        <f>ROUND(SUM(D83:D90),4)</f>
        <v>3.73E-2</v>
      </c>
      <c r="F83" s="1675">
        <f>IF(E2="工业",SUMIF(L1:L12,G2,N1:N12),"——")</f>
        <v>0.127</v>
      </c>
      <c r="G83" s="1000">
        <f>H83</f>
        <v>1.6500000000000001E-2</v>
      </c>
      <c r="H83" s="1003">
        <f t="shared" ref="H83:H90" si="23">IFERROR(ROUNDDOWN($F$83*I83/2,4),"——")</f>
        <v>1.6500000000000001E-2</v>
      </c>
      <c r="I83" s="3069">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3416</v>
      </c>
      <c r="D84" s="1002">
        <f t="shared" si="22"/>
        <v>0</v>
      </c>
      <c r="E84" s="705"/>
      <c r="F84" s="1675"/>
      <c r="G84" s="1000">
        <f t="shared" ref="G84:G90" si="27">H84</f>
        <v>1.9E-2</v>
      </c>
      <c r="H84" s="1003">
        <f t="shared" si="23"/>
        <v>1.9E-2</v>
      </c>
      <c r="I84" s="3069">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71" t="s">
        <v>3270</v>
      </c>
      <c r="B85" s="1262">
        <f>估价对象房地状况!G17</f>
        <v>0</v>
      </c>
      <c r="C85" s="1887" t="s">
        <v>3415</v>
      </c>
      <c r="D85" s="1002">
        <f t="shared" si="22"/>
        <v>6.3E-3</v>
      </c>
      <c r="E85" s="705"/>
      <c r="F85" s="1675"/>
      <c r="G85" s="1000">
        <f t="shared" si="27"/>
        <v>6.3E-3</v>
      </c>
      <c r="H85" s="1003">
        <f t="shared" si="23"/>
        <v>6.3E-3</v>
      </c>
      <c r="I85" s="3069">
        <v>0.1</v>
      </c>
      <c r="J85" s="1001">
        <f t="shared" si="24"/>
        <v>1.26E-2</v>
      </c>
      <c r="K85" s="1001">
        <f t="shared" si="25"/>
        <v>6.3E-3</v>
      </c>
      <c r="L85" s="1001">
        <v>0</v>
      </c>
      <c r="M85" s="1001">
        <f t="shared" si="26"/>
        <v>-6.3E-3</v>
      </c>
      <c r="N85" s="1001">
        <f t="shared" si="26"/>
        <v>-1.26E-2</v>
      </c>
      <c r="Z85" s="1845"/>
      <c r="AA85" s="1895"/>
      <c r="AG85" s="1058"/>
      <c r="AK85" s="1895"/>
    </row>
    <row r="86" spans="1:37" ht="14.25">
      <c r="A86" s="1970" t="s">
        <v>2067</v>
      </c>
      <c r="B86" s="1262">
        <f>估价对象房地状况!G22</f>
        <v>0</v>
      </c>
      <c r="C86" s="1887" t="s">
        <v>3415</v>
      </c>
      <c r="D86" s="1002">
        <f t="shared" si="22"/>
        <v>3.0999999999999999E-3</v>
      </c>
      <c r="E86" s="705"/>
      <c r="F86" s="1675"/>
      <c r="G86" s="1000">
        <f t="shared" si="27"/>
        <v>3.0999999999999999E-3</v>
      </c>
      <c r="H86" s="1003">
        <f t="shared" si="23"/>
        <v>3.0999999999999999E-3</v>
      </c>
      <c r="I86" s="3069">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5.5">
      <c r="A87" s="1970" t="s">
        <v>2059</v>
      </c>
      <c r="B87" s="1240" t="str">
        <f>估价对象房地状况!G19</f>
        <v>估价对象所在区域公共配套设施齐备情况</v>
      </c>
      <c r="C87" s="1887" t="s">
        <v>3416</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5.5">
      <c r="A88" s="1970" t="s">
        <v>2060</v>
      </c>
      <c r="B88" s="1240" t="str">
        <f>估价对象房地状况!G20</f>
        <v>估价对象所在区域基础设施水平</v>
      </c>
      <c r="C88" s="1887" t="s">
        <v>3415</v>
      </c>
      <c r="D88" s="1002">
        <f t="shared" si="22"/>
        <v>7.6E-3</v>
      </c>
      <c r="E88" s="705"/>
      <c r="F88" s="1675"/>
      <c r="G88" s="1000">
        <f t="shared" si="27"/>
        <v>7.6E-3</v>
      </c>
      <c r="H88" s="1003">
        <f t="shared" si="23"/>
        <v>7.6E-3</v>
      </c>
      <c r="I88" s="3069">
        <v>0.12</v>
      </c>
      <c r="J88" s="1001">
        <f t="shared" si="24"/>
        <v>1.52E-2</v>
      </c>
      <c r="K88" s="1001">
        <f t="shared" si="25"/>
        <v>7.6E-3</v>
      </c>
      <c r="L88" s="1001">
        <v>0</v>
      </c>
      <c r="M88" s="1001">
        <f t="shared" si="26"/>
        <v>-7.6E-3</v>
      </c>
      <c r="N88" s="1001">
        <f t="shared" si="26"/>
        <v>-1.52E-2</v>
      </c>
    </row>
    <row r="89" spans="1:37" ht="24">
      <c r="A89" s="1970" t="s">
        <v>2057</v>
      </c>
      <c r="B89" s="1975" t="s">
        <v>2071</v>
      </c>
      <c r="C89" s="1887" t="s">
        <v>3415</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39" thickBot="1">
      <c r="A90" s="1977" t="s">
        <v>2072</v>
      </c>
      <c r="B90" s="1982" t="str">
        <f>估价对象房地状况!G18</f>
        <v>该园区内是否有污染型企业，绿化情况，卫生条件，整体环境状况判断</v>
      </c>
      <c r="C90" s="1887" t="s">
        <v>3416</v>
      </c>
      <c r="D90" s="1002">
        <f t="shared" si="22"/>
        <v>0</v>
      </c>
      <c r="E90" s="706"/>
      <c r="F90" s="1675"/>
      <c r="G90" s="1000">
        <f t="shared" si="27"/>
        <v>3.0999999999999999E-3</v>
      </c>
      <c r="H90" s="1003">
        <f t="shared" si="23"/>
        <v>3.0999999999999999E-3</v>
      </c>
      <c r="I90" s="3070">
        <v>0.05</v>
      </c>
      <c r="J90" s="1001">
        <f t="shared" si="24"/>
        <v>6.1999999999999998E-3</v>
      </c>
      <c r="K90" s="1001">
        <f t="shared" si="25"/>
        <v>3.0999999999999999E-3</v>
      </c>
      <c r="L90" s="1001">
        <v>0</v>
      </c>
      <c r="M90" s="1001">
        <f t="shared" si="26"/>
        <v>-3.0999999999999999E-3</v>
      </c>
      <c r="N90" s="1001">
        <f t="shared" si="26"/>
        <v>-6.1999999999999998E-3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0.55000000000000004</v>
      </c>
      <c r="C116" s="3100" t="s">
        <v>3313</v>
      </c>
      <c r="D116" s="3101">
        <f>SUMPRODUCT((A118:A122=F116)*(B117:M117=H116)*B118:M122)</f>
        <v>0.58009999999999995</v>
      </c>
      <c r="E116" s="162" t="s">
        <v>3314</v>
      </c>
      <c r="F116" s="3102" t="str">
        <f>E2</f>
        <v>工业</v>
      </c>
      <c r="G116" s="162" t="s">
        <v>3315</v>
      </c>
      <c r="H116" s="3102" t="str">
        <f>G2</f>
        <v>九级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0.99080000000000001</v>
      </c>
      <c r="C118" s="3090">
        <f>B118</f>
        <v>0.99080000000000001</v>
      </c>
      <c r="D118" s="3090">
        <f>ROUND(0.949-0.014*B116,4)</f>
        <v>0.94130000000000003</v>
      </c>
      <c r="E118" s="3090">
        <f>D118</f>
        <v>0.94130000000000003</v>
      </c>
      <c r="F118" s="3090">
        <f>E118</f>
        <v>0.94130000000000003</v>
      </c>
      <c r="G118" s="3090">
        <f>F118</f>
        <v>0.94130000000000003</v>
      </c>
      <c r="H118" s="3090">
        <f>G118</f>
        <v>0.94130000000000003</v>
      </c>
      <c r="I118" s="3090">
        <f>ROUND(0.8486-0.018*B116,4)</f>
        <v>0.8387</v>
      </c>
      <c r="J118" s="3090">
        <f t="shared" ref="J118:M122" si="36">I118</f>
        <v>0.8387</v>
      </c>
      <c r="K118" s="3090">
        <f t="shared" si="36"/>
        <v>0.8387</v>
      </c>
      <c r="L118" s="3090">
        <f t="shared" si="36"/>
        <v>0.8387</v>
      </c>
      <c r="M118" s="3110">
        <f t="shared" si="36"/>
        <v>0.8387</v>
      </c>
      <c r="N118" s="3098"/>
    </row>
    <row r="119" spans="1:14">
      <c r="A119" s="3058" t="s">
        <v>3329</v>
      </c>
      <c r="B119" s="3090">
        <f>ROUND(0.993-0.0112*B116,4)</f>
        <v>0.98680000000000001</v>
      </c>
      <c r="C119" s="3090">
        <f>B119</f>
        <v>0.98680000000000001</v>
      </c>
      <c r="D119" s="3090">
        <f>ROUND(0.9415-0.0142*B116,4)</f>
        <v>0.93369999999999997</v>
      </c>
      <c r="E119" s="3090">
        <f t="shared" ref="E119:H120" si="37">D119</f>
        <v>0.93369999999999997</v>
      </c>
      <c r="F119" s="3090">
        <f t="shared" si="37"/>
        <v>0.93369999999999997</v>
      </c>
      <c r="G119" s="3090">
        <f t="shared" si="37"/>
        <v>0.93369999999999997</v>
      </c>
      <c r="H119" s="3090">
        <f t="shared" si="37"/>
        <v>0.93369999999999997</v>
      </c>
      <c r="I119" s="3090">
        <f>ROUND(0.838-0.0182*B116,4)</f>
        <v>0.82799999999999996</v>
      </c>
      <c r="J119" s="3090">
        <f t="shared" si="36"/>
        <v>0.82799999999999996</v>
      </c>
      <c r="K119" s="3090">
        <f t="shared" si="36"/>
        <v>0.82799999999999996</v>
      </c>
      <c r="L119" s="3090">
        <f t="shared" si="36"/>
        <v>0.82799999999999996</v>
      </c>
      <c r="M119" s="3110">
        <f t="shared" si="36"/>
        <v>0.82799999999999996</v>
      </c>
      <c r="N119" s="3098"/>
    </row>
    <row r="120" spans="1:14">
      <c r="A120" s="3058" t="s">
        <v>3330</v>
      </c>
      <c r="B120" s="3090">
        <f>ROUND(0.9448-0.0115*B116,4)</f>
        <v>0.9385</v>
      </c>
      <c r="C120" s="3090">
        <f>B120</f>
        <v>0.9385</v>
      </c>
      <c r="D120" s="3090">
        <f>ROUND(0.937-0.0145*B116,4)</f>
        <v>0.92900000000000005</v>
      </c>
      <c r="E120" s="3090">
        <f t="shared" si="37"/>
        <v>0.92900000000000005</v>
      </c>
      <c r="F120" s="3090">
        <f t="shared" si="37"/>
        <v>0.92900000000000005</v>
      </c>
      <c r="G120" s="3090">
        <f t="shared" si="37"/>
        <v>0.92900000000000005</v>
      </c>
      <c r="H120" s="3090">
        <f t="shared" si="37"/>
        <v>0.92900000000000005</v>
      </c>
      <c r="I120" s="3090">
        <f>ROUND(0.7965-0.0185*B116,4)</f>
        <v>0.7863</v>
      </c>
      <c r="J120" s="3090">
        <f t="shared" si="36"/>
        <v>0.7863</v>
      </c>
      <c r="K120" s="3090">
        <f t="shared" si="36"/>
        <v>0.7863</v>
      </c>
      <c r="L120" s="3090">
        <f t="shared" si="36"/>
        <v>0.7863</v>
      </c>
      <c r="M120" s="3110">
        <f t="shared" si="36"/>
        <v>0.7863</v>
      </c>
      <c r="N120" s="3098"/>
    </row>
    <row r="121" spans="1:14" ht="13.5" thickBot="1">
      <c r="A121" s="3111" t="s">
        <v>3331</v>
      </c>
      <c r="B121" s="3112">
        <f>ROUND(0.7836-0.012*B116,4)</f>
        <v>0.77700000000000002</v>
      </c>
      <c r="C121" s="3112">
        <f>B121</f>
        <v>0.77700000000000002</v>
      </c>
      <c r="D121" s="3112">
        <f>ROUND(0.753-0.015*B116,4)</f>
        <v>0.74480000000000002</v>
      </c>
      <c r="E121" s="3112">
        <f>D121</f>
        <v>0.74480000000000002</v>
      </c>
      <c r="F121" s="3112">
        <f>E121</f>
        <v>0.74480000000000002</v>
      </c>
      <c r="G121" s="3112">
        <f>ROUND(0.6612-0.018*B116,4)</f>
        <v>0.65129999999999999</v>
      </c>
      <c r="H121" s="3112">
        <f>G121</f>
        <v>0.65129999999999999</v>
      </c>
      <c r="I121" s="3112">
        <f>ROUND(0.5905-0.019*B116,4)</f>
        <v>0.58009999999999995</v>
      </c>
      <c r="J121" s="3112">
        <f t="shared" si="36"/>
        <v>0.58009999999999995</v>
      </c>
      <c r="K121" s="3112">
        <f t="shared" si="36"/>
        <v>0.58009999999999995</v>
      </c>
      <c r="L121" s="3112">
        <f t="shared" si="36"/>
        <v>0.58009999999999995</v>
      </c>
      <c r="M121" s="3113">
        <f t="shared" si="36"/>
        <v>0.58009999999999995</v>
      </c>
      <c r="N121" s="3098"/>
    </row>
    <row r="122" spans="1:14">
      <c r="A122" s="3114" t="s">
        <v>2612</v>
      </c>
      <c r="B122" s="3090">
        <f>ROUND(0.9404-0.0106*B116,4)</f>
        <v>0.93459999999999999</v>
      </c>
      <c r="C122" s="3090">
        <f>B122</f>
        <v>0.93459999999999999</v>
      </c>
      <c r="D122" s="3090">
        <f>ROUND(0.8955-0.0135*B116,4)</f>
        <v>0.8881</v>
      </c>
      <c r="E122" s="3090">
        <f t="shared" ref="E122:H122" si="38">D122</f>
        <v>0.8881</v>
      </c>
      <c r="F122" s="3090">
        <f t="shared" si="38"/>
        <v>0.8881</v>
      </c>
      <c r="G122" s="3090">
        <f t="shared" si="38"/>
        <v>0.8881</v>
      </c>
      <c r="H122" s="3090">
        <f t="shared" si="38"/>
        <v>0.8881</v>
      </c>
      <c r="I122" s="3090">
        <f>ROUND(0.7632-0.0166*B116,4)</f>
        <v>0.75409999999999999</v>
      </c>
      <c r="J122" s="3090">
        <f t="shared" si="36"/>
        <v>0.75409999999999999</v>
      </c>
      <c r="K122" s="3090">
        <f t="shared" si="36"/>
        <v>0.75409999999999999</v>
      </c>
      <c r="L122" s="3090">
        <f t="shared" si="36"/>
        <v>0.75409999999999999</v>
      </c>
      <c r="M122" s="3110">
        <f t="shared" si="36"/>
        <v>0.75409999999999999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t="e">
        <f ca="1">结果表!H101</f>
        <v>#REF!</v>
      </c>
    </row>
    <row r="6" spans="1:5" ht="15.75">
      <c r="B6" s="3156"/>
      <c r="C6" s="1392" t="s">
        <v>911</v>
      </c>
      <c r="D6" s="797" t="e">
        <f ca="1">NUMBERSTRING(INT(D5*10000),2)&amp;"元整"</f>
        <v>#REF!</v>
      </c>
    </row>
    <row r="7" spans="1:5" ht="15.75">
      <c r="B7" s="3161"/>
      <c r="C7" s="1393" t="s">
        <v>912</v>
      </c>
      <c r="D7" s="798" t="e">
        <f ca="1">结果表!H102</f>
        <v>#REF!</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t="e">
        <f ca="1">结果表!H107</f>
        <v>#REF!</v>
      </c>
    </row>
    <row r="14" spans="1:5" ht="15.75">
      <c r="B14" s="3156"/>
      <c r="C14" s="1392" t="s">
        <v>911</v>
      </c>
      <c r="D14" s="797" t="e">
        <f ca="1">NUMBERSTRING(INT(D13*10000),2)&amp;"元整"</f>
        <v>#REF!</v>
      </c>
    </row>
    <row r="15" spans="1:5" ht="15">
      <c r="B15" s="3161"/>
      <c r="C15" s="1393" t="s">
        <v>921</v>
      </c>
      <c r="D15" s="806" t="e">
        <f ca="1">结果表!H108</f>
        <v>#REF!</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46290</v>
      </c>
      <c r="C2" s="2" t="s">
        <v>106</v>
      </c>
      <c r="D2" s="191"/>
      <c r="E2" s="191"/>
      <c r="F2" s="191"/>
      <c r="G2" s="191"/>
    </row>
    <row r="3" spans="1:7" s="192" customFormat="1" ht="18" customHeight="1" thickBot="1">
      <c r="A3" s="195" t="s">
        <v>58</v>
      </c>
      <c r="B3" s="196">
        <f ca="1">ROUND(B2*10000/'数据-汇总表'!E3,0)</f>
        <v>6910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1340</v>
      </c>
      <c r="D10" s="795">
        <f>'数据-汇总表'!E6</f>
        <v>66988.94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1340</v>
      </c>
      <c r="D19" s="204">
        <f>'数据-汇总表'!E3</f>
        <v>66988.94</v>
      </c>
      <c r="E19" s="203">
        <f>'数据-取费表'!B31</f>
        <v>200</v>
      </c>
      <c r="F19" s="223"/>
      <c r="G19" s="1" t="s">
        <v>436</v>
      </c>
    </row>
    <row r="20" spans="1:7" s="206" customFormat="1" ht="13.5" customHeight="1">
      <c r="A20" s="731" t="s">
        <v>419</v>
      </c>
      <c r="B20" s="202" t="s">
        <v>77</v>
      </c>
      <c r="C20" s="224">
        <f>ROUND((C5+C19)*F20,0)</f>
        <v>439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2239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2239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21410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18757</v>
      </c>
      <c r="D34" s="209"/>
      <c r="E34" s="212"/>
      <c r="F34" s="249">
        <f>IF('数据-取费表'!B24=0,1,'数据-取费表'!N16)</f>
        <v>1</v>
      </c>
      <c r="G34" s="211" t="s">
        <v>89</v>
      </c>
    </row>
    <row r="35" spans="1:7" ht="13.5" customHeight="1">
      <c r="A35" s="734" t="s">
        <v>351</v>
      </c>
      <c r="B35" s="207" t="s">
        <v>33</v>
      </c>
      <c r="C35" s="212">
        <f>ROUND(C34*F35,0)</f>
        <v>938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1340</v>
      </c>
      <c r="D37" s="209">
        <f>'数据-汇总表'!E3</f>
        <v>66988.94</v>
      </c>
      <c r="E37" s="241">
        <f>'数据-取费表'!B35</f>
        <v>200</v>
      </c>
      <c r="F37" s="251"/>
      <c r="G37" s="253" t="s">
        <v>92</v>
      </c>
    </row>
    <row r="38" spans="1:7" ht="13.5" customHeight="1">
      <c r="A38" s="734" t="s">
        <v>354</v>
      </c>
      <c r="B38" s="207" t="s">
        <v>36</v>
      </c>
      <c r="C38" s="212">
        <f>ROUND(C34*F38,0)</f>
        <v>375</v>
      </c>
      <c r="D38" s="212"/>
      <c r="E38" s="212"/>
      <c r="F38" s="251">
        <f>'数据-取费表'!B36</f>
        <v>0.02</v>
      </c>
      <c r="G38" s="211" t="s">
        <v>90</v>
      </c>
    </row>
    <row r="39" spans="1:7" s="206" customFormat="1" ht="13.5" customHeight="1">
      <c r="A39" s="731" t="s">
        <v>338</v>
      </c>
      <c r="B39" s="202" t="s">
        <v>77</v>
      </c>
      <c r="C39" s="224">
        <f>ROUND(C33*F20,0)</f>
        <v>428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677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664</v>
      </c>
      <c r="D42" s="230"/>
      <c r="E42" s="230"/>
      <c r="F42" s="231"/>
      <c r="G42" s="3336" t="s">
        <v>94</v>
      </c>
    </row>
    <row r="43" spans="1:7" ht="13.5" customHeight="1">
      <c r="A43" s="734" t="s">
        <v>347</v>
      </c>
      <c r="B43" s="207" t="s">
        <v>426</v>
      </c>
      <c r="C43" s="230">
        <f ca="1">ROUND(IF('数据-取费表'!B22&lt;=1,C39*F22*'数据-取费表'!B21/2,C39*(POWER((1+F22),'数据-取费表'!B21/2)-1)),0)</f>
        <v>13</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2184</v>
      </c>
      <c r="D45" s="227">
        <f>C47</f>
        <v>2E-3</v>
      </c>
      <c r="E45" s="228" t="s">
        <v>102</v>
      </c>
      <c r="F45" s="238"/>
      <c r="G45" s="239" t="s">
        <v>434</v>
      </c>
    </row>
    <row r="46" spans="1:7" s="206" customFormat="1" ht="13.5" customHeight="1">
      <c r="A46" s="734" t="s">
        <v>349</v>
      </c>
      <c r="B46" s="240" t="s">
        <v>427</v>
      </c>
      <c r="C46" s="241">
        <f>ROUND((C33+C39)*F27,0)</f>
        <v>2184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26701</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18157</v>
      </c>
      <c r="D51" s="224"/>
      <c r="E51" s="224"/>
      <c r="F51" s="256"/>
      <c r="G51" s="226" t="s">
        <v>37</v>
      </c>
    </row>
    <row r="52" spans="1:7" s="200" customFormat="1" ht="16.5" thickBot="1">
      <c r="A52" s="257" t="s">
        <v>38</v>
      </c>
      <c r="B52" s="258"/>
      <c r="C52" s="259">
        <f ca="1">C31+C51</f>
        <v>46290</v>
      </c>
      <c r="D52" s="258"/>
      <c r="E52" s="258"/>
      <c r="F52" s="258"/>
      <c r="G52" s="260"/>
    </row>
    <row r="55" spans="1:7" ht="15">
      <c r="B55" s="262" t="s">
        <v>39</v>
      </c>
      <c r="C55" s="263"/>
    </row>
    <row r="56" spans="1:7">
      <c r="B56" s="265" t="s">
        <v>40</v>
      </c>
      <c r="C56" s="266">
        <f ca="1">ROUND(C51/C52,3)</f>
        <v>0.39200000000000002</v>
      </c>
    </row>
    <row r="57" spans="1:7">
      <c r="B57" s="265" t="s">
        <v>41</v>
      </c>
      <c r="C57" s="267">
        <f ca="1">1-C56</f>
        <v>0.60799999999999998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3232</v>
      </c>
      <c r="B1" s="3476"/>
      <c r="C1" s="3476"/>
      <c r="D1" s="3476"/>
      <c r="E1" s="3476"/>
      <c r="F1" s="3477"/>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45672</v>
      </c>
      <c r="B1" s="2930" t="s">
        <v>3380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3383</v>
      </c>
    </row>
    <row r="24" spans="1:30">
      <c r="I24" s="1405" t="s">
        <v>2825</v>
      </c>
    </row>
    <row r="26" spans="1:30" s="2009" customFormat="1" ht="12.75">
      <c r="B26" s="2930" t="s">
        <v>3381</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66988.94</v>
      </c>
      <c r="C4" s="801">
        <f>项目基本情况!C18</f>
        <v>120628.8</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t="e">
        <f ca="1">结果表!D122</f>
        <v>#REF!</v>
      </c>
      <c r="E8" s="3167"/>
      <c r="F8" s="3167"/>
      <c r="G8" s="3167"/>
      <c r="H8" s="3167"/>
      <c r="I8" s="3167"/>
    </row>
    <row r="9" spans="1:9" ht="15">
      <c r="A9" s="3168" t="s">
        <v>927</v>
      </c>
      <c r="B9" s="3168"/>
      <c r="C9" s="3168"/>
      <c r="D9" s="3168" t="e">
        <f ca="1">结果表!D123</f>
        <v>#REF!</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2025-01-16T07:50:00Z</dcterms:modified>
</cp:coreProperties>
</file>